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BFBDB07F-65F8-2648-B43F-E27B21EDAB61}" xr6:coauthVersionLast="46" xr6:coauthVersionMax="46" xr10:uidLastSave="{00000000-0000-0000-0000-000000000000}"/>
  <bookViews>
    <workbookView xWindow="-67100" yWindow="-4900" windowWidth="33040" windowHeight="261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2" l="1"/>
  <c r="J13" i="2"/>
  <c r="I13" i="2"/>
  <c r="H13" i="2"/>
  <c r="H59" i="2"/>
  <c r="G13" i="2"/>
  <c r="R20" i="2"/>
  <c r="S20" i="2" s="1"/>
  <c r="T20" i="2" s="1"/>
  <c r="U20" i="2" s="1"/>
  <c r="Q20" i="2"/>
  <c r="R19" i="2"/>
  <c r="S19" i="2" s="1"/>
  <c r="T19" i="2" s="1"/>
  <c r="U19" i="2" s="1"/>
  <c r="Q19" i="2"/>
  <c r="M18" i="2"/>
  <c r="N18" i="2" s="1"/>
  <c r="O18" i="2" s="1"/>
  <c r="P18" i="2" s="1"/>
  <c r="L18" i="2"/>
  <c r="M20" i="2"/>
  <c r="N20" i="2" s="1"/>
  <c r="O20" i="2" s="1"/>
  <c r="P20" i="2" s="1"/>
  <c r="M19" i="2"/>
  <c r="N19" i="2" s="1"/>
  <c r="O19" i="2" s="1"/>
  <c r="P19" i="2" s="1"/>
  <c r="L20" i="2"/>
  <c r="L19" i="2"/>
  <c r="G15" i="2"/>
  <c r="K12" i="2"/>
  <c r="J12" i="2"/>
  <c r="I12" i="2"/>
  <c r="H12" i="2"/>
  <c r="G12" i="2"/>
  <c r="G59" i="2"/>
  <c r="K62" i="2"/>
  <c r="J62" i="2"/>
  <c r="I62" i="2"/>
  <c r="H62" i="2"/>
  <c r="I61" i="2"/>
  <c r="J61" i="2" s="1"/>
  <c r="K61" i="2" s="1"/>
  <c r="H61" i="2"/>
  <c r="L8" i="1"/>
  <c r="F59" i="2"/>
  <c r="F13" i="2"/>
  <c r="E13" i="2"/>
  <c r="E12" i="2"/>
  <c r="F12" i="2"/>
  <c r="M6" i="1"/>
  <c r="M8" i="1"/>
  <c r="M5" i="1"/>
  <c r="I54" i="1"/>
  <c r="J54" i="1"/>
  <c r="K54" i="1"/>
  <c r="L54" i="1"/>
  <c r="L6" i="1"/>
  <c r="F6" i="1"/>
  <c r="E6" i="1"/>
  <c r="E5" i="1"/>
  <c r="K5" i="1"/>
  <c r="K6" i="1" s="1"/>
  <c r="J5" i="1"/>
  <c r="J6" i="1" s="1"/>
  <c r="I6" i="1"/>
  <c r="I5" i="1"/>
  <c r="H5" i="1"/>
  <c r="H6" i="1" s="1"/>
  <c r="G6" i="1"/>
  <c r="G5" i="1"/>
  <c r="F5" i="1"/>
  <c r="G62" i="2"/>
  <c r="G61" i="2"/>
  <c r="M56" i="1"/>
  <c r="M57" i="1" s="1"/>
  <c r="F62" i="2"/>
  <c r="E61" i="2"/>
  <c r="F61" i="2"/>
  <c r="I57" i="1"/>
  <c r="J57" i="1"/>
  <c r="K57" i="1"/>
  <c r="L57" i="1"/>
  <c r="L5" i="1"/>
  <c r="C3" i="2"/>
  <c r="L51" i="1"/>
  <c r="L43" i="1"/>
  <c r="L36" i="1"/>
  <c r="L35" i="1"/>
  <c r="L34" i="1" s="1"/>
  <c r="C5" i="2" s="1"/>
  <c r="L31" i="1"/>
  <c r="L30" i="1"/>
  <c r="L29" i="1"/>
  <c r="L14" i="1"/>
  <c r="L10" i="1"/>
  <c r="L24" i="1" s="1"/>
  <c r="F28" i="2"/>
  <c r="F25" i="2"/>
  <c r="F23" i="2"/>
  <c r="F20" i="2"/>
  <c r="G20" i="2" s="1"/>
  <c r="H20" i="2" s="1"/>
  <c r="I20" i="2" s="1"/>
  <c r="J20" i="2" s="1"/>
  <c r="K20" i="2" s="1"/>
  <c r="F19" i="2"/>
  <c r="G19" i="2" s="1"/>
  <c r="H19" i="2" s="1"/>
  <c r="I19" i="2" s="1"/>
  <c r="J19" i="2" s="1"/>
  <c r="K19" i="2" s="1"/>
  <c r="F18" i="2"/>
  <c r="G18" i="2" s="1"/>
  <c r="H18" i="2" s="1"/>
  <c r="I18" i="2" s="1"/>
  <c r="J18" i="2" s="1"/>
  <c r="K18" i="2" s="1"/>
  <c r="F16" i="2"/>
  <c r="F10" i="2"/>
  <c r="E25" i="2"/>
  <c r="E23" i="2"/>
  <c r="E20" i="2"/>
  <c r="E19" i="2"/>
  <c r="E18" i="2"/>
  <c r="E16" i="2"/>
  <c r="E10" i="2"/>
  <c r="K51" i="1"/>
  <c r="J51" i="1"/>
  <c r="F51" i="1"/>
  <c r="I35" i="1"/>
  <c r="I40" i="1"/>
  <c r="J16" i="1"/>
  <c r="K40" i="1"/>
  <c r="K36" i="1"/>
  <c r="K35" i="1"/>
  <c r="K16" i="1"/>
  <c r="I59" i="2" l="1"/>
  <c r="I15" i="2"/>
  <c r="H15" i="2"/>
  <c r="Q18" i="2"/>
  <c r="R18" i="2" s="1"/>
  <c r="S18" i="2" s="1"/>
  <c r="T18" i="2" s="1"/>
  <c r="U18" i="2" s="1"/>
  <c r="M54" i="1"/>
  <c r="L15" i="1"/>
  <c r="L42" i="1"/>
  <c r="K43" i="1"/>
  <c r="K42" i="1"/>
  <c r="K30" i="1"/>
  <c r="K29" i="1"/>
  <c r="K14" i="1"/>
  <c r="K8" i="1"/>
  <c r="K10" i="1" s="1"/>
  <c r="K24" i="1" s="1"/>
  <c r="J59" i="2" l="1"/>
  <c r="J15" i="2"/>
  <c r="L17" i="1"/>
  <c r="L25" i="1"/>
  <c r="K34" i="1"/>
  <c r="K15" i="1"/>
  <c r="F46" i="2"/>
  <c r="F45" i="2"/>
  <c r="J42" i="1"/>
  <c r="F41" i="2"/>
  <c r="I51" i="1"/>
  <c r="I43" i="1"/>
  <c r="I30" i="1"/>
  <c r="I29" i="1"/>
  <c r="I14" i="1"/>
  <c r="I8" i="1"/>
  <c r="M28" i="1" s="1"/>
  <c r="K15" i="2" l="1"/>
  <c r="L15" i="2" s="1"/>
  <c r="M15" i="2" s="1"/>
  <c r="N15" i="2" s="1"/>
  <c r="O15" i="2" s="1"/>
  <c r="P15" i="2" s="1"/>
  <c r="K59" i="2"/>
  <c r="L20" i="1"/>
  <c r="L21" i="1" s="1"/>
  <c r="L26" i="1"/>
  <c r="I34" i="1"/>
  <c r="F42" i="2"/>
  <c r="F40" i="2" s="1"/>
  <c r="F49" i="2"/>
  <c r="I42" i="1"/>
  <c r="F44" i="2"/>
  <c r="K25" i="1"/>
  <c r="K17" i="1"/>
  <c r="I10" i="1"/>
  <c r="I24" i="1" s="1"/>
  <c r="G35" i="2"/>
  <c r="F15" i="2"/>
  <c r="F48" i="2" l="1"/>
  <c r="I15" i="1"/>
  <c r="I25" i="1" s="1"/>
  <c r="K26" i="1"/>
  <c r="K20" i="1"/>
  <c r="K21" i="1" s="1"/>
  <c r="F17" i="2"/>
  <c r="I17" i="1" l="1"/>
  <c r="I26" i="1" l="1"/>
  <c r="I20" i="1"/>
  <c r="H43" i="1"/>
  <c r="H51" i="1"/>
  <c r="H14" i="1"/>
  <c r="L32" i="1" s="1"/>
  <c r="H8" i="1"/>
  <c r="J43" i="1"/>
  <c r="J30" i="1"/>
  <c r="J29" i="1"/>
  <c r="J14" i="1"/>
  <c r="J8" i="1"/>
  <c r="H10" i="1" l="1"/>
  <c r="L28" i="1"/>
  <c r="I21" i="1"/>
  <c r="H34" i="1"/>
  <c r="H42" i="1"/>
  <c r="H15" i="1"/>
  <c r="H17" i="1" s="1"/>
  <c r="H20" i="1" s="1"/>
  <c r="J10" i="1"/>
  <c r="J34" i="1"/>
  <c r="C4" i="2"/>
  <c r="H29" i="1"/>
  <c r="H30" i="1"/>
  <c r="G42" i="1"/>
  <c r="K31" i="1"/>
  <c r="G51" i="1"/>
  <c r="G43" i="1"/>
  <c r="G30" i="1"/>
  <c r="G29" i="1"/>
  <c r="G8" i="1"/>
  <c r="F56" i="2"/>
  <c r="B34" i="1"/>
  <c r="C34" i="1"/>
  <c r="C14" i="1"/>
  <c r="D34" i="1"/>
  <c r="D14" i="1"/>
  <c r="I31" i="1"/>
  <c r="E44" i="2"/>
  <c r="E41" i="2"/>
  <c r="E8" i="1"/>
  <c r="D8" i="1"/>
  <c r="D10" i="1" s="1"/>
  <c r="D24" i="1" s="1"/>
  <c r="C8" i="1"/>
  <c r="C10" i="1" s="1"/>
  <c r="F43" i="1"/>
  <c r="B14" i="1"/>
  <c r="F30" i="1"/>
  <c r="F29" i="1"/>
  <c r="B8" i="1"/>
  <c r="B10" i="1" s="1"/>
  <c r="B24" i="1" s="1"/>
  <c r="F8" i="1"/>
  <c r="F10" i="1" s="1"/>
  <c r="J31" i="1"/>
  <c r="E45" i="2"/>
  <c r="E43" i="1"/>
  <c r="E42" i="2"/>
  <c r="E46" i="2"/>
  <c r="D43" i="1"/>
  <c r="C43" i="1"/>
  <c r="B43" i="1"/>
  <c r="G28" i="2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B42" i="1" l="1"/>
  <c r="E42" i="1"/>
  <c r="E14" i="1"/>
  <c r="G34" i="1"/>
  <c r="D42" i="1"/>
  <c r="F14" i="1"/>
  <c r="J32" i="1" s="1"/>
  <c r="F42" i="1"/>
  <c r="G10" i="1"/>
  <c r="G24" i="1" s="1"/>
  <c r="K28" i="1"/>
  <c r="F28" i="1"/>
  <c r="J28" i="1"/>
  <c r="E10" i="1"/>
  <c r="E24" i="1" s="1"/>
  <c r="I28" i="1"/>
  <c r="H21" i="1"/>
  <c r="E40" i="2"/>
  <c r="J15" i="1"/>
  <c r="J24" i="1"/>
  <c r="C15" i="1"/>
  <c r="C25" i="1" s="1"/>
  <c r="C24" i="1"/>
  <c r="E49" i="2"/>
  <c r="E48" i="2"/>
  <c r="C42" i="1"/>
  <c r="F34" i="1"/>
  <c r="E34" i="1"/>
  <c r="H31" i="1"/>
  <c r="D15" i="1"/>
  <c r="E15" i="2"/>
  <c r="B15" i="1"/>
  <c r="G28" i="1"/>
  <c r="G14" i="1"/>
  <c r="F31" i="1"/>
  <c r="C6" i="2"/>
  <c r="C7" i="2" s="1"/>
  <c r="F24" i="1"/>
  <c r="G31" i="1"/>
  <c r="H32" i="1"/>
  <c r="C17" i="1" l="1"/>
  <c r="I32" i="1"/>
  <c r="F21" i="2"/>
  <c r="F22" i="2" s="1"/>
  <c r="F24" i="2" s="1"/>
  <c r="F32" i="1"/>
  <c r="G32" i="1"/>
  <c r="K32" i="1"/>
  <c r="E15" i="1"/>
  <c r="E25" i="1" s="1"/>
  <c r="F15" i="1"/>
  <c r="F17" i="1" s="1"/>
  <c r="F26" i="1" s="1"/>
  <c r="J25" i="1"/>
  <c r="J17" i="1"/>
  <c r="C20" i="1"/>
  <c r="C26" i="1"/>
  <c r="H28" i="1"/>
  <c r="B25" i="1"/>
  <c r="B17" i="1"/>
  <c r="F36" i="2"/>
  <c r="D17" i="1"/>
  <c r="D25" i="1"/>
  <c r="E17" i="2"/>
  <c r="G15" i="1"/>
  <c r="E21" i="2"/>
  <c r="F25" i="1" l="1"/>
  <c r="E17" i="1"/>
  <c r="E20" i="1" s="1"/>
  <c r="F20" i="1"/>
  <c r="F21" i="1" s="1"/>
  <c r="J20" i="1"/>
  <c r="J26" i="1"/>
  <c r="F35" i="2"/>
  <c r="G17" i="1"/>
  <c r="G25" i="1"/>
  <c r="G36" i="2"/>
  <c r="D20" i="1"/>
  <c r="D26" i="1"/>
  <c r="H24" i="1"/>
  <c r="F37" i="2"/>
  <c r="E22" i="2"/>
  <c r="E30" i="2"/>
  <c r="B26" i="1"/>
  <c r="B20" i="1"/>
  <c r="C21" i="1"/>
  <c r="F38" i="2"/>
  <c r="K45" i="1" l="1"/>
  <c r="L45" i="1"/>
  <c r="E26" i="1"/>
  <c r="K49" i="1"/>
  <c r="K48" i="1"/>
  <c r="K46" i="1"/>
  <c r="K47" i="1"/>
  <c r="E21" i="1"/>
  <c r="J21" i="1"/>
  <c r="H25" i="1"/>
  <c r="G37" i="2"/>
  <c r="H21" i="2"/>
  <c r="G26" i="1"/>
  <c r="G20" i="1"/>
  <c r="H45" i="1" s="1"/>
  <c r="H36" i="2"/>
  <c r="F34" i="2"/>
  <c r="D21" i="1"/>
  <c r="B21" i="1"/>
  <c r="E45" i="1"/>
  <c r="E31" i="2"/>
  <c r="E24" i="2"/>
  <c r="F45" i="1"/>
  <c r="D45" i="1"/>
  <c r="G21" i="2"/>
  <c r="G38" i="2" s="1"/>
  <c r="L49" i="1" l="1"/>
  <c r="L46" i="1"/>
  <c r="L47" i="1"/>
  <c r="L48" i="1"/>
  <c r="H48" i="1"/>
  <c r="H46" i="1"/>
  <c r="H49" i="1"/>
  <c r="H47" i="1"/>
  <c r="G21" i="1"/>
  <c r="I45" i="1"/>
  <c r="H38" i="2"/>
  <c r="H35" i="2"/>
  <c r="F30" i="2"/>
  <c r="G17" i="2" s="1"/>
  <c r="H37" i="2"/>
  <c r="D49" i="1"/>
  <c r="D46" i="1"/>
  <c r="D48" i="1"/>
  <c r="D47" i="1"/>
  <c r="I36" i="2"/>
  <c r="G34" i="2"/>
  <c r="F48" i="1"/>
  <c r="F47" i="1"/>
  <c r="F46" i="1"/>
  <c r="F49" i="1"/>
  <c r="E32" i="2"/>
  <c r="E26" i="2"/>
  <c r="E49" i="1"/>
  <c r="E48" i="1"/>
  <c r="E47" i="1"/>
  <c r="E46" i="1"/>
  <c r="C45" i="1"/>
  <c r="B45" i="1"/>
  <c r="G45" i="1"/>
  <c r="I49" i="1" l="1"/>
  <c r="I47" i="1"/>
  <c r="I48" i="1"/>
  <c r="I46" i="1"/>
  <c r="G16" i="2"/>
  <c r="I21" i="2"/>
  <c r="I38" i="2" s="1"/>
  <c r="I35" i="2"/>
  <c r="H34" i="2"/>
  <c r="C49" i="1"/>
  <c r="C48" i="1"/>
  <c r="C47" i="1"/>
  <c r="C46" i="1"/>
  <c r="H26" i="1"/>
  <c r="E27" i="2"/>
  <c r="J36" i="2"/>
  <c r="G48" i="1"/>
  <c r="G47" i="1"/>
  <c r="G46" i="1"/>
  <c r="G49" i="1"/>
  <c r="F31" i="2"/>
  <c r="I37" i="2"/>
  <c r="B49" i="1"/>
  <c r="B48" i="1"/>
  <c r="B47" i="1"/>
  <c r="B46" i="1"/>
  <c r="Q35" i="2" l="1"/>
  <c r="G22" i="2"/>
  <c r="G31" i="2" s="1"/>
  <c r="G30" i="2"/>
  <c r="H17" i="2" s="1"/>
  <c r="H30" i="2" s="1"/>
  <c r="I17" i="2" s="1"/>
  <c r="I16" i="2" s="1"/>
  <c r="J21" i="2"/>
  <c r="J38" i="2" s="1"/>
  <c r="J35" i="2"/>
  <c r="F32" i="2"/>
  <c r="I34" i="2"/>
  <c r="K36" i="2"/>
  <c r="J37" i="2"/>
  <c r="R35" i="2" l="1"/>
  <c r="H16" i="2"/>
  <c r="H22" i="2"/>
  <c r="H31" i="2" s="1"/>
  <c r="F26" i="2"/>
  <c r="J45" i="1"/>
  <c r="K35" i="2"/>
  <c r="I22" i="2"/>
  <c r="I30" i="2"/>
  <c r="J17" i="2" s="1"/>
  <c r="J34" i="2"/>
  <c r="K37" i="2"/>
  <c r="K21" i="2"/>
  <c r="K38" i="2" s="1"/>
  <c r="L36" i="2"/>
  <c r="S35" i="2" l="1"/>
  <c r="J48" i="1"/>
  <c r="J49" i="1"/>
  <c r="F27" i="2"/>
  <c r="F51" i="2"/>
  <c r="F53" i="2"/>
  <c r="F52" i="2"/>
  <c r="F54" i="2"/>
  <c r="G23" i="2"/>
  <c r="G24" i="2" s="1"/>
  <c r="J47" i="1"/>
  <c r="J46" i="1"/>
  <c r="L35" i="2"/>
  <c r="M21" i="2"/>
  <c r="L37" i="2"/>
  <c r="J22" i="2"/>
  <c r="J30" i="2"/>
  <c r="K17" i="2" s="1"/>
  <c r="K16" i="2" s="1"/>
  <c r="K34" i="2"/>
  <c r="J16" i="2"/>
  <c r="L21" i="2"/>
  <c r="L38" i="2" s="1"/>
  <c r="M36" i="2"/>
  <c r="I31" i="2"/>
  <c r="T35" i="2" l="1"/>
  <c r="M35" i="2"/>
  <c r="J31" i="2"/>
  <c r="G32" i="2"/>
  <c r="K22" i="2"/>
  <c r="K30" i="2"/>
  <c r="L17" i="2" s="1"/>
  <c r="L34" i="2"/>
  <c r="M38" i="2"/>
  <c r="N36" i="2"/>
  <c r="M37" i="2"/>
  <c r="U35" i="2" l="1"/>
  <c r="G26" i="2"/>
  <c r="G40" i="2" s="1"/>
  <c r="N35" i="2"/>
  <c r="M34" i="2"/>
  <c r="O36" i="2"/>
  <c r="L22" i="2"/>
  <c r="L30" i="2"/>
  <c r="M17" i="2" s="1"/>
  <c r="K31" i="2"/>
  <c r="L16" i="2"/>
  <c r="N37" i="2"/>
  <c r="N21" i="2"/>
  <c r="N38" i="2" s="1"/>
  <c r="Q36" i="2" l="1"/>
  <c r="G27" i="2"/>
  <c r="O35" i="2"/>
  <c r="M22" i="2"/>
  <c r="M30" i="2"/>
  <c r="N17" i="2" s="1"/>
  <c r="M16" i="2"/>
  <c r="O37" i="2"/>
  <c r="L31" i="2"/>
  <c r="O21" i="2"/>
  <c r="O38" i="2" s="1"/>
  <c r="P36" i="2"/>
  <c r="P21" i="2"/>
  <c r="N34" i="2"/>
  <c r="Q37" i="2" l="1"/>
  <c r="Q21" i="2"/>
  <c r="Q38" i="2" s="1"/>
  <c r="R36" i="2"/>
  <c r="R21" i="2"/>
  <c r="R38" i="2" s="1"/>
  <c r="P35" i="2"/>
  <c r="N30" i="2"/>
  <c r="O17" i="2" s="1"/>
  <c r="O16" i="2" s="1"/>
  <c r="N22" i="2"/>
  <c r="N16" i="2"/>
  <c r="O34" i="2"/>
  <c r="Q15" i="2"/>
  <c r="P38" i="2"/>
  <c r="H23" i="2"/>
  <c r="H24" i="2" s="1"/>
  <c r="P37" i="2"/>
  <c r="M31" i="2"/>
  <c r="R37" i="2" l="1"/>
  <c r="S36" i="2"/>
  <c r="S21" i="2"/>
  <c r="S38" i="2" s="1"/>
  <c r="R15" i="2"/>
  <c r="Q34" i="2"/>
  <c r="H32" i="2"/>
  <c r="N31" i="2"/>
  <c r="P34" i="2"/>
  <c r="O22" i="2"/>
  <c r="O30" i="2"/>
  <c r="P17" i="2" s="1"/>
  <c r="S37" i="2" l="1"/>
  <c r="T36" i="2"/>
  <c r="T21" i="2"/>
  <c r="T38" i="2" s="1"/>
  <c r="S15" i="2"/>
  <c r="R34" i="2"/>
  <c r="H26" i="2"/>
  <c r="P22" i="2"/>
  <c r="P30" i="2"/>
  <c r="Q17" i="2" s="1"/>
  <c r="P16" i="2"/>
  <c r="O31" i="2"/>
  <c r="T37" i="2" l="1"/>
  <c r="U37" i="2"/>
  <c r="U36" i="2"/>
  <c r="U21" i="2"/>
  <c r="U38" i="2" s="1"/>
  <c r="Q30" i="2"/>
  <c r="R17" i="2" s="1"/>
  <c r="Q22" i="2"/>
  <c r="Q16" i="2"/>
  <c r="S34" i="2"/>
  <c r="T15" i="2"/>
  <c r="H27" i="2"/>
  <c r="H40" i="2"/>
  <c r="I23" i="2" s="1"/>
  <c r="I24" i="2" s="1"/>
  <c r="P31" i="2"/>
  <c r="Q31" i="2" l="1"/>
  <c r="U15" i="2"/>
  <c r="T34" i="2"/>
  <c r="R30" i="2"/>
  <c r="S17" i="2" s="1"/>
  <c r="R22" i="2"/>
  <c r="R16" i="2"/>
  <c r="I32" i="2"/>
  <c r="U34" i="2" l="1"/>
  <c r="R31" i="2"/>
  <c r="S30" i="2"/>
  <c r="T17" i="2" s="1"/>
  <c r="S22" i="2"/>
  <c r="S16" i="2"/>
  <c r="I26" i="2"/>
  <c r="I40" i="2" l="1"/>
  <c r="J23" i="2" s="1"/>
  <c r="T22" i="2"/>
  <c r="T30" i="2"/>
  <c r="U17" i="2" s="1"/>
  <c r="T16" i="2"/>
  <c r="S31" i="2"/>
  <c r="I27" i="2"/>
  <c r="J24" i="2"/>
  <c r="U30" i="2" l="1"/>
  <c r="U22" i="2"/>
  <c r="U16" i="2"/>
  <c r="T31" i="2"/>
  <c r="J32" i="2"/>
  <c r="U31" i="2" l="1"/>
  <c r="J26" i="2"/>
  <c r="J27" i="2" l="1"/>
  <c r="J40" i="2"/>
  <c r="K23" i="2" s="1"/>
  <c r="K24" i="2" s="1"/>
  <c r="K32" i="2" l="1"/>
  <c r="K26" i="2" l="1"/>
  <c r="K27" i="2"/>
  <c r="K40" i="2"/>
  <c r="L23" i="2" l="1"/>
  <c r="L24" i="2" s="1"/>
  <c r="L32" i="2" l="1"/>
  <c r="L26" i="2" l="1"/>
  <c r="L27" i="2" s="1"/>
  <c r="L40" i="2" l="1"/>
  <c r="M23" i="2"/>
  <c r="M24" i="2" s="1"/>
  <c r="M25" i="2" s="1"/>
  <c r="M32" i="2" l="1"/>
  <c r="M26" i="2" l="1"/>
  <c r="M27" i="2" l="1"/>
  <c r="M40" i="2"/>
  <c r="N23" i="2" l="1"/>
  <c r="N24" i="2" s="1"/>
  <c r="N25" i="2" s="1"/>
  <c r="N32" i="2" l="1"/>
  <c r="N26" i="2" l="1"/>
  <c r="N27" i="2" l="1"/>
  <c r="N40" i="2"/>
  <c r="O23" i="2" s="1"/>
  <c r="O24" i="2" s="1"/>
  <c r="O25" i="2" s="1"/>
  <c r="O32" i="2" l="1"/>
  <c r="O26" i="2" l="1"/>
  <c r="O27" i="2"/>
  <c r="O40" i="2"/>
  <c r="P23" i="2" l="1"/>
  <c r="P24" i="2" s="1"/>
  <c r="P25" i="2" s="1"/>
  <c r="P32" i="2" l="1"/>
  <c r="P26" i="2" l="1"/>
  <c r="P27" i="2" l="1"/>
  <c r="P40" i="2"/>
  <c r="Q23" i="2" l="1"/>
  <c r="Q24" i="2" s="1"/>
  <c r="Q25" i="2" s="1"/>
  <c r="Q32" i="2" l="1"/>
  <c r="Q26" i="2"/>
  <c r="Q27" i="2" l="1"/>
  <c r="Q40" i="2"/>
  <c r="R23" i="2" l="1"/>
  <c r="R24" i="2" s="1"/>
  <c r="R25" i="2" s="1"/>
  <c r="R32" i="2" l="1"/>
  <c r="R26" i="2"/>
  <c r="R27" i="2" l="1"/>
  <c r="R40" i="2"/>
  <c r="S23" i="2" l="1"/>
  <c r="S24" i="2" s="1"/>
  <c r="S25" i="2" s="1"/>
  <c r="S32" i="2" l="1"/>
  <c r="S26" i="2" l="1"/>
  <c r="S27" i="2" l="1"/>
  <c r="S40" i="2"/>
  <c r="T23" i="2" l="1"/>
  <c r="T24" i="2" s="1"/>
  <c r="T25" i="2" s="1"/>
  <c r="T32" i="2" l="1"/>
  <c r="T26" i="2"/>
  <c r="T27" i="2" l="1"/>
  <c r="T40" i="2"/>
  <c r="U23" i="2" l="1"/>
  <c r="U24" i="2" s="1"/>
  <c r="U25" i="2" s="1"/>
  <c r="U32" i="2" l="1"/>
  <c r="U26" i="2"/>
  <c r="U27" i="2" l="1"/>
  <c r="V26" i="2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F5" i="2" s="1"/>
  <c r="U40" i="2"/>
  <c r="F6" i="2" l="1"/>
  <c r="F7" i="2" s="1"/>
  <c r="G7" i="2" s="1"/>
</calcChain>
</file>

<file path=xl/sharedStrings.xml><?xml version="1.0" encoding="utf-8"?>
<sst xmlns="http://schemas.openxmlformats.org/spreadsheetml/2006/main" count="128" uniqueCount="80">
  <si>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</si>
  <si>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</si>
  <si>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</si>
  <si>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</si>
  <si>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</si>
  <si>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</si>
  <si>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</si>
  <si>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</si>
  <si>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</si>
  <si>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</si>
  <si>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</si>
  <si>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</si>
  <si>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</si>
  <si>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</si>
  <si>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</si>
  <si>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</si>
  <si>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</si>
  <si>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</si>
  <si>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</si>
  <si>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</si>
  <si>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</si>
  <si>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</si>
  <si>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</si>
  <si>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</si>
  <si>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</si>
  <si>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</si>
  <si>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</si>
  <si>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</si>
  <si>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</si>
  <si>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</si>
  <si>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</si>
  <si>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</si>
  <si>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</si>
  <si>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</si>
  <si>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</si>
  <si>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</si>
  <si>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</si>
  <si>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</si>
  <si>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</si>
  <si>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</si>
  <si>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</si>
  <si>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</si>
  <si>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</si>
  <si>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</si>
  <si>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</si>
  <si>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</si>
  <si>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</si>
  <si>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</si>
  <si>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</si>
  <si>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</si>
  <si>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</si>
  <si>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</si>
  <si>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Tax anomaly</t>
  </si>
  <si>
    <t>DAU</t>
  </si>
  <si>
    <t>ARPU</t>
  </si>
  <si>
    <t>DAU y/y</t>
  </si>
  <si>
    <t>ARPU y/y</t>
  </si>
  <si>
    <t>Subscription</t>
  </si>
  <si>
    <t>Subscription y/y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</si>
  <si>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</si>
  <si>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</si>
  <si>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</si>
  <si>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</si>
  <si>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</si>
  <si>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</si>
  <si>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</si>
  <si>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</si>
  <si>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Asana Inc (ASAN)</t>
  </si>
  <si>
    <t>Dustin Moskovitz</t>
  </si>
  <si>
    <t>Justin Rosenstein</t>
  </si>
  <si>
    <t>Products</t>
  </si>
  <si>
    <t>Q121</t>
  </si>
  <si>
    <t>Q221</t>
  </si>
  <si>
    <t>Q321</t>
  </si>
  <si>
    <t>Q421</t>
  </si>
  <si>
    <t>Asana</t>
  </si>
  <si>
    <t>Paying customers</t>
  </si>
  <si>
    <t>Paying customers y/y</t>
  </si>
  <si>
    <t>Pricing targeted at small teams and non-profits?</t>
  </si>
  <si>
    <t>Team collaboration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</si>
</sst>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8" formatCode="#,##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9" fontId="6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0" borderId="0" xfId="0" applyNumberFormat="1" applyFont="1" applyBorder="1" applyAlignment="1">
      <alignment horizontal="right"/>
    </xf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Border="1"/>
    <xf numFmtId="3" fontId="7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4" fillId="0" borderId="0" xfId="4"/>
    <xf numFmtId="168" fontId="6" fillId="0" borderId="0" xfId="0" applyNumberFormat="1" applyFont="1"/>
    <xf numFmtId="168" fontId="6" fillId="0" borderId="0" xfId="0" applyNumberFormat="1" applyFont="1" applyBorder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0" xfId="0" applyNumberFormat="1" applyFont="1" applyBorder="1"/>
    <xf numFmtId="168" fontId="6" fillId="0" borderId="1" xfId="0" applyNumberFormat="1" applyFont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7</xdr:row>
      <xdr:rowOff>152400</xdr:rowOff>
    </xdr:from>
    <xdr:to>
      <xdr:col>6</xdr:col>
      <xdr:colOff>228600</xdr:colOff>
      <xdr:row>63</xdr:row>
      <xdr:rowOff>19539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933831" y="1314938"/>
          <a:ext cx="0" cy="916744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204354</xdr:colOff>
      <xdr:row>0</xdr:row>
      <xdr:rowOff>152400</xdr:rowOff>
    </xdr:from>
    <xdr:to>
      <xdr:col>12</xdr:col>
      <xdr:colOff>204354</xdr:colOff>
      <xdr:row>57</xdr:row>
      <xdr:rowOff>156307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0891892" y="152400"/>
          <a:ext cx="0" cy="947029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moskov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asana.com/overview/default.aspx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twitter.com/moskov" TargetMode="External"/><Relationship Id="rId4" Type="http://schemas.openxmlformats.org/officeDocument/2006/relationships/hyperlink" Target="https://twitter.com/rosenste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477720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62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I47" sqref="I47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7" x14ac:dyDescent="0.15">
      <c r="A1" s="70" t="s">
        <v>50</v>
      </c>
      <c r="B1" s="2" t="s">
        <v>67</v>
      </c>
    </row>
    <row r="2" spans="1:117" x14ac:dyDescent="0.15">
      <c r="B2" s="3" t="s">
        <v>32</v>
      </c>
      <c r="C2" s="4">
        <v>35.32</v>
      </c>
      <c r="D2" s="68">
        <v>44224</v>
      </c>
      <c r="E2" s="6" t="s">
        <v>21</v>
      </c>
      <c r="F2" s="7">
        <v>5.0000000000000001E-3</v>
      </c>
      <c r="I2" s="16"/>
      <c r="L2" s="2"/>
    </row>
    <row r="3" spans="1:117" x14ac:dyDescent="0.15">
      <c r="A3" s="2" t="s">
        <v>30</v>
      </c>
      <c r="B3" s="3" t="s">
        <v>13</v>
      </c>
      <c r="C3" s="8">
        <f>Reports!L22</f>
        <v>113.264</v>
      </c>
      <c r="D3" s="69" t="s">
        <v>73</v>
      </c>
      <c r="E3" s="6" t="s">
        <v>22</v>
      </c>
      <c r="F3" s="7">
        <v>0.02</v>
      </c>
      <c r="G3" s="5" t="s">
        <v>51</v>
      </c>
      <c r="I3" s="16"/>
    </row>
    <row r="4" spans="1:117" x14ac:dyDescent="0.15">
      <c r="A4" s="71" t="s">
        <v>68</v>
      </c>
      <c r="B4" s="3" t="s">
        <v>33</v>
      </c>
      <c r="C4" s="10">
        <f>C2*C3</f>
        <v>4000.4844800000001</v>
      </c>
      <c r="D4" s="69"/>
      <c r="E4" s="6" t="s">
        <v>23</v>
      </c>
      <c r="F4" s="7">
        <v>0.06</v>
      </c>
      <c r="G4" s="5" t="s">
        <v>62</v>
      </c>
      <c r="I4" s="20"/>
      <c r="L4" s="9" t="s">
        <v>63</v>
      </c>
    </row>
    <row r="5" spans="1:117" x14ac:dyDescent="0.15">
      <c r="B5" s="3" t="s">
        <v>18</v>
      </c>
      <c r="C5" s="8">
        <f>Reports!L34</f>
        <v>70</v>
      </c>
      <c r="D5" s="69" t="s">
        <v>73</v>
      </c>
      <c r="E5" s="6" t="s">
        <v>24</v>
      </c>
      <c r="F5" s="11">
        <f>NPV(F4,G26:GR26)</f>
        <v>4967.1458292663401</v>
      </c>
      <c r="G5" s="5" t="s">
        <v>64</v>
      </c>
      <c r="I5" s="20"/>
    </row>
    <row r="6" spans="1:117" x14ac:dyDescent="0.15">
      <c r="A6" s="2" t="s">
        <v>31</v>
      </c>
      <c r="B6" s="3" t="s">
        <v>34</v>
      </c>
      <c r="C6" s="10">
        <f>C4-C5</f>
        <v>3930.4844800000001</v>
      </c>
      <c r="D6" s="69"/>
      <c r="E6" s="12" t="s">
        <v>25</v>
      </c>
      <c r="F6" s="13">
        <f>F5+C5</f>
        <v>5037.1458292663401</v>
      </c>
      <c r="I6" s="20"/>
    </row>
    <row r="7" spans="1:117" x14ac:dyDescent="0.15">
      <c r="A7" s="71" t="s">
        <v>68</v>
      </c>
      <c r="B7" s="5" t="s">
        <v>35</v>
      </c>
      <c r="C7" s="45">
        <f>C6/C3</f>
        <v>34.701974855205542</v>
      </c>
      <c r="D7" s="69"/>
      <c r="E7" s="14" t="s">
        <v>35</v>
      </c>
      <c r="F7" s="43">
        <f>F6/C3</f>
        <v>44.472611149759324</v>
      </c>
      <c r="G7" s="20">
        <f>F7/C2-1</f>
        <v>0.25913395101243841</v>
      </c>
    </row>
    <row r="8" spans="1:117" x14ac:dyDescent="0.15">
      <c r="A8" s="71" t="s">
        <v>69</v>
      </c>
      <c r="E8" s="6"/>
      <c r="F8" s="15"/>
    </row>
    <row r="9" spans="1:117" x14ac:dyDescent="0.15">
      <c r="B9" s="39">
        <v>2016</v>
      </c>
      <c r="C9" s="39">
        <v>2017</v>
      </c>
      <c r="D9" s="39">
        <f>C9+1</f>
        <v>2018</v>
      </c>
      <c r="E9" s="39">
        <f t="shared" ref="E9:U9" si="0">D9+1</f>
        <v>2019</v>
      </c>
      <c r="F9" s="39">
        <f t="shared" si="0"/>
        <v>2020</v>
      </c>
      <c r="G9" s="39">
        <f t="shared" si="0"/>
        <v>2021</v>
      </c>
      <c r="H9" s="39">
        <f t="shared" si="0"/>
        <v>2022</v>
      </c>
      <c r="I9" s="39">
        <f t="shared" si="0"/>
        <v>2023</v>
      </c>
      <c r="J9" s="39">
        <f t="shared" si="0"/>
        <v>2024</v>
      </c>
      <c r="K9" s="39">
        <f t="shared" si="0"/>
        <v>2025</v>
      </c>
      <c r="L9" s="39">
        <f t="shared" si="0"/>
        <v>2026</v>
      </c>
      <c r="M9" s="39">
        <f t="shared" si="0"/>
        <v>2027</v>
      </c>
      <c r="N9" s="39">
        <f t="shared" si="0"/>
        <v>2028</v>
      </c>
      <c r="O9" s="39">
        <f t="shared" si="0"/>
        <v>2029</v>
      </c>
      <c r="P9" s="39">
        <f t="shared" si="0"/>
        <v>2030</v>
      </c>
      <c r="Q9" s="39">
        <f t="shared" si="0"/>
        <v>2031</v>
      </c>
      <c r="R9" s="39">
        <f t="shared" si="0"/>
        <v>2032</v>
      </c>
      <c r="S9" s="39">
        <f t="shared" si="0"/>
        <v>2033</v>
      </c>
      <c r="T9" s="39">
        <f t="shared" si="0"/>
        <v>2034</v>
      </c>
      <c r="U9" s="39">
        <f t="shared" si="0"/>
        <v>2035</v>
      </c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</row>
    <row r="10" spans="1:117" x14ac:dyDescent="0.15">
      <c r="A10" s="8" t="s">
        <v>57</v>
      </c>
      <c r="B10" s="24"/>
      <c r="C10" s="24"/>
      <c r="D10" s="38"/>
      <c r="E10" s="38">
        <f>SUM(Reports!B3:E3)</f>
        <v>77</v>
      </c>
      <c r="F10" s="38">
        <f>SUM(Reports!F3:I3)</f>
        <v>142.47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</row>
    <row r="11" spans="1:117" x14ac:dyDescent="0.15">
      <c r="B11" s="24"/>
      <c r="C11" s="24"/>
      <c r="D11" s="38"/>
      <c r="E11" s="38"/>
      <c r="F11" s="38"/>
      <c r="G11" s="38"/>
      <c r="H11" s="38"/>
      <c r="I11" s="38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</row>
    <row r="12" spans="1:117" s="72" customFormat="1" x14ac:dyDescent="0.15">
      <c r="A12" s="72" t="s">
        <v>53</v>
      </c>
      <c r="B12" s="73"/>
      <c r="C12" s="73"/>
      <c r="D12" s="74"/>
      <c r="E12" s="74">
        <f>E61/1000000</f>
        <v>3.2000000000000001E-2</v>
      </c>
      <c r="F12" s="74">
        <f>F61/1000000</f>
        <v>7.4999999999999997E-2</v>
      </c>
      <c r="G12" s="74">
        <f>G61/1000000</f>
        <v>0.09</v>
      </c>
      <c r="H12" s="74">
        <f>H61/1000000</f>
        <v>0.108</v>
      </c>
      <c r="I12" s="74">
        <f>I61/1000000</f>
        <v>0.12959999999999999</v>
      </c>
      <c r="J12" s="74">
        <f>J61/1000000</f>
        <v>0.15551999999999999</v>
      </c>
      <c r="K12" s="74">
        <f>K61/1000000</f>
        <v>0.18662400000000001</v>
      </c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</row>
    <row r="13" spans="1:117" s="16" customFormat="1" x14ac:dyDescent="0.15">
      <c r="A13" s="16" t="s">
        <v>54</v>
      </c>
      <c r="B13" s="24"/>
      <c r="C13" s="24"/>
      <c r="D13" s="38"/>
      <c r="E13" s="57">
        <f>E10/E12</f>
        <v>2406.25</v>
      </c>
      <c r="F13" s="57">
        <f>F10/F12</f>
        <v>1899.6000000000001</v>
      </c>
      <c r="G13" s="38">
        <f>F13*1.3</f>
        <v>2469.4800000000005</v>
      </c>
      <c r="H13" s="38">
        <f>G13*1.25</f>
        <v>3086.8500000000004</v>
      </c>
      <c r="I13" s="38">
        <f>H13*1.2</f>
        <v>3704.2200000000003</v>
      </c>
      <c r="J13" s="38">
        <f>I13*1.15</f>
        <v>4259.8530000000001</v>
      </c>
      <c r="K13" s="38">
        <f>J13*1.1</f>
        <v>4685.8383000000003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</row>
    <row r="14" spans="1:117" s="60" customFormat="1" x14ac:dyDescent="0.15">
      <c r="B14" s="44"/>
      <c r="C14" s="44"/>
      <c r="D14" s="38"/>
      <c r="F14" s="50"/>
      <c r="G14" s="50"/>
      <c r="H14" s="50"/>
      <c r="I14" s="50"/>
    </row>
    <row r="15" spans="1:117" x14ac:dyDescent="0.15">
      <c r="A15" s="2" t="s">
        <v>0</v>
      </c>
      <c r="B15" s="44"/>
      <c r="C15" s="44"/>
      <c r="D15" s="38"/>
      <c r="E15" s="25">
        <f>SUM(E10:E10)</f>
        <v>77</v>
      </c>
      <c r="F15" s="25">
        <f>SUM(F10:F10)</f>
        <v>142.47</v>
      </c>
      <c r="G15" s="48">
        <f>G13*G12</f>
        <v>222.25320000000002</v>
      </c>
      <c r="H15" s="48">
        <f>H13*H12</f>
        <v>333.37980000000005</v>
      </c>
      <c r="I15" s="48">
        <f>I13*I12</f>
        <v>480.066912</v>
      </c>
      <c r="J15" s="48">
        <f>J13*J12</f>
        <v>662.49233856000001</v>
      </c>
      <c r="K15" s="48">
        <f>K13*K12</f>
        <v>874.48988689920009</v>
      </c>
      <c r="L15" s="48">
        <f>K15*1.2</f>
        <v>1049.3878642790401</v>
      </c>
      <c r="M15" s="48">
        <f t="shared" ref="M15:P15" si="1">L15*1.2</f>
        <v>1259.2654371348481</v>
      </c>
      <c r="N15" s="48">
        <f t="shared" si="1"/>
        <v>1511.1185245618176</v>
      </c>
      <c r="O15" s="48">
        <f t="shared" si="1"/>
        <v>1813.3422294741811</v>
      </c>
      <c r="P15" s="48">
        <f t="shared" si="1"/>
        <v>2176.010675369017</v>
      </c>
      <c r="Q15" s="48">
        <f t="shared" ref="M15:U15" si="2">P15*1.1</f>
        <v>2393.6117429059191</v>
      </c>
      <c r="R15" s="48">
        <f t="shared" si="2"/>
        <v>2632.9729171965114</v>
      </c>
      <c r="S15" s="48">
        <f t="shared" si="2"/>
        <v>2896.2702089161626</v>
      </c>
      <c r="T15" s="48">
        <f t="shared" si="2"/>
        <v>3185.8972298077792</v>
      </c>
      <c r="U15" s="48">
        <f t="shared" si="2"/>
        <v>3504.4869527885576</v>
      </c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</row>
    <row r="16" spans="1:117" x14ac:dyDescent="0.15">
      <c r="A16" s="3" t="s">
        <v>1</v>
      </c>
      <c r="B16" s="44"/>
      <c r="C16" s="44"/>
      <c r="D16" s="38"/>
      <c r="E16" s="38">
        <f>SUM(Reports!B9:E9)</f>
        <v>14</v>
      </c>
      <c r="F16" s="38">
        <f>SUM(Reports!F9:I9)</f>
        <v>19.802</v>
      </c>
      <c r="G16" s="24">
        <f>G15-G17</f>
        <v>30.891120000000001</v>
      </c>
      <c r="H16" s="24">
        <f t="shared" ref="H16" si="3">H15-H17</f>
        <v>46.336680000000001</v>
      </c>
      <c r="I16" s="24">
        <f t="shared" ref="I16:P16" si="4">I15-I17</f>
        <v>66.724819199999956</v>
      </c>
      <c r="J16" s="24">
        <f t="shared" si="4"/>
        <v>92.080250495999962</v>
      </c>
      <c r="K16" s="24">
        <f>K15-K17</f>
        <v>121.54593065472</v>
      </c>
      <c r="L16" s="24">
        <f t="shared" si="4"/>
        <v>145.85511678566399</v>
      </c>
      <c r="M16" s="24">
        <f t="shared" si="4"/>
        <v>175.02614014279675</v>
      </c>
      <c r="N16" s="24">
        <f t="shared" si="4"/>
        <v>210.03136817135601</v>
      </c>
      <c r="O16" s="24">
        <f t="shared" si="4"/>
        <v>252.03764180562735</v>
      </c>
      <c r="P16" s="24">
        <f t="shared" si="4"/>
        <v>302.44517016675263</v>
      </c>
      <c r="Q16" s="24">
        <f t="shared" ref="Q16:U16" si="5">Q15-Q17</f>
        <v>332.68968718342785</v>
      </c>
      <c r="R16" s="24">
        <f t="shared" si="5"/>
        <v>365.95865590177073</v>
      </c>
      <c r="S16" s="24">
        <f t="shared" si="5"/>
        <v>402.55452149194753</v>
      </c>
      <c r="T16" s="24">
        <f t="shared" si="5"/>
        <v>442.80997364114228</v>
      </c>
      <c r="U16" s="24">
        <f t="shared" si="5"/>
        <v>487.09097100525651</v>
      </c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</row>
    <row r="17" spans="1:200" x14ac:dyDescent="0.15">
      <c r="A17" s="3" t="s">
        <v>2</v>
      </c>
      <c r="B17" s="44"/>
      <c r="C17" s="44"/>
      <c r="D17" s="38"/>
      <c r="E17" s="27">
        <f>E15-E16</f>
        <v>63</v>
      </c>
      <c r="F17" s="27">
        <f>F15-F16</f>
        <v>122.66800000000001</v>
      </c>
      <c r="G17" s="24">
        <f>G15*F30</f>
        <v>191.36208000000002</v>
      </c>
      <c r="H17" s="24">
        <f t="shared" ref="H17:U17" si="6">H15*G30</f>
        <v>287.04312000000004</v>
      </c>
      <c r="I17" s="24">
        <f t="shared" si="6"/>
        <v>413.34209280000005</v>
      </c>
      <c r="J17" s="24">
        <f t="shared" si="6"/>
        <v>570.41208806400005</v>
      </c>
      <c r="K17" s="24">
        <f>K15*J30</f>
        <v>752.94395624448009</v>
      </c>
      <c r="L17" s="24">
        <f t="shared" si="6"/>
        <v>903.53274749337606</v>
      </c>
      <c r="M17" s="24">
        <f t="shared" si="6"/>
        <v>1084.2392969920513</v>
      </c>
      <c r="N17" s="24">
        <f t="shared" si="6"/>
        <v>1301.0871563904616</v>
      </c>
      <c r="O17" s="24">
        <f t="shared" si="6"/>
        <v>1561.3045876685537</v>
      </c>
      <c r="P17" s="24">
        <f t="shared" si="6"/>
        <v>1873.5655052022644</v>
      </c>
      <c r="Q17" s="24">
        <f t="shared" si="6"/>
        <v>2060.9220557224912</v>
      </c>
      <c r="R17" s="24">
        <f t="shared" si="6"/>
        <v>2267.0142612947407</v>
      </c>
      <c r="S17" s="24">
        <f t="shared" si="6"/>
        <v>2493.715687424215</v>
      </c>
      <c r="T17" s="24">
        <f t="shared" si="6"/>
        <v>2743.087256166637</v>
      </c>
      <c r="U17" s="24">
        <f t="shared" si="6"/>
        <v>3017.3959817833011</v>
      </c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</row>
    <row r="18" spans="1:200" x14ac:dyDescent="0.15">
      <c r="A18" s="3" t="s">
        <v>3</v>
      </c>
      <c r="B18" s="44"/>
      <c r="C18" s="44"/>
      <c r="D18" s="38"/>
      <c r="E18" s="38">
        <f>SUM(Reports!B11:E11)</f>
        <v>43</v>
      </c>
      <c r="F18" s="38">
        <f>SUM(Reports!F11:I11)</f>
        <v>89</v>
      </c>
      <c r="G18" s="24">
        <f>F18*1.3</f>
        <v>115.7</v>
      </c>
      <c r="H18" s="24">
        <f t="shared" ref="H18:K18" si="7">G18*1.3</f>
        <v>150.41</v>
      </c>
      <c r="I18" s="24">
        <f t="shared" si="7"/>
        <v>195.53300000000002</v>
      </c>
      <c r="J18" s="24">
        <f t="shared" si="7"/>
        <v>254.19290000000004</v>
      </c>
      <c r="K18" s="24">
        <f t="shared" si="7"/>
        <v>330.45077000000003</v>
      </c>
      <c r="L18" s="24">
        <f>K18*1.2</f>
        <v>396.54092400000002</v>
      </c>
      <c r="M18" s="24">
        <f t="shared" ref="M18:P18" si="8">L18*1.2</f>
        <v>475.84910880000001</v>
      </c>
      <c r="N18" s="24">
        <f t="shared" si="8"/>
        <v>571.01893055999994</v>
      </c>
      <c r="O18" s="24">
        <f t="shared" si="8"/>
        <v>685.22271667199993</v>
      </c>
      <c r="P18" s="24">
        <f t="shared" si="8"/>
        <v>822.26726000639985</v>
      </c>
      <c r="Q18" s="24">
        <f t="shared" ref="M18:U18" si="9">P18*1.1</f>
        <v>904.49398600703989</v>
      </c>
      <c r="R18" s="24">
        <f t="shared" si="9"/>
        <v>994.94338460774395</v>
      </c>
      <c r="S18" s="24">
        <f t="shared" si="9"/>
        <v>1094.4377230685184</v>
      </c>
      <c r="T18" s="24">
        <f t="shared" si="9"/>
        <v>1203.8814953753704</v>
      </c>
      <c r="U18" s="24">
        <f t="shared" si="9"/>
        <v>1324.2696449129076</v>
      </c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</row>
    <row r="19" spans="1:200" x14ac:dyDescent="0.15">
      <c r="A19" s="3" t="s">
        <v>4</v>
      </c>
      <c r="B19" s="44"/>
      <c r="C19" s="44"/>
      <c r="D19" s="38"/>
      <c r="E19" s="38">
        <f>SUM(Reports!B12:E12)</f>
        <v>52</v>
      </c>
      <c r="F19" s="38">
        <f>SUM(Reports!F12:I12)</f>
        <v>106</v>
      </c>
      <c r="G19" s="24">
        <f>F19*1.3</f>
        <v>137.80000000000001</v>
      </c>
      <c r="H19" s="24">
        <f t="shared" ref="H19:K19" si="10">G19*1.3</f>
        <v>179.14000000000001</v>
      </c>
      <c r="I19" s="24">
        <f t="shared" si="10"/>
        <v>232.88200000000003</v>
      </c>
      <c r="J19" s="24">
        <f t="shared" si="10"/>
        <v>302.74660000000006</v>
      </c>
      <c r="K19" s="24">
        <f t="shared" si="10"/>
        <v>393.57058000000006</v>
      </c>
      <c r="L19" s="24">
        <f>K19*1.15</f>
        <v>452.60616700000003</v>
      </c>
      <c r="M19" s="24">
        <f t="shared" ref="M19:P19" si="11">L19*1.15</f>
        <v>520.49709204999999</v>
      </c>
      <c r="N19" s="24">
        <f t="shared" si="11"/>
        <v>598.57165585749999</v>
      </c>
      <c r="O19" s="24">
        <f t="shared" si="11"/>
        <v>688.35740423612492</v>
      </c>
      <c r="P19" s="24">
        <f t="shared" si="11"/>
        <v>791.6110148715436</v>
      </c>
      <c r="Q19" s="24">
        <f>P19*0.98</f>
        <v>775.77879457411268</v>
      </c>
      <c r="R19" s="24">
        <f t="shared" ref="R19:U19" si="12">Q19*0.98</f>
        <v>760.2632186826304</v>
      </c>
      <c r="S19" s="24">
        <f t="shared" si="12"/>
        <v>745.05795430897774</v>
      </c>
      <c r="T19" s="24">
        <f t="shared" si="12"/>
        <v>730.15679522279822</v>
      </c>
      <c r="U19" s="24">
        <f t="shared" si="12"/>
        <v>715.55365931834228</v>
      </c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</row>
    <row r="20" spans="1:200" x14ac:dyDescent="0.15">
      <c r="A20" s="3" t="s">
        <v>5</v>
      </c>
      <c r="B20" s="44"/>
      <c r="C20" s="44"/>
      <c r="D20" s="38"/>
      <c r="E20" s="38">
        <f>SUM(Reports!B13:E13)</f>
        <v>21</v>
      </c>
      <c r="F20" s="38">
        <f>SUM(Reports!F13:I13)</f>
        <v>47</v>
      </c>
      <c r="G20" s="24">
        <f>F20*1.25</f>
        <v>58.75</v>
      </c>
      <c r="H20" s="24">
        <f t="shared" ref="H20:K20" si="13">G20*1.25</f>
        <v>73.4375</v>
      </c>
      <c r="I20" s="24">
        <f t="shared" si="13"/>
        <v>91.796875</v>
      </c>
      <c r="J20" s="24">
        <f t="shared" si="13"/>
        <v>114.74609375</v>
      </c>
      <c r="K20" s="24">
        <f t="shared" si="13"/>
        <v>143.4326171875</v>
      </c>
      <c r="L20" s="24">
        <f t="shared" ref="L20:P20" si="14">K20*1.15</f>
        <v>164.947509765625</v>
      </c>
      <c r="M20" s="24">
        <f t="shared" si="14"/>
        <v>189.68963623046872</v>
      </c>
      <c r="N20" s="24">
        <f t="shared" si="14"/>
        <v>218.14308166503901</v>
      </c>
      <c r="O20" s="24">
        <f t="shared" si="14"/>
        <v>250.86454391479484</v>
      </c>
      <c r="P20" s="24">
        <f t="shared" si="14"/>
        <v>288.49422550201405</v>
      </c>
      <c r="Q20" s="24">
        <f>P20*0.95</f>
        <v>274.06951422691333</v>
      </c>
      <c r="R20" s="24">
        <f t="shared" ref="R20:U20" si="15">Q20*0.95</f>
        <v>260.36603851556765</v>
      </c>
      <c r="S20" s="24">
        <f t="shared" si="15"/>
        <v>247.34773658978926</v>
      </c>
      <c r="T20" s="24">
        <f t="shared" si="15"/>
        <v>234.98034976029979</v>
      </c>
      <c r="U20" s="24">
        <f t="shared" si="15"/>
        <v>223.23133227228479</v>
      </c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</row>
    <row r="21" spans="1:200" x14ac:dyDescent="0.15">
      <c r="A21" s="3" t="s">
        <v>6</v>
      </c>
      <c r="B21" s="44"/>
      <c r="C21" s="44"/>
      <c r="D21" s="38"/>
      <c r="E21" s="27">
        <f>SUM(E18:E20)</f>
        <v>116</v>
      </c>
      <c r="F21" s="27">
        <f>SUM(F18:F20)</f>
        <v>242</v>
      </c>
      <c r="G21" s="24">
        <f t="shared" ref="G21:H21" si="16">SUM(G18:G20)</f>
        <v>312.25</v>
      </c>
      <c r="H21" s="24">
        <f t="shared" si="16"/>
        <v>402.98750000000001</v>
      </c>
      <c r="I21" s="24">
        <f t="shared" ref="I21:P21" si="17">SUM(I18:I20)</f>
        <v>520.21187500000008</v>
      </c>
      <c r="J21" s="24">
        <f t="shared" si="17"/>
        <v>671.68559375000007</v>
      </c>
      <c r="K21" s="24">
        <f t="shared" si="17"/>
        <v>867.4539671875001</v>
      </c>
      <c r="L21" s="24">
        <f t="shared" si="17"/>
        <v>1014.094600765625</v>
      </c>
      <c r="M21" s="24">
        <f t="shared" si="17"/>
        <v>1186.0358370804688</v>
      </c>
      <c r="N21" s="24">
        <f t="shared" si="17"/>
        <v>1387.733668082539</v>
      </c>
      <c r="O21" s="24">
        <f t="shared" si="17"/>
        <v>1624.4446648229198</v>
      </c>
      <c r="P21" s="24">
        <f t="shared" si="17"/>
        <v>1902.3725003799577</v>
      </c>
      <c r="Q21" s="24">
        <f t="shared" ref="Q21:U21" si="18">SUM(Q18:Q20)</f>
        <v>1954.3422948080658</v>
      </c>
      <c r="R21" s="24">
        <f t="shared" si="18"/>
        <v>2015.5726418059421</v>
      </c>
      <c r="S21" s="24">
        <f t="shared" si="18"/>
        <v>2086.8434139672854</v>
      </c>
      <c r="T21" s="24">
        <f t="shared" si="18"/>
        <v>2169.0186403584685</v>
      </c>
      <c r="U21" s="24">
        <f t="shared" si="18"/>
        <v>2263.0546365035348</v>
      </c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</row>
    <row r="22" spans="1:200" x14ac:dyDescent="0.15">
      <c r="A22" s="3" t="s">
        <v>7</v>
      </c>
      <c r="B22" s="44"/>
      <c r="C22" s="44"/>
      <c r="D22" s="38"/>
      <c r="E22" s="27">
        <f>E17-E21</f>
        <v>-53</v>
      </c>
      <c r="F22" s="27">
        <f>F17-F21</f>
        <v>-119.33199999999999</v>
      </c>
      <c r="G22" s="24">
        <f t="shared" ref="G22:H22" si="19">G17-G21</f>
        <v>-120.88791999999998</v>
      </c>
      <c r="H22" s="24">
        <f t="shared" si="19"/>
        <v>-115.94437999999997</v>
      </c>
      <c r="I22" s="24">
        <f t="shared" ref="I22:P22" si="20">I17-I21</f>
        <v>-106.86978220000003</v>
      </c>
      <c r="J22" s="24">
        <f t="shared" si="20"/>
        <v>-101.27350568600002</v>
      </c>
      <c r="K22" s="24">
        <f t="shared" si="20"/>
        <v>-114.51001094302001</v>
      </c>
      <c r="L22" s="24">
        <f t="shared" si="20"/>
        <v>-110.56185327224898</v>
      </c>
      <c r="M22" s="24">
        <f t="shared" si="20"/>
        <v>-101.79654008841749</v>
      </c>
      <c r="N22" s="24">
        <f t="shared" si="20"/>
        <v>-86.646511692077411</v>
      </c>
      <c r="O22" s="24">
        <f t="shared" si="20"/>
        <v>-63.140077154366054</v>
      </c>
      <c r="P22" s="24">
        <f t="shared" si="20"/>
        <v>-28.806995177693352</v>
      </c>
      <c r="Q22" s="24">
        <f t="shared" ref="Q22:U22" si="21">Q17-Q21</f>
        <v>106.57976091442538</v>
      </c>
      <c r="R22" s="24">
        <f t="shared" si="21"/>
        <v>251.44161948879855</v>
      </c>
      <c r="S22" s="24">
        <f t="shared" si="21"/>
        <v>406.87227345692963</v>
      </c>
      <c r="T22" s="24">
        <f t="shared" si="21"/>
        <v>574.06861580816849</v>
      </c>
      <c r="U22" s="24">
        <f t="shared" si="21"/>
        <v>754.3413452797663</v>
      </c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</row>
    <row r="23" spans="1:200" x14ac:dyDescent="0.15">
      <c r="A23" s="3" t="s">
        <v>8</v>
      </c>
      <c r="B23" s="44"/>
      <c r="C23" s="44"/>
      <c r="D23" s="38"/>
      <c r="E23" s="38">
        <f>SUM(Reports!B16:E16)</f>
        <v>0</v>
      </c>
      <c r="F23" s="38">
        <f>SUM(Reports!F16:I16)</f>
        <v>0</v>
      </c>
      <c r="G23" s="24">
        <f>F40*$F$3</f>
        <v>2.96</v>
      </c>
      <c r="H23" s="24">
        <f t="shared" ref="H23:U23" si="22">G40*$F$3</f>
        <v>0.60144160000000024</v>
      </c>
      <c r="I23" s="24">
        <f t="shared" si="22"/>
        <v>-1.705417167999999</v>
      </c>
      <c r="J23" s="24">
        <f>I40*$F$3</f>
        <v>-3.8769211553599998</v>
      </c>
      <c r="K23" s="24">
        <f t="shared" si="22"/>
        <v>-5.9799296921871994</v>
      </c>
      <c r="L23" s="24">
        <f t="shared" si="22"/>
        <v>-8.3897285048913428</v>
      </c>
      <c r="M23" s="24">
        <f t="shared" si="22"/>
        <v>-10.76876014043415</v>
      </c>
      <c r="N23" s="24">
        <f t="shared" si="22"/>
        <v>-12.682370244324627</v>
      </c>
      <c r="O23" s="24">
        <f t="shared" si="22"/>
        <v>-14.370961237243462</v>
      </c>
      <c r="P23" s="24">
        <f t="shared" si="22"/>
        <v>-15.688648889900824</v>
      </c>
      <c r="Q23" s="24">
        <f t="shared" si="22"/>
        <v>-16.445074839049926</v>
      </c>
      <c r="R23" s="24">
        <f t="shared" si="22"/>
        <v>-14.912785175768542</v>
      </c>
      <c r="S23" s="24">
        <f t="shared" si="22"/>
        <v>-10.891794992447032</v>
      </c>
      <c r="T23" s="24">
        <f t="shared" si="22"/>
        <v>-4.1601268585508286</v>
      </c>
      <c r="U23" s="24">
        <f t="shared" si="22"/>
        <v>5.5283174535926722</v>
      </c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</row>
    <row r="24" spans="1:200" x14ac:dyDescent="0.15">
      <c r="A24" s="3" t="s">
        <v>9</v>
      </c>
      <c r="B24" s="44"/>
      <c r="C24" s="44"/>
      <c r="D24" s="38"/>
      <c r="E24" s="27">
        <f>E22+E23</f>
        <v>-53</v>
      </c>
      <c r="F24" s="27">
        <f>F22+F23</f>
        <v>-119.33199999999999</v>
      </c>
      <c r="G24" s="24">
        <f t="shared" ref="G24:H24" si="23">G22+G23</f>
        <v>-117.92791999999999</v>
      </c>
      <c r="H24" s="24">
        <f t="shared" si="23"/>
        <v>-115.34293839999997</v>
      </c>
      <c r="I24" s="24">
        <f t="shared" ref="I24" si="24">I22+I23</f>
        <v>-108.57519936800003</v>
      </c>
      <c r="J24" s="24">
        <f t="shared" ref="J24" si="25">J22+J23</f>
        <v>-105.15042684136002</v>
      </c>
      <c r="K24" s="24">
        <f t="shared" ref="K24" si="26">K22+K23</f>
        <v>-120.4899406352072</v>
      </c>
      <c r="L24" s="24">
        <f t="shared" ref="L24" si="27">L22+L23</f>
        <v>-118.95158177714032</v>
      </c>
      <c r="M24" s="24">
        <f t="shared" ref="M24" si="28">M22+M23</f>
        <v>-112.56530022885164</v>
      </c>
      <c r="N24" s="24">
        <f t="shared" ref="N24" si="29">N22+N23</f>
        <v>-99.328881936402041</v>
      </c>
      <c r="O24" s="24">
        <f t="shared" ref="O24" si="30">O22+O23</f>
        <v>-77.511038391609517</v>
      </c>
      <c r="P24" s="24">
        <f t="shared" ref="P24:Q24" si="31">P22+P23</f>
        <v>-44.495644067594178</v>
      </c>
      <c r="Q24" s="24">
        <f t="shared" si="31"/>
        <v>90.134686075375456</v>
      </c>
      <c r="R24" s="24">
        <f t="shared" ref="R24:U24" si="32">R22+R23</f>
        <v>236.52883431303002</v>
      </c>
      <c r="S24" s="24">
        <f t="shared" si="32"/>
        <v>395.98047846448259</v>
      </c>
      <c r="T24" s="24">
        <f t="shared" si="32"/>
        <v>569.90848894961766</v>
      </c>
      <c r="U24" s="24">
        <f t="shared" si="32"/>
        <v>759.86966273335895</v>
      </c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</row>
    <row r="25" spans="1:200" x14ac:dyDescent="0.15">
      <c r="A25" s="3" t="s">
        <v>10</v>
      </c>
      <c r="B25" s="44"/>
      <c r="C25" s="44"/>
      <c r="D25" s="38"/>
      <c r="E25" s="38">
        <f>SUM(Reports!B18:E18)</f>
        <v>0</v>
      </c>
      <c r="F25" s="38">
        <f>SUM(Reports!F18:I18)</f>
        <v>0</v>
      </c>
      <c r="G25" s="24"/>
      <c r="H25" s="24"/>
      <c r="I25" s="24"/>
      <c r="J25" s="24"/>
      <c r="K25" s="24"/>
      <c r="L25" s="24"/>
      <c r="M25" s="24">
        <f>M24*0.15</f>
        <v>-16.884795034327745</v>
      </c>
      <c r="N25" s="24">
        <f t="shared" ref="N25:U25" si="33">N24*0.15</f>
        <v>-14.899332290460306</v>
      </c>
      <c r="O25" s="24">
        <f t="shared" si="33"/>
        <v>-11.626655758741427</v>
      </c>
      <c r="P25" s="24">
        <f t="shared" si="33"/>
        <v>-6.6743466101391267</v>
      </c>
      <c r="Q25" s="24">
        <f t="shared" si="33"/>
        <v>13.520202911306319</v>
      </c>
      <c r="R25" s="24">
        <f t="shared" si="33"/>
        <v>35.479325146954501</v>
      </c>
      <c r="S25" s="24">
        <f t="shared" si="33"/>
        <v>59.397071769672387</v>
      </c>
      <c r="T25" s="24">
        <f t="shared" si="33"/>
        <v>85.486273342442644</v>
      </c>
      <c r="U25" s="24">
        <f t="shared" si="33"/>
        <v>113.98044941000384</v>
      </c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</row>
    <row r="26" spans="1:200" s="2" customFormat="1" x14ac:dyDescent="0.15">
      <c r="A26" s="2" t="s">
        <v>11</v>
      </c>
      <c r="B26" s="44"/>
      <c r="C26" s="44"/>
      <c r="D26" s="38"/>
      <c r="E26" s="25">
        <f>E24-E25</f>
        <v>-53</v>
      </c>
      <c r="F26" s="25">
        <f t="shared" ref="F26:H26" si="34">F24-F25</f>
        <v>-119.33199999999999</v>
      </c>
      <c r="G26" s="25">
        <f>G24-G25</f>
        <v>-117.92791999999999</v>
      </c>
      <c r="H26" s="25">
        <f t="shared" si="34"/>
        <v>-115.34293839999997</v>
      </c>
      <c r="I26" s="25">
        <f t="shared" ref="I26:P26" si="35">I24-I25</f>
        <v>-108.57519936800003</v>
      </c>
      <c r="J26" s="25">
        <f t="shared" si="35"/>
        <v>-105.15042684136002</v>
      </c>
      <c r="K26" s="25">
        <f t="shared" si="35"/>
        <v>-120.4899406352072</v>
      </c>
      <c r="L26" s="25">
        <f t="shared" si="35"/>
        <v>-118.95158177714032</v>
      </c>
      <c r="M26" s="25">
        <f t="shared" si="35"/>
        <v>-95.680505194523903</v>
      </c>
      <c r="N26" s="25">
        <f t="shared" si="35"/>
        <v>-84.429549645941734</v>
      </c>
      <c r="O26" s="25">
        <f t="shared" si="35"/>
        <v>-65.884382632868096</v>
      </c>
      <c r="P26" s="25">
        <f t="shared" si="35"/>
        <v>-37.821297457455053</v>
      </c>
      <c r="Q26" s="25">
        <f t="shared" ref="Q26:U26" si="36">Q24-Q25</f>
        <v>76.614483164069142</v>
      </c>
      <c r="R26" s="25">
        <f t="shared" si="36"/>
        <v>201.04950916607552</v>
      </c>
      <c r="S26" s="25">
        <f t="shared" si="36"/>
        <v>336.58340669481021</v>
      </c>
      <c r="T26" s="25">
        <f t="shared" si="36"/>
        <v>484.42221560717502</v>
      </c>
      <c r="U26" s="25">
        <f t="shared" si="36"/>
        <v>645.88921332335508</v>
      </c>
      <c r="V26" s="25">
        <f t="shared" ref="V26:BY26" si="37">U26*($F$2+1)</f>
        <v>649.11865938997175</v>
      </c>
      <c r="W26" s="25">
        <f t="shared" si="37"/>
        <v>652.36425268692153</v>
      </c>
      <c r="X26" s="25">
        <f t="shared" si="37"/>
        <v>655.62607395035604</v>
      </c>
      <c r="Y26" s="25">
        <f t="shared" si="37"/>
        <v>658.90420432010774</v>
      </c>
      <c r="Z26" s="25">
        <f t="shared" si="37"/>
        <v>662.19872534170815</v>
      </c>
      <c r="AA26" s="25">
        <f t="shared" si="37"/>
        <v>665.50971896841668</v>
      </c>
      <c r="AB26" s="25">
        <f t="shared" si="37"/>
        <v>668.83726756325871</v>
      </c>
      <c r="AC26" s="25">
        <f t="shared" si="37"/>
        <v>672.18145390107497</v>
      </c>
      <c r="AD26" s="25">
        <f t="shared" si="37"/>
        <v>675.54236117058031</v>
      </c>
      <c r="AE26" s="25">
        <f t="shared" si="37"/>
        <v>678.92007297643318</v>
      </c>
      <c r="AF26" s="25">
        <f t="shared" si="37"/>
        <v>682.31467334131526</v>
      </c>
      <c r="AG26" s="25">
        <f t="shared" si="37"/>
        <v>685.72624670802179</v>
      </c>
      <c r="AH26" s="25">
        <f t="shared" si="37"/>
        <v>689.15487794156184</v>
      </c>
      <c r="AI26" s="25">
        <f t="shared" si="37"/>
        <v>692.60065233126954</v>
      </c>
      <c r="AJ26" s="25">
        <f t="shared" si="37"/>
        <v>696.06365559292578</v>
      </c>
      <c r="AK26" s="25">
        <f t="shared" si="37"/>
        <v>699.54397387089034</v>
      </c>
      <c r="AL26" s="25">
        <f t="shared" si="37"/>
        <v>703.04169374024468</v>
      </c>
      <c r="AM26" s="25">
        <f t="shared" si="37"/>
        <v>706.55690220894587</v>
      </c>
      <c r="AN26" s="25">
        <f t="shared" si="37"/>
        <v>710.08968671999048</v>
      </c>
      <c r="AO26" s="25">
        <f t="shared" si="37"/>
        <v>713.64013515359034</v>
      </c>
      <c r="AP26" s="25">
        <f t="shared" si="37"/>
        <v>717.20833582935825</v>
      </c>
      <c r="AQ26" s="25">
        <f t="shared" si="37"/>
        <v>720.79437750850491</v>
      </c>
      <c r="AR26" s="25">
        <f t="shared" si="37"/>
        <v>724.39834939604737</v>
      </c>
      <c r="AS26" s="25">
        <f t="shared" si="37"/>
        <v>728.02034114302751</v>
      </c>
      <c r="AT26" s="25">
        <f t="shared" si="37"/>
        <v>731.6604428487426</v>
      </c>
      <c r="AU26" s="25">
        <f t="shared" si="37"/>
        <v>735.3187450629863</v>
      </c>
      <c r="AV26" s="25">
        <f t="shared" si="37"/>
        <v>738.99533878830118</v>
      </c>
      <c r="AW26" s="25">
        <f t="shared" si="37"/>
        <v>742.69031548224257</v>
      </c>
      <c r="AX26" s="25">
        <f t="shared" si="37"/>
        <v>746.40376705965366</v>
      </c>
      <c r="AY26" s="25">
        <f t="shared" si="37"/>
        <v>750.13578589495182</v>
      </c>
      <c r="AZ26" s="25">
        <f t="shared" si="37"/>
        <v>753.88646482442653</v>
      </c>
      <c r="BA26" s="25">
        <f t="shared" si="37"/>
        <v>757.65589714854855</v>
      </c>
      <c r="BB26" s="25">
        <f t="shared" si="37"/>
        <v>761.44417663429124</v>
      </c>
      <c r="BC26" s="25">
        <f t="shared" si="37"/>
        <v>765.25139751746258</v>
      </c>
      <c r="BD26" s="25">
        <f t="shared" si="37"/>
        <v>769.07765450504985</v>
      </c>
      <c r="BE26" s="25">
        <f t="shared" si="37"/>
        <v>772.92304277757501</v>
      </c>
      <c r="BF26" s="25">
        <f t="shared" si="37"/>
        <v>776.78765799146277</v>
      </c>
      <c r="BG26" s="25">
        <f t="shared" si="37"/>
        <v>780.67159628141997</v>
      </c>
      <c r="BH26" s="25">
        <f t="shared" si="37"/>
        <v>784.57495426282696</v>
      </c>
      <c r="BI26" s="25">
        <f t="shared" si="37"/>
        <v>788.49782903414098</v>
      </c>
      <c r="BJ26" s="25">
        <f t="shared" si="37"/>
        <v>792.44031817931159</v>
      </c>
      <c r="BK26" s="25">
        <f t="shared" si="37"/>
        <v>796.40251977020807</v>
      </c>
      <c r="BL26" s="25">
        <f t="shared" si="37"/>
        <v>800.384532369059</v>
      </c>
      <c r="BM26" s="25">
        <f t="shared" si="37"/>
        <v>804.38645503090424</v>
      </c>
      <c r="BN26" s="25">
        <f t="shared" si="37"/>
        <v>808.40838730605867</v>
      </c>
      <c r="BO26" s="25">
        <f t="shared" si="37"/>
        <v>812.45042924258883</v>
      </c>
      <c r="BP26" s="25">
        <f t="shared" si="37"/>
        <v>816.51268138880164</v>
      </c>
      <c r="BQ26" s="25">
        <f t="shared" si="37"/>
        <v>820.59524479574554</v>
      </c>
      <c r="BR26" s="25">
        <f t="shared" si="37"/>
        <v>824.6982210197242</v>
      </c>
      <c r="BS26" s="25">
        <f t="shared" si="37"/>
        <v>828.82171212482274</v>
      </c>
      <c r="BT26" s="25">
        <f t="shared" si="37"/>
        <v>832.96582068544672</v>
      </c>
      <c r="BU26" s="25">
        <f t="shared" si="37"/>
        <v>837.13064978887382</v>
      </c>
      <c r="BV26" s="25">
        <f t="shared" si="37"/>
        <v>841.3163030378181</v>
      </c>
      <c r="BW26" s="25">
        <f t="shared" si="37"/>
        <v>845.52288455300709</v>
      </c>
      <c r="BX26" s="25">
        <f t="shared" si="37"/>
        <v>849.75049897577208</v>
      </c>
      <c r="BY26" s="25">
        <f t="shared" si="37"/>
        <v>853.99925147065085</v>
      </c>
      <c r="BZ26" s="25">
        <f t="shared" ref="BZ26:DM26" si="38">BY26*($F$2+1)</f>
        <v>858.26924772800396</v>
      </c>
      <c r="CA26" s="25">
        <f t="shared" si="38"/>
        <v>862.56059396664386</v>
      </c>
      <c r="CB26" s="25">
        <f t="shared" si="38"/>
        <v>866.87339693647698</v>
      </c>
      <c r="CC26" s="25">
        <f t="shared" si="38"/>
        <v>871.20776392115931</v>
      </c>
      <c r="CD26" s="25">
        <f t="shared" si="38"/>
        <v>875.56380274076503</v>
      </c>
      <c r="CE26" s="25">
        <f t="shared" si="38"/>
        <v>879.94162175446877</v>
      </c>
      <c r="CF26" s="25">
        <f t="shared" si="38"/>
        <v>884.34132986324107</v>
      </c>
      <c r="CG26" s="25">
        <f t="shared" si="38"/>
        <v>888.76303651255716</v>
      </c>
      <c r="CH26" s="25">
        <f t="shared" si="38"/>
        <v>893.20685169511989</v>
      </c>
      <c r="CI26" s="25">
        <f t="shared" si="38"/>
        <v>897.67288595359537</v>
      </c>
      <c r="CJ26" s="25">
        <f t="shared" si="38"/>
        <v>902.16125038336327</v>
      </c>
      <c r="CK26" s="25">
        <f t="shared" si="38"/>
        <v>906.67205663528</v>
      </c>
      <c r="CL26" s="25">
        <f t="shared" si="38"/>
        <v>911.20541691845631</v>
      </c>
      <c r="CM26" s="25">
        <f t="shared" si="38"/>
        <v>915.7614440030485</v>
      </c>
      <c r="CN26" s="25">
        <f t="shared" si="38"/>
        <v>920.34025122306366</v>
      </c>
      <c r="CO26" s="25">
        <f t="shared" si="38"/>
        <v>924.94195247917889</v>
      </c>
      <c r="CP26" s="25">
        <f t="shared" si="38"/>
        <v>929.5666622415747</v>
      </c>
      <c r="CQ26" s="25">
        <f t="shared" si="38"/>
        <v>934.21449555278252</v>
      </c>
      <c r="CR26" s="25">
        <f t="shared" si="38"/>
        <v>938.88556803054632</v>
      </c>
      <c r="CS26" s="25">
        <f t="shared" si="38"/>
        <v>943.57999587069901</v>
      </c>
      <c r="CT26" s="25">
        <f t="shared" si="38"/>
        <v>948.29789585005244</v>
      </c>
      <c r="CU26" s="25">
        <f t="shared" si="38"/>
        <v>953.0393853293026</v>
      </c>
      <c r="CV26" s="25">
        <f t="shared" si="38"/>
        <v>957.80458225594907</v>
      </c>
      <c r="CW26" s="25">
        <f t="shared" si="38"/>
        <v>962.5936051672287</v>
      </c>
      <c r="CX26" s="25">
        <f t="shared" si="38"/>
        <v>967.40657319306479</v>
      </c>
      <c r="CY26" s="25">
        <f t="shared" si="38"/>
        <v>972.24360605902996</v>
      </c>
      <c r="CZ26" s="25">
        <f t="shared" si="38"/>
        <v>977.10482408932501</v>
      </c>
      <c r="DA26" s="25">
        <f t="shared" si="38"/>
        <v>981.99034820977158</v>
      </c>
      <c r="DB26" s="25">
        <f t="shared" si="38"/>
        <v>986.90029995082034</v>
      </c>
      <c r="DC26" s="25">
        <f t="shared" si="38"/>
        <v>991.83480145057433</v>
      </c>
      <c r="DD26" s="25">
        <f t="shared" si="38"/>
        <v>996.79397545782706</v>
      </c>
      <c r="DE26" s="25">
        <f t="shared" si="38"/>
        <v>1001.7779453351161</v>
      </c>
      <c r="DF26" s="25">
        <f t="shared" si="38"/>
        <v>1006.7868350617915</v>
      </c>
      <c r="DG26" s="25">
        <f t="shared" si="38"/>
        <v>1011.8207692371004</v>
      </c>
      <c r="DH26" s="25">
        <f t="shared" si="38"/>
        <v>1016.8798730832858</v>
      </c>
      <c r="DI26" s="25">
        <f t="shared" si="38"/>
        <v>1021.9642724487021</v>
      </c>
      <c r="DJ26" s="25">
        <f t="shared" si="38"/>
        <v>1027.0740938109454</v>
      </c>
      <c r="DK26" s="25">
        <f t="shared" si="38"/>
        <v>1032.20946428</v>
      </c>
      <c r="DL26" s="25">
        <f t="shared" si="38"/>
        <v>1037.3705116013998</v>
      </c>
      <c r="DM26" s="25">
        <f t="shared" si="38"/>
        <v>1042.5573641594067</v>
      </c>
      <c r="DN26" s="25">
        <f t="shared" ref="DN26" si="39">DM26*($F$2+1)</f>
        <v>1047.7701509802037</v>
      </c>
      <c r="DO26" s="25">
        <f t="shared" ref="DO26" si="40">DN26*($F$2+1)</f>
        <v>1053.0090017351044</v>
      </c>
      <c r="DP26" s="25">
        <f t="shared" ref="DP26" si="41">DO26*($F$2+1)</f>
        <v>1058.2740467437798</v>
      </c>
      <c r="DQ26" s="25">
        <f t="shared" ref="DQ26" si="42">DP26*($F$2+1)</f>
        <v>1063.5654169774984</v>
      </c>
      <c r="DR26" s="25">
        <f t="shared" ref="DR26" si="43">DQ26*($F$2+1)</f>
        <v>1068.8832440623858</v>
      </c>
      <c r="DS26" s="25">
        <f t="shared" ref="DS26" si="44">DR26*($F$2+1)</f>
        <v>1074.2276602826976</v>
      </c>
      <c r="DT26" s="25">
        <f t="shared" ref="DT26" si="45">DS26*($F$2+1)</f>
        <v>1079.5987985841109</v>
      </c>
      <c r="DU26" s="25">
        <f t="shared" ref="DU26" si="46">DT26*($F$2+1)</f>
        <v>1084.9967925770313</v>
      </c>
      <c r="DV26" s="25">
        <f t="shared" ref="DV26" si="47">DU26*($F$2+1)</f>
        <v>1090.4217765399164</v>
      </c>
      <c r="DW26" s="25">
        <f t="shared" ref="DW26" si="48">DV26*($F$2+1)</f>
        <v>1095.873885422616</v>
      </c>
      <c r="DX26" s="25">
        <f t="shared" ref="DX26" si="49">DW26*($F$2+1)</f>
        <v>1101.353254849729</v>
      </c>
      <c r="DY26" s="25">
        <f t="shared" ref="DY26" si="50">DX26*($F$2+1)</f>
        <v>1106.8600211239775</v>
      </c>
      <c r="DZ26" s="25">
        <f t="shared" ref="DZ26" si="51">DY26*($F$2+1)</f>
        <v>1112.3943212295974</v>
      </c>
      <c r="EA26" s="25">
        <f t="shared" ref="EA26" si="52">DZ26*($F$2+1)</f>
        <v>1117.9562928357452</v>
      </c>
      <c r="EB26" s="25">
        <f t="shared" ref="EB26" si="53">EA26*($F$2+1)</f>
        <v>1123.5460742999239</v>
      </c>
      <c r="EC26" s="25">
        <f t="shared" ref="EC26" si="54">EB26*($F$2+1)</f>
        <v>1129.1638046714233</v>
      </c>
      <c r="ED26" s="25">
        <f t="shared" ref="ED26" si="55">EC26*($F$2+1)</f>
        <v>1134.8096236947804</v>
      </c>
      <c r="EE26" s="25">
        <f t="shared" ref="EE26" si="56">ED26*($F$2+1)</f>
        <v>1140.4836718132542</v>
      </c>
      <c r="EF26" s="25">
        <f t="shared" ref="EF26" si="57">EE26*($F$2+1)</f>
        <v>1146.1860901723203</v>
      </c>
      <c r="EG26" s="25">
        <f t="shared" ref="EG26" si="58">EF26*($F$2+1)</f>
        <v>1151.9170206231818</v>
      </c>
      <c r="EH26" s="25">
        <f t="shared" ref="EH26" si="59">EG26*($F$2+1)</f>
        <v>1157.6766057262976</v>
      </c>
      <c r="EI26" s="25">
        <f t="shared" ref="EI26" si="60">EH26*($F$2+1)</f>
        <v>1163.464988754929</v>
      </c>
      <c r="EJ26" s="25">
        <f t="shared" ref="EJ26" si="61">EI26*($F$2+1)</f>
        <v>1169.2823136987035</v>
      </c>
      <c r="EK26" s="25">
        <f t="shared" ref="EK26" si="62">EJ26*($F$2+1)</f>
        <v>1175.1287252671968</v>
      </c>
      <c r="EL26" s="25">
        <f t="shared" ref="EL26" si="63">EK26*($F$2+1)</f>
        <v>1181.0043688935327</v>
      </c>
      <c r="EM26" s="25">
        <f t="shared" ref="EM26" si="64">EL26*($F$2+1)</f>
        <v>1186.9093907380002</v>
      </c>
      <c r="EN26" s="25">
        <f t="shared" ref="EN26" si="65">EM26*($F$2+1)</f>
        <v>1192.8439376916901</v>
      </c>
      <c r="EO26" s="25">
        <f t="shared" ref="EO26" si="66">EN26*($F$2+1)</f>
        <v>1198.8081573801485</v>
      </c>
      <c r="EP26" s="25">
        <f t="shared" ref="EP26" si="67">EO26*($F$2+1)</f>
        <v>1204.802198167049</v>
      </c>
      <c r="EQ26" s="25">
        <f t="shared" ref="EQ26" si="68">EP26*($F$2+1)</f>
        <v>1210.8262091578843</v>
      </c>
      <c r="ER26" s="25">
        <f t="shared" ref="ER26" si="69">EQ26*($F$2+1)</f>
        <v>1216.8803402036735</v>
      </c>
      <c r="ES26" s="25">
        <f t="shared" ref="ES26" si="70">ER26*($F$2+1)</f>
        <v>1222.9647419046919</v>
      </c>
      <c r="ET26" s="25">
        <f t="shared" ref="ET26" si="71">ES26*($F$2+1)</f>
        <v>1229.0795656142152</v>
      </c>
      <c r="EU26" s="25">
        <f t="shared" ref="EU26" si="72">ET26*($F$2+1)</f>
        <v>1235.2249634422863</v>
      </c>
      <c r="EV26" s="25">
        <f t="shared" ref="EV26" si="73">EU26*($F$2+1)</f>
        <v>1241.4010882594976</v>
      </c>
      <c r="EW26" s="25">
        <f t="shared" ref="EW26" si="74">EV26*($F$2+1)</f>
        <v>1247.6080937007948</v>
      </c>
      <c r="EX26" s="25">
        <f t="shared" ref="EX26" si="75">EW26*($F$2+1)</f>
        <v>1253.8461341692987</v>
      </c>
      <c r="EY26" s="25">
        <f t="shared" ref="EY26" si="76">EX26*($F$2+1)</f>
        <v>1260.115364840145</v>
      </c>
      <c r="EZ26" s="25">
        <f t="shared" ref="EZ26" si="77">EY26*($F$2+1)</f>
        <v>1266.4159416643456</v>
      </c>
      <c r="FA26" s="25">
        <f t="shared" ref="FA26" si="78">EZ26*($F$2+1)</f>
        <v>1272.7480213726672</v>
      </c>
      <c r="FB26" s="25">
        <f t="shared" ref="FB26" si="79">FA26*($F$2+1)</f>
        <v>1279.1117614795303</v>
      </c>
      <c r="FC26" s="25">
        <f t="shared" ref="FC26" si="80">FB26*($F$2+1)</f>
        <v>1285.5073202869278</v>
      </c>
      <c r="FD26" s="25">
        <f t="shared" ref="FD26" si="81">FC26*($F$2+1)</f>
        <v>1291.9348568883622</v>
      </c>
      <c r="FE26" s="25">
        <f t="shared" ref="FE26" si="82">FD26*($F$2+1)</f>
        <v>1298.3945311728039</v>
      </c>
      <c r="FF26" s="25">
        <f t="shared" ref="FF26" si="83">FE26*($F$2+1)</f>
        <v>1304.8865038286679</v>
      </c>
      <c r="FG26" s="25">
        <f t="shared" ref="FG26" si="84">FF26*($F$2+1)</f>
        <v>1311.410936347811</v>
      </c>
      <c r="FH26" s="25">
        <f t="shared" ref="FH26" si="85">FG26*($F$2+1)</f>
        <v>1317.9679910295499</v>
      </c>
      <c r="FI26" s="25">
        <f t="shared" ref="FI26" si="86">FH26*($F$2+1)</f>
        <v>1324.5578309846976</v>
      </c>
      <c r="FJ26" s="25">
        <f t="shared" ref="FJ26" si="87">FI26*($F$2+1)</f>
        <v>1331.1806201396209</v>
      </c>
      <c r="FK26" s="25">
        <f t="shared" ref="FK26" si="88">FJ26*($F$2+1)</f>
        <v>1337.8365232403189</v>
      </c>
      <c r="FL26" s="25">
        <f t="shared" ref="FL26" si="89">FK26*($F$2+1)</f>
        <v>1344.5257058565203</v>
      </c>
      <c r="FM26" s="25">
        <f t="shared" ref="FM26" si="90">FL26*($F$2+1)</f>
        <v>1351.2483343858028</v>
      </c>
      <c r="FN26" s="25">
        <f t="shared" ref="FN26" si="91">FM26*($F$2+1)</f>
        <v>1358.0045760577316</v>
      </c>
      <c r="FO26" s="25">
        <f t="shared" ref="FO26" si="92">FN26*($F$2+1)</f>
        <v>1364.79459893802</v>
      </c>
      <c r="FP26" s="25">
        <f t="shared" ref="FP26" si="93">FO26*($F$2+1)</f>
        <v>1371.61857193271</v>
      </c>
      <c r="FQ26" s="25">
        <f t="shared" ref="FQ26" si="94">FP26*($F$2+1)</f>
        <v>1378.4766647923734</v>
      </c>
      <c r="FR26" s="25">
        <f t="shared" ref="FR26" si="95">FQ26*($F$2+1)</f>
        <v>1385.3690481163351</v>
      </c>
      <c r="FS26" s="25">
        <f t="shared" ref="FS26" si="96">FR26*($F$2+1)</f>
        <v>1392.2958933569166</v>
      </c>
      <c r="FT26" s="25">
        <f t="shared" ref="FT26" si="97">FS26*($F$2+1)</f>
        <v>1399.257372823701</v>
      </c>
      <c r="FU26" s="25">
        <f t="shared" ref="FU26" si="98">FT26*($F$2+1)</f>
        <v>1406.2536596878192</v>
      </c>
      <c r="FV26" s="25">
        <f t="shared" ref="FV26" si="99">FU26*($F$2+1)</f>
        <v>1413.2849279862583</v>
      </c>
      <c r="FW26" s="25">
        <f t="shared" ref="FW26" si="100">FV26*($F$2+1)</f>
        <v>1420.3513526261893</v>
      </c>
      <c r="FX26" s="25">
        <f t="shared" ref="FX26" si="101">FW26*($F$2+1)</f>
        <v>1427.4531093893202</v>
      </c>
      <c r="FY26" s="25">
        <f t="shared" ref="FY26" si="102">FX26*($F$2+1)</f>
        <v>1434.5903749362667</v>
      </c>
      <c r="FZ26" s="25">
        <f t="shared" ref="FZ26" si="103">FY26*($F$2+1)</f>
        <v>1441.7633268109478</v>
      </c>
      <c r="GA26" s="25">
        <f t="shared" ref="GA26" si="104">FZ26*($F$2+1)</f>
        <v>1448.9721434450023</v>
      </c>
      <c r="GB26" s="25">
        <f t="shared" ref="GB26" si="105">GA26*($F$2+1)</f>
        <v>1456.2170041622271</v>
      </c>
      <c r="GC26" s="25">
        <f t="shared" ref="GC26" si="106">GB26*($F$2+1)</f>
        <v>1463.498089183038</v>
      </c>
      <c r="GD26" s="25">
        <f t="shared" ref="GD26" si="107">GC26*($F$2+1)</f>
        <v>1470.8155796289529</v>
      </c>
      <c r="GE26" s="25">
        <f t="shared" ref="GE26" si="108">GD26*($F$2+1)</f>
        <v>1478.1696575270976</v>
      </c>
      <c r="GF26" s="25">
        <f t="shared" ref="GF26" si="109">GE26*($F$2+1)</f>
        <v>1485.560505814733</v>
      </c>
      <c r="GG26" s="25">
        <f t="shared" ref="GG26" si="110">GF26*($F$2+1)</f>
        <v>1492.9883083438065</v>
      </c>
      <c r="GH26" s="25">
        <f t="shared" ref="GH26" si="111">GG26*($F$2+1)</f>
        <v>1500.4532498855253</v>
      </c>
      <c r="GI26" s="25">
        <f t="shared" ref="GI26" si="112">GH26*($F$2+1)</f>
        <v>1507.9555161349529</v>
      </c>
      <c r="GJ26" s="25">
        <f t="shared" ref="GJ26" si="113">GI26*($F$2+1)</f>
        <v>1515.4952937156274</v>
      </c>
      <c r="GK26" s="25">
        <f t="shared" ref="GK26" si="114">GJ26*($F$2+1)</f>
        <v>1523.0727701842054</v>
      </c>
      <c r="GL26" s="25">
        <f t="shared" ref="GL26" si="115">GK26*($F$2+1)</f>
        <v>1530.6881340351263</v>
      </c>
      <c r="GM26" s="25">
        <f t="shared" ref="GM26" si="116">GL26*($F$2+1)</f>
        <v>1538.3415747053018</v>
      </c>
      <c r="GN26" s="25">
        <f t="shared" ref="GN26" si="117">GM26*($F$2+1)</f>
        <v>1546.0332825788282</v>
      </c>
      <c r="GO26" s="25">
        <f t="shared" ref="GO26" si="118">GN26*($F$2+1)</f>
        <v>1553.7634489917223</v>
      </c>
      <c r="GP26" s="25">
        <f t="shared" ref="GP26" si="119">GO26*($F$2+1)</f>
        <v>1561.5322662366807</v>
      </c>
      <c r="GQ26" s="25">
        <f t="shared" ref="GQ26" si="120">GP26*($F$2+1)</f>
        <v>1569.3399275678639</v>
      </c>
      <c r="GR26" s="25">
        <f t="shared" ref="GR26" si="121">GQ26*($F$2+1)</f>
        <v>1577.1866272057032</v>
      </c>
    </row>
    <row r="27" spans="1:200" x14ac:dyDescent="0.15">
      <c r="A27" s="3" t="s">
        <v>12</v>
      </c>
      <c r="B27" s="44"/>
      <c r="C27" s="44"/>
      <c r="D27" s="38"/>
      <c r="E27" s="29" t="e">
        <f t="shared" ref="E27:G27" si="122">E26/E28</f>
        <v>#DIV/0!</v>
      </c>
      <c r="F27" s="29">
        <f t="shared" si="122"/>
        <v>-1.7128913258788234</v>
      </c>
      <c r="G27" s="51">
        <f t="shared" si="122"/>
        <v>-1.6927371639370143</v>
      </c>
      <c r="H27" s="51">
        <f t="shared" ref="H27" si="123">H26/H28</f>
        <v>-1.6556323424289832</v>
      </c>
      <c r="I27" s="51">
        <f t="shared" ref="I27:P27" si="124">I26/I28</f>
        <v>-1.5584882278266614</v>
      </c>
      <c r="J27" s="51">
        <f t="shared" si="124"/>
        <v>-1.5093290487800539</v>
      </c>
      <c r="K27" s="51">
        <f t="shared" si="124"/>
        <v>-1.7295124037953005</v>
      </c>
      <c r="L27" s="51">
        <f t="shared" si="124"/>
        <v>-1.7074308033522374</v>
      </c>
      <c r="M27" s="51">
        <f t="shared" si="124"/>
        <v>-1.3733978095012545</v>
      </c>
      <c r="N27" s="51">
        <f t="shared" si="124"/>
        <v>-1.2119016126134574</v>
      </c>
      <c r="O27" s="51">
        <f t="shared" si="124"/>
        <v>-0.94570431671907929</v>
      </c>
      <c r="P27" s="51">
        <f t="shared" si="124"/>
        <v>-0.54288683964366269</v>
      </c>
      <c r="Q27" s="51">
        <f t="shared" ref="Q27:U27" si="125">Q26/Q28</f>
        <v>1.0997241615695974</v>
      </c>
      <c r="R27" s="51">
        <f t="shared" si="125"/>
        <v>2.885864314037859</v>
      </c>
      <c r="S27" s="51">
        <f t="shared" si="125"/>
        <v>4.8313176496018233</v>
      </c>
      <c r="T27" s="51">
        <f t="shared" si="125"/>
        <v>6.9533956623247022</v>
      </c>
      <c r="U27" s="51">
        <f t="shared" si="125"/>
        <v>9.2710926740545023</v>
      </c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</row>
    <row r="28" spans="1:200" s="16" customFormat="1" x14ac:dyDescent="0.15">
      <c r="A28" s="16" t="s">
        <v>13</v>
      </c>
      <c r="B28" s="44"/>
      <c r="C28" s="44"/>
      <c r="D28" s="38"/>
      <c r="E28" s="24"/>
      <c r="F28" s="24">
        <f>AVERAGE(Reports!F22:I22)</f>
        <v>69.667000000000002</v>
      </c>
      <c r="G28" s="24">
        <f t="shared" ref="G28" si="126">F28</f>
        <v>69.667000000000002</v>
      </c>
      <c r="H28" s="24">
        <f t="shared" ref="H28" si="127">G28</f>
        <v>69.667000000000002</v>
      </c>
      <c r="I28" s="24">
        <f t="shared" ref="I28" si="128">H28</f>
        <v>69.667000000000002</v>
      </c>
      <c r="J28" s="24">
        <f t="shared" ref="J28" si="129">I28</f>
        <v>69.667000000000002</v>
      </c>
      <c r="K28" s="24">
        <f t="shared" ref="K28" si="130">J28</f>
        <v>69.667000000000002</v>
      </c>
      <c r="L28" s="24">
        <f t="shared" ref="L28" si="131">K28</f>
        <v>69.667000000000002</v>
      </c>
      <c r="M28" s="24">
        <f t="shared" ref="M28" si="132">L28</f>
        <v>69.667000000000002</v>
      </c>
      <c r="N28" s="24">
        <f t="shared" ref="N28" si="133">M28</f>
        <v>69.667000000000002</v>
      </c>
      <c r="O28" s="24">
        <f t="shared" ref="O28" si="134">N28</f>
        <v>69.667000000000002</v>
      </c>
      <c r="P28" s="24">
        <f t="shared" ref="P28:U28" si="135">O28</f>
        <v>69.667000000000002</v>
      </c>
      <c r="Q28" s="24">
        <f t="shared" si="135"/>
        <v>69.667000000000002</v>
      </c>
      <c r="R28" s="24">
        <f t="shared" si="135"/>
        <v>69.667000000000002</v>
      </c>
      <c r="S28" s="24">
        <f t="shared" si="135"/>
        <v>69.667000000000002</v>
      </c>
      <c r="T28" s="24">
        <f t="shared" si="135"/>
        <v>69.667000000000002</v>
      </c>
      <c r="U28" s="24">
        <f t="shared" si="135"/>
        <v>69.667000000000002</v>
      </c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</row>
    <row r="29" spans="1:200" x14ac:dyDescent="0.15">
      <c r="B29" s="44"/>
      <c r="C29" s="44"/>
      <c r="D29" s="38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</row>
    <row r="30" spans="1:200" x14ac:dyDescent="0.15">
      <c r="A30" s="3" t="s">
        <v>15</v>
      </c>
      <c r="B30" s="44"/>
      <c r="C30" s="44"/>
      <c r="D30" s="38"/>
      <c r="E30" s="34">
        <f>IFERROR(E17/E15,0)</f>
        <v>0.81818181818181823</v>
      </c>
      <c r="F30" s="34">
        <f t="shared" ref="F30:P30" si="136">IFERROR(F17/F15,0)</f>
        <v>0.86100933529865942</v>
      </c>
      <c r="G30" s="34">
        <f t="shared" si="136"/>
        <v>0.86100933529865942</v>
      </c>
      <c r="H30" s="34">
        <f>IFERROR(H17/H15,0)</f>
        <v>0.86100933529865942</v>
      </c>
      <c r="I30" s="34">
        <f t="shared" si="136"/>
        <v>0.86100933529865942</v>
      </c>
      <c r="J30" s="34">
        <f t="shared" si="136"/>
        <v>0.86100933529865942</v>
      </c>
      <c r="K30" s="34">
        <f t="shared" si="136"/>
        <v>0.86100933529865942</v>
      </c>
      <c r="L30" s="34">
        <f t="shared" si="136"/>
        <v>0.86100933529865942</v>
      </c>
      <c r="M30" s="34">
        <f t="shared" si="136"/>
        <v>0.86100933529865942</v>
      </c>
      <c r="N30" s="34">
        <f t="shared" si="136"/>
        <v>0.86100933529865942</v>
      </c>
      <c r="O30" s="34">
        <f t="shared" si="136"/>
        <v>0.86100933529865942</v>
      </c>
      <c r="P30" s="34">
        <f t="shared" si="136"/>
        <v>0.86100933529865942</v>
      </c>
      <c r="Q30" s="34">
        <f t="shared" ref="Q30:U30" si="137">IFERROR(Q17/Q15,0)</f>
        <v>0.86100933529865953</v>
      </c>
      <c r="R30" s="34">
        <f t="shared" si="137"/>
        <v>0.86100933529865953</v>
      </c>
      <c r="S30" s="34">
        <f t="shared" si="137"/>
        <v>0.86100933529865953</v>
      </c>
      <c r="T30" s="34">
        <f t="shared" si="137"/>
        <v>0.86100933529865964</v>
      </c>
      <c r="U30" s="34">
        <f t="shared" si="137"/>
        <v>0.86100933529865964</v>
      </c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</row>
    <row r="31" spans="1:200" x14ac:dyDescent="0.15">
      <c r="A31" s="3" t="s">
        <v>16</v>
      </c>
      <c r="B31" s="44"/>
      <c r="C31" s="44"/>
      <c r="D31" s="38"/>
      <c r="E31" s="36">
        <f>IFERROR(E22/E15,0)</f>
        <v>-0.68831168831168832</v>
      </c>
      <c r="F31" s="36">
        <f t="shared" ref="F31:P31" si="138">IFERROR(F22/F15,0)</f>
        <v>-0.83759387941320973</v>
      </c>
      <c r="G31" s="36">
        <f>IFERROR(G22/G15,0)</f>
        <v>-0.54391981757742958</v>
      </c>
      <c r="H31" s="36">
        <f t="shared" si="138"/>
        <v>-0.34778465881856052</v>
      </c>
      <c r="I31" s="36">
        <f t="shared" si="138"/>
        <v>-0.22261434714334161</v>
      </c>
      <c r="J31" s="36">
        <f t="shared" si="138"/>
        <v>-0.15286743678595457</v>
      </c>
      <c r="K31" s="36">
        <f t="shared" si="138"/>
        <v>-0.13094492304428357</v>
      </c>
      <c r="L31" s="36">
        <f t="shared" si="138"/>
        <v>-0.10535842564580084</v>
      </c>
      <c r="M31" s="36">
        <f t="shared" si="138"/>
        <v>-8.0838032305588198E-2</v>
      </c>
      <c r="N31" s="36">
        <f t="shared" si="138"/>
        <v>-5.7339322021217692E-2</v>
      </c>
      <c r="O31" s="36">
        <f t="shared" si="138"/>
        <v>-3.4819724665362768E-2</v>
      </c>
      <c r="P31" s="36">
        <f t="shared" si="138"/>
        <v>-1.323844386600178E-2</v>
      </c>
      <c r="Q31" s="36">
        <f t="shared" ref="Q31:U31" si="139">IFERROR(Q22/Q15,0)</f>
        <v>4.4526753860688467E-2</v>
      </c>
      <c r="R31" s="36">
        <f t="shared" si="139"/>
        <v>9.5497229708129294E-2</v>
      </c>
      <c r="S31" s="36">
        <f t="shared" si="139"/>
        <v>0.14048146205570672</v>
      </c>
      <c r="T31" s="36">
        <f t="shared" si="139"/>
        <v>0.18019056309697876</v>
      </c>
      <c r="U31" s="36">
        <f t="shared" si="139"/>
        <v>0.21525015086146315</v>
      </c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</row>
    <row r="32" spans="1:200" x14ac:dyDescent="0.15">
      <c r="A32" s="3" t="s">
        <v>17</v>
      </c>
      <c r="B32" s="44"/>
      <c r="C32" s="44"/>
      <c r="D32" s="38"/>
      <c r="E32" s="36">
        <f>IFERROR(E25/E24,0)</f>
        <v>0</v>
      </c>
      <c r="F32" s="36">
        <f t="shared" ref="F32:P32" si="140">IFERROR(F25/F24,0)</f>
        <v>0</v>
      </c>
      <c r="G32" s="36">
        <f t="shared" si="140"/>
        <v>0</v>
      </c>
      <c r="H32" s="36">
        <f t="shared" si="140"/>
        <v>0</v>
      </c>
      <c r="I32" s="36">
        <f t="shared" si="140"/>
        <v>0</v>
      </c>
      <c r="J32" s="36">
        <f t="shared" si="140"/>
        <v>0</v>
      </c>
      <c r="K32" s="36">
        <f t="shared" si="140"/>
        <v>0</v>
      </c>
      <c r="L32" s="36">
        <f t="shared" si="140"/>
        <v>0</v>
      </c>
      <c r="M32" s="36">
        <f t="shared" si="140"/>
        <v>0.15</v>
      </c>
      <c r="N32" s="36">
        <f t="shared" si="140"/>
        <v>0.15</v>
      </c>
      <c r="O32" s="36">
        <f t="shared" si="140"/>
        <v>0.15</v>
      </c>
      <c r="P32" s="36">
        <f t="shared" si="140"/>
        <v>0.15</v>
      </c>
      <c r="Q32" s="36">
        <f t="shared" ref="Q32:U32" si="141">IFERROR(Q25/Q24,0)</f>
        <v>0.15</v>
      </c>
      <c r="R32" s="36">
        <f t="shared" si="141"/>
        <v>0.15</v>
      </c>
      <c r="S32" s="36">
        <f t="shared" si="141"/>
        <v>0.15</v>
      </c>
      <c r="T32" s="36">
        <f t="shared" si="141"/>
        <v>0.15</v>
      </c>
      <c r="U32" s="36">
        <f t="shared" si="141"/>
        <v>0.15</v>
      </c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</row>
    <row r="33" spans="1:117" x14ac:dyDescent="0.15">
      <c r="B33" s="44"/>
      <c r="C33" s="44"/>
      <c r="D33" s="38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</row>
    <row r="34" spans="1:117" x14ac:dyDescent="0.15">
      <c r="A34" s="2" t="s">
        <v>14</v>
      </c>
      <c r="B34" s="44"/>
      <c r="C34" s="44"/>
      <c r="D34" s="38"/>
      <c r="E34" s="52"/>
      <c r="F34" s="52">
        <f>F15/E15-1</f>
        <v>0.85025974025974027</v>
      </c>
      <c r="G34" s="52">
        <f t="shared" ref="G34:U34" si="142">G15/F15-1</f>
        <v>0.56000000000000005</v>
      </c>
      <c r="H34" s="52">
        <f t="shared" si="142"/>
        <v>0.5</v>
      </c>
      <c r="I34" s="52">
        <f t="shared" si="142"/>
        <v>0.43999999999999972</v>
      </c>
      <c r="J34" s="52">
        <f t="shared" si="142"/>
        <v>0.38000000000000012</v>
      </c>
      <c r="K34" s="52">
        <f t="shared" si="142"/>
        <v>0.32000000000000006</v>
      </c>
      <c r="L34" s="52">
        <f t="shared" si="142"/>
        <v>0.19999999999999996</v>
      </c>
      <c r="M34" s="52">
        <f t="shared" si="142"/>
        <v>0.19999999999999996</v>
      </c>
      <c r="N34" s="52">
        <f t="shared" si="142"/>
        <v>0.19999999999999996</v>
      </c>
      <c r="O34" s="52">
        <f t="shared" si="142"/>
        <v>0.19999999999999996</v>
      </c>
      <c r="P34" s="52">
        <f t="shared" si="142"/>
        <v>0.19999999999999996</v>
      </c>
      <c r="Q34" s="52">
        <f t="shared" si="142"/>
        <v>0.10000000000000009</v>
      </c>
      <c r="R34" s="52">
        <f t="shared" si="142"/>
        <v>0.10000000000000009</v>
      </c>
      <c r="S34" s="52">
        <f t="shared" si="142"/>
        <v>0.10000000000000009</v>
      </c>
      <c r="T34" s="52">
        <f t="shared" si="142"/>
        <v>0.10000000000000009</v>
      </c>
      <c r="U34" s="52">
        <f t="shared" si="142"/>
        <v>0.10000000000000009</v>
      </c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</row>
    <row r="35" spans="1:117" x14ac:dyDescent="0.15">
      <c r="A35" s="3" t="s">
        <v>26</v>
      </c>
      <c r="B35" s="44"/>
      <c r="C35" s="44"/>
      <c r="D35" s="38"/>
      <c r="E35" s="36"/>
      <c r="F35" s="36">
        <f t="shared" ref="F35:U35" si="143">F18/E18-1</f>
        <v>1.0697674418604652</v>
      </c>
      <c r="G35" s="36">
        <f t="shared" si="143"/>
        <v>0.30000000000000004</v>
      </c>
      <c r="H35" s="36">
        <f t="shared" si="143"/>
        <v>0.30000000000000004</v>
      </c>
      <c r="I35" s="36">
        <f t="shared" si="143"/>
        <v>0.30000000000000004</v>
      </c>
      <c r="J35" s="36">
        <f t="shared" si="143"/>
        <v>0.30000000000000004</v>
      </c>
      <c r="K35" s="36">
        <f t="shared" si="143"/>
        <v>0.30000000000000004</v>
      </c>
      <c r="L35" s="36">
        <f t="shared" si="143"/>
        <v>0.19999999999999996</v>
      </c>
      <c r="M35" s="36">
        <f t="shared" si="143"/>
        <v>0.19999999999999996</v>
      </c>
      <c r="N35" s="36">
        <f t="shared" si="143"/>
        <v>0.19999999999999996</v>
      </c>
      <c r="O35" s="36">
        <f t="shared" si="143"/>
        <v>0.19999999999999996</v>
      </c>
      <c r="P35" s="36">
        <f t="shared" si="143"/>
        <v>0.19999999999999996</v>
      </c>
      <c r="Q35" s="36">
        <f t="shared" si="143"/>
        <v>0.10000000000000009</v>
      </c>
      <c r="R35" s="36">
        <f t="shared" si="143"/>
        <v>0.10000000000000009</v>
      </c>
      <c r="S35" s="36">
        <f t="shared" si="143"/>
        <v>0.10000000000000009</v>
      </c>
      <c r="T35" s="36">
        <f t="shared" si="143"/>
        <v>0.10000000000000009</v>
      </c>
      <c r="U35" s="36">
        <f t="shared" si="143"/>
        <v>0.10000000000000009</v>
      </c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</row>
    <row r="36" spans="1:117" x14ac:dyDescent="0.15">
      <c r="A36" s="3" t="s">
        <v>27</v>
      </c>
      <c r="B36" s="44"/>
      <c r="C36" s="44"/>
      <c r="D36" s="38"/>
      <c r="E36" s="36"/>
      <c r="F36" s="36">
        <f t="shared" ref="F36:U36" si="144">F19/E19-1</f>
        <v>1.0384615384615383</v>
      </c>
      <c r="G36" s="36">
        <f t="shared" si="144"/>
        <v>0.30000000000000004</v>
      </c>
      <c r="H36" s="36">
        <f t="shared" si="144"/>
        <v>0.30000000000000004</v>
      </c>
      <c r="I36" s="36">
        <f t="shared" si="144"/>
        <v>0.30000000000000004</v>
      </c>
      <c r="J36" s="36">
        <f t="shared" si="144"/>
        <v>0.30000000000000004</v>
      </c>
      <c r="K36" s="36">
        <f t="shared" si="144"/>
        <v>0.30000000000000004</v>
      </c>
      <c r="L36" s="36">
        <f t="shared" si="144"/>
        <v>0.14999999999999991</v>
      </c>
      <c r="M36" s="36">
        <f t="shared" si="144"/>
        <v>0.14999999999999991</v>
      </c>
      <c r="N36" s="36">
        <f t="shared" si="144"/>
        <v>0.14999999999999991</v>
      </c>
      <c r="O36" s="36">
        <f t="shared" si="144"/>
        <v>0.14999999999999991</v>
      </c>
      <c r="P36" s="36">
        <f t="shared" si="144"/>
        <v>0.14999999999999991</v>
      </c>
      <c r="Q36" s="36">
        <f t="shared" si="144"/>
        <v>-2.0000000000000018E-2</v>
      </c>
      <c r="R36" s="36">
        <f t="shared" si="144"/>
        <v>-2.0000000000000018E-2</v>
      </c>
      <c r="S36" s="36">
        <f t="shared" si="144"/>
        <v>-2.0000000000000018E-2</v>
      </c>
      <c r="T36" s="36">
        <f t="shared" si="144"/>
        <v>-1.9999999999999907E-2</v>
      </c>
      <c r="U36" s="36">
        <f t="shared" si="144"/>
        <v>-2.0000000000000018E-2</v>
      </c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</row>
    <row r="37" spans="1:117" x14ac:dyDescent="0.15">
      <c r="A37" s="3" t="s">
        <v>28</v>
      </c>
      <c r="B37" s="44"/>
      <c r="C37" s="44"/>
      <c r="D37" s="38"/>
      <c r="E37" s="36"/>
      <c r="F37" s="36">
        <f t="shared" ref="F37:U37" si="145">F20/E20-1</f>
        <v>1.2380952380952381</v>
      </c>
      <c r="G37" s="36">
        <f t="shared" si="145"/>
        <v>0.25</v>
      </c>
      <c r="H37" s="36">
        <f t="shared" si="145"/>
        <v>0.25</v>
      </c>
      <c r="I37" s="36">
        <f t="shared" si="145"/>
        <v>0.25</v>
      </c>
      <c r="J37" s="36">
        <f t="shared" si="145"/>
        <v>0.25</v>
      </c>
      <c r="K37" s="36">
        <f t="shared" si="145"/>
        <v>0.25</v>
      </c>
      <c r="L37" s="36">
        <f t="shared" si="145"/>
        <v>0.14999999999999991</v>
      </c>
      <c r="M37" s="36">
        <f t="shared" si="145"/>
        <v>0.14999999999999991</v>
      </c>
      <c r="N37" s="36">
        <f t="shared" si="145"/>
        <v>0.14999999999999991</v>
      </c>
      <c r="O37" s="36">
        <f t="shared" si="145"/>
        <v>0.14999999999999991</v>
      </c>
      <c r="P37" s="36">
        <f t="shared" si="145"/>
        <v>0.14999999999999991</v>
      </c>
      <c r="Q37" s="36">
        <f t="shared" si="145"/>
        <v>-5.0000000000000044E-2</v>
      </c>
      <c r="R37" s="36">
        <f t="shared" si="145"/>
        <v>-5.0000000000000044E-2</v>
      </c>
      <c r="S37" s="36">
        <f t="shared" si="145"/>
        <v>-5.0000000000000044E-2</v>
      </c>
      <c r="T37" s="36">
        <f t="shared" si="145"/>
        <v>-5.0000000000000044E-2</v>
      </c>
      <c r="U37" s="36">
        <f t="shared" si="145"/>
        <v>-5.0000000000000044E-2</v>
      </c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</row>
    <row r="38" spans="1:117" x14ac:dyDescent="0.15">
      <c r="A38" s="6" t="s">
        <v>59</v>
      </c>
      <c r="B38" s="44"/>
      <c r="C38" s="44"/>
      <c r="D38" s="38"/>
      <c r="E38" s="46"/>
      <c r="F38" s="46">
        <f t="shared" ref="F38:U38" si="146">F21/E21-1</f>
        <v>1.0862068965517242</v>
      </c>
      <c r="G38" s="46">
        <f t="shared" si="146"/>
        <v>0.290289256198347</v>
      </c>
      <c r="H38" s="46">
        <f t="shared" si="146"/>
        <v>0.29059247397918342</v>
      </c>
      <c r="I38" s="46">
        <f t="shared" si="146"/>
        <v>0.29088836502372928</v>
      </c>
      <c r="J38" s="46">
        <f t="shared" si="146"/>
        <v>0.29117697236342388</v>
      </c>
      <c r="K38" s="46">
        <f t="shared" si="146"/>
        <v>0.29145834786262315</v>
      </c>
      <c r="L38" s="46">
        <f>L21/K21-1</f>
        <v>0.1690471646046765</v>
      </c>
      <c r="M38" s="46">
        <f t="shared" si="146"/>
        <v>0.16955147595207687</v>
      </c>
      <c r="N38" s="46">
        <f t="shared" si="146"/>
        <v>0.1700604861136128</v>
      </c>
      <c r="O38" s="46">
        <f t="shared" si="146"/>
        <v>0.17057379393803229</v>
      </c>
      <c r="P38" s="46">
        <f t="shared" si="146"/>
        <v>0.17109098362998698</v>
      </c>
      <c r="Q38" s="46">
        <f t="shared" si="146"/>
        <v>2.7318411308893564E-2</v>
      </c>
      <c r="R38" s="46">
        <f t="shared" si="146"/>
        <v>3.1330410829536692E-2</v>
      </c>
      <c r="S38" s="46">
        <f t="shared" si="146"/>
        <v>3.5360061296270118E-2</v>
      </c>
      <c r="T38" s="46">
        <f t="shared" si="146"/>
        <v>3.9377763487755013E-2</v>
      </c>
      <c r="U38" s="46">
        <f t="shared" si="146"/>
        <v>4.3354166900808844E-2</v>
      </c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</row>
    <row r="39" spans="1:117" x14ac:dyDescent="0.15">
      <c r="B39" s="44"/>
      <c r="C39" s="44"/>
      <c r="D39" s="38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</row>
    <row r="40" spans="1:117" x14ac:dyDescent="0.15">
      <c r="A40" s="2" t="s">
        <v>18</v>
      </c>
      <c r="B40" s="44"/>
      <c r="C40" s="44"/>
      <c r="D40" s="38"/>
      <c r="E40" s="25">
        <f>E41-E42</f>
        <v>0</v>
      </c>
      <c r="F40" s="25">
        <f>F41-F42</f>
        <v>148</v>
      </c>
      <c r="G40" s="53">
        <f>F40+G26</f>
        <v>30.072080000000014</v>
      </c>
      <c r="H40" s="53">
        <f>G40+H26</f>
        <v>-85.270858399999952</v>
      </c>
      <c r="I40" s="53">
        <f t="shared" ref="I40:U40" si="147">H40+I26</f>
        <v>-193.84605776799998</v>
      </c>
      <c r="J40" s="53">
        <f t="shared" si="147"/>
        <v>-298.99648460935998</v>
      </c>
      <c r="K40" s="53">
        <f t="shared" si="147"/>
        <v>-419.48642524456716</v>
      </c>
      <c r="L40" s="53">
        <f t="shared" si="147"/>
        <v>-538.43800702170745</v>
      </c>
      <c r="M40" s="53">
        <f t="shared" si="147"/>
        <v>-634.11851221623135</v>
      </c>
      <c r="N40" s="53">
        <f t="shared" si="147"/>
        <v>-718.54806186217309</v>
      </c>
      <c r="O40" s="53">
        <f t="shared" si="147"/>
        <v>-784.43244449504118</v>
      </c>
      <c r="P40" s="53">
        <f t="shared" si="147"/>
        <v>-822.25374195249628</v>
      </c>
      <c r="Q40" s="53">
        <f t="shared" si="147"/>
        <v>-745.63925878842713</v>
      </c>
      <c r="R40" s="53">
        <f t="shared" si="147"/>
        <v>-544.58974962235163</v>
      </c>
      <c r="S40" s="53">
        <f t="shared" si="147"/>
        <v>-208.00634292754143</v>
      </c>
      <c r="T40" s="53">
        <f t="shared" si="147"/>
        <v>276.41587267963359</v>
      </c>
      <c r="U40" s="53">
        <f t="shared" si="147"/>
        <v>922.30508600298867</v>
      </c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</row>
    <row r="41" spans="1:117" x14ac:dyDescent="0.15">
      <c r="A41" s="3" t="s">
        <v>19</v>
      </c>
      <c r="B41" s="44"/>
      <c r="C41" s="44"/>
      <c r="D41" s="38"/>
      <c r="E41" s="54">
        <f>Reports!E35</f>
        <v>0</v>
      </c>
      <c r="F41" s="54">
        <f>Reports!I35</f>
        <v>351</v>
      </c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</row>
    <row r="42" spans="1:117" x14ac:dyDescent="0.15">
      <c r="A42" s="3" t="s">
        <v>20</v>
      </c>
      <c r="B42" s="44"/>
      <c r="C42" s="44"/>
      <c r="D42" s="38"/>
      <c r="E42" s="54">
        <f>Reports!E36</f>
        <v>0</v>
      </c>
      <c r="F42" s="54">
        <f>Reports!I36</f>
        <v>203</v>
      </c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</row>
    <row r="43" spans="1:117" x14ac:dyDescent="0.15">
      <c r="B43" s="44"/>
      <c r="C43" s="44"/>
      <c r="D43" s="38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</row>
    <row r="44" spans="1:117" x14ac:dyDescent="0.15">
      <c r="A44" s="3" t="s">
        <v>40</v>
      </c>
      <c r="B44" s="44"/>
      <c r="C44" s="44"/>
      <c r="D44" s="38"/>
      <c r="E44" s="54">
        <f>Reports!E38</f>
        <v>0</v>
      </c>
      <c r="F44" s="54">
        <f>Reports!I38</f>
        <v>0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</row>
    <row r="45" spans="1:117" x14ac:dyDescent="0.15">
      <c r="A45" s="3" t="s">
        <v>41</v>
      </c>
      <c r="B45" s="44"/>
      <c r="C45" s="44"/>
      <c r="D45" s="38"/>
      <c r="E45" s="54">
        <f>Reports!E39</f>
        <v>0</v>
      </c>
      <c r="F45" s="54">
        <f>Reports!I39</f>
        <v>422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</row>
    <row r="46" spans="1:117" x14ac:dyDescent="0.15">
      <c r="A46" s="3" t="s">
        <v>42</v>
      </c>
      <c r="B46" s="44"/>
      <c r="C46" s="44"/>
      <c r="D46" s="38"/>
      <c r="E46" s="54">
        <f>Reports!E40</f>
        <v>0</v>
      </c>
      <c r="F46" s="54">
        <f>Reports!I40</f>
        <v>567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</row>
    <row r="47" spans="1:117" x14ac:dyDescent="0.15">
      <c r="B47" s="44"/>
      <c r="C47" s="44"/>
      <c r="D47" s="38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</row>
    <row r="48" spans="1:117" x14ac:dyDescent="0.15">
      <c r="A48" s="3" t="s">
        <v>43</v>
      </c>
      <c r="B48" s="44"/>
      <c r="C48" s="44"/>
      <c r="D48" s="38"/>
      <c r="E48" s="57">
        <f>E45-E44-E41</f>
        <v>0</v>
      </c>
      <c r="F48" s="57">
        <f>F45-F44-F41</f>
        <v>71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</row>
    <row r="49" spans="1:117" x14ac:dyDescent="0.15">
      <c r="A49" s="3" t="s">
        <v>44</v>
      </c>
      <c r="B49" s="44"/>
      <c r="C49" s="44"/>
      <c r="D49" s="38"/>
      <c r="E49" s="57">
        <f>E45-E46</f>
        <v>0</v>
      </c>
      <c r="F49" s="57">
        <f>F45-F46</f>
        <v>-145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</row>
    <row r="50" spans="1:117" x14ac:dyDescent="0.15">
      <c r="B50" s="44"/>
      <c r="C50" s="44"/>
      <c r="D50" s="38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</row>
    <row r="51" spans="1:117" x14ac:dyDescent="0.15">
      <c r="A51" s="19" t="s">
        <v>46</v>
      </c>
      <c r="B51" s="44"/>
      <c r="C51" s="44"/>
      <c r="D51" s="38"/>
      <c r="E51" s="58"/>
      <c r="F51" s="58">
        <f>F26/F49</f>
        <v>0.82297931034482752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</row>
    <row r="52" spans="1:117" x14ac:dyDescent="0.15">
      <c r="A52" s="19" t="s">
        <v>47</v>
      </c>
      <c r="B52" s="44"/>
      <c r="C52" s="44"/>
      <c r="D52" s="38"/>
      <c r="E52" s="58"/>
      <c r="F52" s="58">
        <f>F26/F45</f>
        <v>-0.2827772511848341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</row>
    <row r="53" spans="1:117" x14ac:dyDescent="0.15">
      <c r="A53" s="19" t="s">
        <v>48</v>
      </c>
      <c r="B53" s="44"/>
      <c r="C53" s="44"/>
      <c r="D53" s="38"/>
      <c r="E53" s="58"/>
      <c r="F53" s="58">
        <f>F26/(F49-F44)</f>
        <v>0.82297931034482752</v>
      </c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</row>
    <row r="54" spans="1:117" x14ac:dyDescent="0.15">
      <c r="A54" s="19" t="s">
        <v>49</v>
      </c>
      <c r="B54" s="44"/>
      <c r="C54" s="44"/>
      <c r="D54" s="38"/>
      <c r="E54" s="58"/>
      <c r="F54" s="58">
        <f>F26/F48</f>
        <v>-1.6807323943661971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</row>
    <row r="55" spans="1:117" x14ac:dyDescent="0.15">
      <c r="B55" s="44"/>
      <c r="C55" s="44"/>
      <c r="D55" s="38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</row>
    <row r="56" spans="1:117" x14ac:dyDescent="0.15">
      <c r="A56" s="6" t="s">
        <v>58</v>
      </c>
      <c r="B56" s="44"/>
      <c r="C56" s="44"/>
      <c r="D56" s="38"/>
      <c r="E56" s="58"/>
      <c r="F56" s="58">
        <f t="shared" ref="F56:K56" si="148">F10/E10-1</f>
        <v>0.85025974025974027</v>
      </c>
      <c r="G56" s="58"/>
      <c r="H56" s="58"/>
      <c r="I56" s="58"/>
      <c r="J56" s="58"/>
      <c r="K56" s="58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</row>
    <row r="57" spans="1:117" x14ac:dyDescent="0.15">
      <c r="B57" s="44"/>
      <c r="C57" s="44"/>
      <c r="D57" s="38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</row>
    <row r="58" spans="1:117" s="20" customFormat="1" x14ac:dyDescent="0.15">
      <c r="A58" s="20" t="s">
        <v>55</v>
      </c>
      <c r="B58" s="44"/>
      <c r="C58" s="44"/>
      <c r="D58" s="3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</row>
    <row r="59" spans="1:117" s="20" customFormat="1" x14ac:dyDescent="0.15">
      <c r="A59" s="20" t="s">
        <v>56</v>
      </c>
      <c r="B59" s="44"/>
      <c r="C59" s="44"/>
      <c r="D59" s="38"/>
      <c r="E59" s="58"/>
      <c r="F59" s="58">
        <f>F13/E13-1</f>
        <v>-0.21055584415584405</v>
      </c>
      <c r="G59" s="58">
        <f>G13/F13-1</f>
        <v>0.30000000000000027</v>
      </c>
      <c r="H59" s="58">
        <f>H13/G13-1</f>
        <v>0.25</v>
      </c>
      <c r="I59" s="58">
        <f>I13/H13-1</f>
        <v>0.19999999999999996</v>
      </c>
      <c r="J59" s="58">
        <f>J13/I13-1</f>
        <v>0.14999999999999991</v>
      </c>
      <c r="K59" s="58">
        <f>K13/J13-1</f>
        <v>0.10000000000000009</v>
      </c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</row>
    <row r="60" spans="1:117" x14ac:dyDescent="0.15">
      <c r="B60" s="44"/>
      <c r="C60" s="44"/>
      <c r="D60" s="38"/>
    </row>
    <row r="61" spans="1:117" s="16" customFormat="1" x14ac:dyDescent="0.15">
      <c r="A61" s="16" t="s">
        <v>76</v>
      </c>
      <c r="D61" s="38"/>
      <c r="E61" s="16">
        <f>Reports!E56</f>
        <v>32000</v>
      </c>
      <c r="F61" s="16">
        <f>Reports!I56</f>
        <v>75000</v>
      </c>
      <c r="G61" s="16">
        <f>Reports!M56</f>
        <v>90000</v>
      </c>
      <c r="H61" s="16">
        <f>G61*1.2</f>
        <v>108000</v>
      </c>
      <c r="I61" s="16">
        <f t="shared" ref="I61:K61" si="149">H61*1.2</f>
        <v>129600</v>
      </c>
      <c r="J61" s="16">
        <f t="shared" si="149"/>
        <v>155520</v>
      </c>
      <c r="K61" s="16">
        <f t="shared" si="149"/>
        <v>186624</v>
      </c>
    </row>
    <row r="62" spans="1:117" s="20" customFormat="1" x14ac:dyDescent="0.15">
      <c r="A62" s="20" t="s">
        <v>77</v>
      </c>
      <c r="F62" s="20">
        <f>F61/E61-1</f>
        <v>1.34375</v>
      </c>
      <c r="G62" s="20">
        <f>G61/F61-1</f>
        <v>0.19999999999999996</v>
      </c>
      <c r="H62" s="20">
        <f>H61/G61-1</f>
        <v>0.19999999999999996</v>
      </c>
      <c r="I62" s="20">
        <f>I61/H61-1</f>
        <v>0.19999999999999996</v>
      </c>
      <c r="J62" s="20">
        <f>J61/I61-1</f>
        <v>0.19999999999999996</v>
      </c>
      <c r="K62" s="20">
        <f>K61/J61-1</f>
        <v>0.19999999999999996</v>
      </c>
    </row>
  </sheetData>
  <hyperlinks>
    <hyperlink ref="A1" r:id="rId1" xr:uid="{00000000-0004-0000-0000-000000000000}"/>
    <hyperlink ref="L4" r:id="rId2" xr:uid="{CBCA994A-BC74-CB48-8009-AD2DE8254A02}"/>
    <hyperlink ref="A7" r:id="rId3" xr:uid="{579463CB-1121-8248-986F-B35AD5EB8673}"/>
    <hyperlink ref="A8" r:id="rId4" xr:uid="{8E95B49B-BB90-D144-AEB5-1D2AF250AFE7}"/>
    <hyperlink ref="A4" r:id="rId5" xr:uid="{625BBA97-6ABD-ED4E-A457-E1827B89E414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7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6" sqref="O6"/>
    </sheetView>
  </sheetViews>
  <sheetFormatPr baseColWidth="10" defaultRowHeight="13" x14ac:dyDescent="0.15"/>
  <cols>
    <col min="1" max="1" width="20.33203125" style="6" bestFit="1" customWidth="1"/>
    <col min="2" max="2" width="10.83203125" style="22"/>
    <col min="3" max="5" width="10.83203125" style="21"/>
    <col min="6" max="6" width="10.83203125" style="22"/>
    <col min="7" max="9" width="10.83203125" style="21"/>
    <col min="10" max="10" width="10.83203125" style="22"/>
    <col min="11" max="13" width="10.83203125" style="21"/>
    <col min="14" max="16384" width="10.83203125" style="6"/>
  </cols>
  <sheetData>
    <row r="1" spans="1:13" x14ac:dyDescent="0.15">
      <c r="A1" s="70" t="s">
        <v>29</v>
      </c>
      <c r="B1" s="23" t="s">
        <v>36</v>
      </c>
      <c r="C1" s="24" t="s">
        <v>37</v>
      </c>
      <c r="D1" s="24" t="s">
        <v>38</v>
      </c>
      <c r="E1" s="24" t="s">
        <v>39</v>
      </c>
      <c r="F1" s="23" t="s">
        <v>60</v>
      </c>
      <c r="G1" s="24" t="s">
        <v>65</v>
      </c>
      <c r="H1" s="24" t="s">
        <v>66</v>
      </c>
      <c r="I1" s="24" t="s">
        <v>61</v>
      </c>
      <c r="J1" s="22" t="s">
        <v>71</v>
      </c>
      <c r="K1" s="21" t="s">
        <v>72</v>
      </c>
      <c r="L1" s="21" t="s">
        <v>73</v>
      </c>
      <c r="M1" s="21" t="s">
        <v>74</v>
      </c>
    </row>
    <row r="2" spans="1:13" s="21" customFormat="1" x14ac:dyDescent="0.15">
      <c r="A2" s="1"/>
      <c r="B2" s="62">
        <v>43220</v>
      </c>
      <c r="C2" s="61">
        <v>43312</v>
      </c>
      <c r="D2" s="61">
        <v>43404</v>
      </c>
      <c r="E2" s="61">
        <v>43496</v>
      </c>
      <c r="F2" s="62">
        <v>43585</v>
      </c>
      <c r="G2" s="61">
        <v>43677</v>
      </c>
      <c r="H2" s="61">
        <v>43769</v>
      </c>
      <c r="I2" s="61">
        <v>43861</v>
      </c>
      <c r="J2" s="62">
        <v>43951</v>
      </c>
      <c r="K2" s="61">
        <v>44043</v>
      </c>
      <c r="L2" s="61">
        <v>44135</v>
      </c>
    </row>
    <row r="3" spans="1:13" s="8" customFormat="1" x14ac:dyDescent="0.15">
      <c r="A3" s="8" t="s">
        <v>57</v>
      </c>
      <c r="B3" s="23">
        <v>14</v>
      </c>
      <c r="C3" s="24">
        <v>18</v>
      </c>
      <c r="D3" s="24">
        <v>21</v>
      </c>
      <c r="E3" s="24">
        <v>24</v>
      </c>
      <c r="F3" s="23">
        <v>28</v>
      </c>
      <c r="G3" s="24">
        <v>33</v>
      </c>
      <c r="H3" s="24">
        <v>38</v>
      </c>
      <c r="I3" s="24">
        <v>43.47</v>
      </c>
      <c r="J3" s="23">
        <v>47.706000000000003</v>
      </c>
      <c r="K3" s="24">
        <v>52</v>
      </c>
      <c r="L3" s="24">
        <v>58.905000000000001</v>
      </c>
      <c r="M3" s="24"/>
    </row>
    <row r="4" spans="1:13" x14ac:dyDescent="0.15">
      <c r="B4" s="23"/>
      <c r="C4" s="24"/>
      <c r="D4" s="24"/>
      <c r="E4" s="24"/>
    </row>
    <row r="5" spans="1:13" s="75" customFormat="1" x14ac:dyDescent="0.15">
      <c r="A5" s="75" t="s">
        <v>53</v>
      </c>
      <c r="B5" s="76"/>
      <c r="C5" s="73"/>
      <c r="D5" s="73"/>
      <c r="E5" s="73">
        <f>E56/1000000</f>
        <v>3.2000000000000001E-2</v>
      </c>
      <c r="F5" s="76">
        <f>F56/1000000</f>
        <v>6.6000000000000003E-2</v>
      </c>
      <c r="G5" s="73">
        <f>G56/1000000</f>
        <v>7.0999999999999994E-2</v>
      </c>
      <c r="H5" s="73">
        <f>H56/1000000</f>
        <v>7.2999999999999995E-2</v>
      </c>
      <c r="I5" s="73">
        <f>I56/1000000</f>
        <v>7.4999999999999997E-2</v>
      </c>
      <c r="J5" s="76">
        <f>J56/1000000</f>
        <v>7.6999999999999999E-2</v>
      </c>
      <c r="K5" s="73">
        <f>K56/1000000</f>
        <v>8.2000000000000003E-2</v>
      </c>
      <c r="L5" s="73">
        <f>L56/1000000</f>
        <v>8.8999999999999996E-2</v>
      </c>
      <c r="M5" s="73">
        <f>M56/1000000</f>
        <v>0.09</v>
      </c>
    </row>
    <row r="6" spans="1:13" s="8" customFormat="1" x14ac:dyDescent="0.15">
      <c r="A6" s="8" t="s">
        <v>54</v>
      </c>
      <c r="B6" s="23"/>
      <c r="C6" s="24"/>
      <c r="D6" s="24"/>
      <c r="E6" s="27">
        <f>E3/E5</f>
        <v>750</v>
      </c>
      <c r="F6" s="28">
        <f>F3/F5</f>
        <v>424.24242424242425</v>
      </c>
      <c r="G6" s="27">
        <f>G3/G5</f>
        <v>464.78873239436626</v>
      </c>
      <c r="H6" s="27">
        <f>H3/H5</f>
        <v>520.54794520547944</v>
      </c>
      <c r="I6" s="27">
        <f>I3/I5</f>
        <v>579.6</v>
      </c>
      <c r="J6" s="28">
        <f>J3/J5</f>
        <v>619.55844155844159</v>
      </c>
      <c r="K6" s="27">
        <f>K3/K5</f>
        <v>634.14634146341461</v>
      </c>
      <c r="L6" s="27">
        <f>L3/L5</f>
        <v>661.85393258426973</v>
      </c>
      <c r="M6" s="24">
        <f>I6*1.2</f>
        <v>695.52</v>
      </c>
    </row>
    <row r="7" spans="1:13" s="24" customFormat="1" x14ac:dyDescent="0.15">
      <c r="B7" s="23"/>
      <c r="F7" s="23"/>
      <c r="J7" s="23"/>
      <c r="L7" s="24">
        <v>53</v>
      </c>
      <c r="M7" s="24">
        <v>62</v>
      </c>
    </row>
    <row r="8" spans="1:13" s="17" customFormat="1" x14ac:dyDescent="0.15">
      <c r="A8" s="17" t="s">
        <v>0</v>
      </c>
      <c r="B8" s="26">
        <f t="shared" ref="B8:M8" si="0">SUM(B3:B3)</f>
        <v>14</v>
      </c>
      <c r="C8" s="25">
        <f t="shared" si="0"/>
        <v>18</v>
      </c>
      <c r="D8" s="25">
        <f t="shared" si="0"/>
        <v>21</v>
      </c>
      <c r="E8" s="25">
        <f t="shared" si="0"/>
        <v>24</v>
      </c>
      <c r="F8" s="26">
        <f t="shared" si="0"/>
        <v>28</v>
      </c>
      <c r="G8" s="25">
        <f t="shared" si="0"/>
        <v>33</v>
      </c>
      <c r="H8" s="25">
        <f t="shared" si="0"/>
        <v>38</v>
      </c>
      <c r="I8" s="25">
        <f t="shared" si="0"/>
        <v>43.47</v>
      </c>
      <c r="J8" s="26">
        <f t="shared" si="0"/>
        <v>47.706000000000003</v>
      </c>
      <c r="K8" s="25">
        <f t="shared" si="0"/>
        <v>52</v>
      </c>
      <c r="L8" s="25">
        <f>L6*L5</f>
        <v>58.905000000000001</v>
      </c>
      <c r="M8" s="25">
        <f>M6*M5</f>
        <v>62.596799999999995</v>
      </c>
    </row>
    <row r="9" spans="1:13" s="8" customFormat="1" x14ac:dyDescent="0.15">
      <c r="A9" s="8" t="s">
        <v>1</v>
      </c>
      <c r="B9" s="23">
        <v>3</v>
      </c>
      <c r="C9" s="24">
        <v>3</v>
      </c>
      <c r="D9" s="24">
        <v>4</v>
      </c>
      <c r="E9" s="24">
        <v>4</v>
      </c>
      <c r="F9" s="23">
        <v>4</v>
      </c>
      <c r="G9" s="24">
        <v>5</v>
      </c>
      <c r="H9" s="54">
        <v>5</v>
      </c>
      <c r="I9" s="54">
        <v>5.8019999999999996</v>
      </c>
      <c r="J9" s="23">
        <v>6</v>
      </c>
      <c r="K9" s="54">
        <v>7</v>
      </c>
      <c r="L9" s="54">
        <v>7.3209999999999997</v>
      </c>
      <c r="M9" s="54"/>
    </row>
    <row r="10" spans="1:13" s="8" customFormat="1" x14ac:dyDescent="0.15">
      <c r="A10" s="8" t="s">
        <v>2</v>
      </c>
      <c r="B10" s="28">
        <f>B8-B9</f>
        <v>11</v>
      </c>
      <c r="C10" s="27">
        <f>C8-C9</f>
        <v>15</v>
      </c>
      <c r="D10" s="27">
        <f t="shared" ref="D10:F10" si="1">D8-D9</f>
        <v>17</v>
      </c>
      <c r="E10" s="27">
        <f t="shared" si="1"/>
        <v>20</v>
      </c>
      <c r="F10" s="28">
        <f t="shared" si="1"/>
        <v>24</v>
      </c>
      <c r="G10" s="27">
        <f t="shared" ref="G10:L10" si="2">G8-G9</f>
        <v>28</v>
      </c>
      <c r="H10" s="27">
        <f t="shared" si="2"/>
        <v>33</v>
      </c>
      <c r="I10" s="27">
        <f t="shared" si="2"/>
        <v>37.667999999999999</v>
      </c>
      <c r="J10" s="28">
        <f t="shared" ref="J10" si="3">J8-J9</f>
        <v>41.706000000000003</v>
      </c>
      <c r="K10" s="27">
        <f t="shared" si="2"/>
        <v>45</v>
      </c>
      <c r="L10" s="27">
        <f t="shared" si="2"/>
        <v>51.584000000000003</v>
      </c>
      <c r="M10" s="54"/>
    </row>
    <row r="11" spans="1:13" s="8" customFormat="1" x14ac:dyDescent="0.15">
      <c r="A11" s="8" t="s">
        <v>3</v>
      </c>
      <c r="B11" s="23">
        <v>9</v>
      </c>
      <c r="C11" s="24">
        <v>13</v>
      </c>
      <c r="D11" s="24">
        <v>10</v>
      </c>
      <c r="E11" s="24">
        <v>11</v>
      </c>
      <c r="F11" s="23">
        <v>13</v>
      </c>
      <c r="G11" s="24">
        <v>16</v>
      </c>
      <c r="H11" s="54">
        <v>40</v>
      </c>
      <c r="I11" s="54">
        <v>20</v>
      </c>
      <c r="J11" s="23">
        <v>22</v>
      </c>
      <c r="K11" s="54">
        <v>26</v>
      </c>
      <c r="L11" s="54">
        <v>33</v>
      </c>
      <c r="M11" s="54"/>
    </row>
    <row r="12" spans="1:13" s="8" customFormat="1" x14ac:dyDescent="0.15">
      <c r="A12" s="8" t="s">
        <v>4</v>
      </c>
      <c r="B12" s="23">
        <v>10</v>
      </c>
      <c r="C12" s="24">
        <v>13</v>
      </c>
      <c r="D12" s="24">
        <v>13</v>
      </c>
      <c r="E12" s="24">
        <v>16</v>
      </c>
      <c r="F12" s="23">
        <v>19</v>
      </c>
      <c r="G12" s="24">
        <v>20</v>
      </c>
      <c r="H12" s="54">
        <v>36</v>
      </c>
      <c r="I12" s="54">
        <v>31</v>
      </c>
      <c r="J12" s="23">
        <v>36</v>
      </c>
      <c r="K12" s="54">
        <v>39</v>
      </c>
      <c r="L12" s="54">
        <v>48</v>
      </c>
      <c r="M12" s="54"/>
    </row>
    <row r="13" spans="1:13" s="8" customFormat="1" x14ac:dyDescent="0.15">
      <c r="A13" s="8" t="s">
        <v>5</v>
      </c>
      <c r="B13" s="23">
        <v>4</v>
      </c>
      <c r="C13" s="24">
        <v>5</v>
      </c>
      <c r="D13" s="24">
        <v>6</v>
      </c>
      <c r="E13" s="24">
        <v>6</v>
      </c>
      <c r="F13" s="23">
        <v>7</v>
      </c>
      <c r="G13" s="24">
        <v>8</v>
      </c>
      <c r="H13" s="54">
        <v>20</v>
      </c>
      <c r="I13" s="54">
        <v>12</v>
      </c>
      <c r="J13" s="23">
        <v>12</v>
      </c>
      <c r="K13" s="54">
        <v>14</v>
      </c>
      <c r="L13" s="54">
        <v>32</v>
      </c>
      <c r="M13" s="54"/>
    </row>
    <row r="14" spans="1:13" s="8" customFormat="1" x14ac:dyDescent="0.15">
      <c r="A14" s="8" t="s">
        <v>6</v>
      </c>
      <c r="B14" s="28">
        <f t="shared" ref="B14" si="4">SUM(B11:B13)</f>
        <v>23</v>
      </c>
      <c r="C14" s="27">
        <f t="shared" ref="C14:D14" si="5">SUM(C11:C13)</f>
        <v>31</v>
      </c>
      <c r="D14" s="27">
        <f t="shared" si="5"/>
        <v>29</v>
      </c>
      <c r="E14" s="27">
        <f t="shared" ref="E14:G14" si="6">SUM(E11:E13)</f>
        <v>33</v>
      </c>
      <c r="F14" s="28">
        <f t="shared" si="6"/>
        <v>39</v>
      </c>
      <c r="G14" s="27">
        <f t="shared" si="6"/>
        <v>44</v>
      </c>
      <c r="H14" s="27">
        <f t="shared" ref="H14:I14" si="7">SUM(H11:H13)</f>
        <v>96</v>
      </c>
      <c r="I14" s="27">
        <f t="shared" si="7"/>
        <v>63</v>
      </c>
      <c r="J14" s="28">
        <f t="shared" ref="J14:K14" si="8">SUM(J11:J13)</f>
        <v>70</v>
      </c>
      <c r="K14" s="27">
        <f t="shared" si="8"/>
        <v>79</v>
      </c>
      <c r="L14" s="27">
        <f t="shared" ref="L14" si="9">SUM(L11:L13)</f>
        <v>113</v>
      </c>
      <c r="M14" s="54"/>
    </row>
    <row r="15" spans="1:13" s="8" customFormat="1" x14ac:dyDescent="0.15">
      <c r="A15" s="8" t="s">
        <v>7</v>
      </c>
      <c r="B15" s="28">
        <f t="shared" ref="B15:D15" si="10">B10-B14</f>
        <v>-12</v>
      </c>
      <c r="C15" s="27">
        <f t="shared" si="10"/>
        <v>-16</v>
      </c>
      <c r="D15" s="27">
        <f t="shared" si="10"/>
        <v>-12</v>
      </c>
      <c r="E15" s="27">
        <f t="shared" ref="E15:G15" si="11">E10-E14</f>
        <v>-13</v>
      </c>
      <c r="F15" s="28">
        <f t="shared" si="11"/>
        <v>-15</v>
      </c>
      <c r="G15" s="27">
        <f t="shared" si="11"/>
        <v>-16</v>
      </c>
      <c r="H15" s="27">
        <f t="shared" ref="H15:I15" si="12">H10-H14</f>
        <v>-63</v>
      </c>
      <c r="I15" s="27">
        <f t="shared" si="12"/>
        <v>-25.332000000000001</v>
      </c>
      <c r="J15" s="28">
        <f t="shared" ref="J15:K15" si="13">J10-J14</f>
        <v>-28.293999999999997</v>
      </c>
      <c r="K15" s="27">
        <f t="shared" si="13"/>
        <v>-34</v>
      </c>
      <c r="L15" s="27">
        <f t="shared" ref="L15" si="14">L10-L14</f>
        <v>-61.415999999999997</v>
      </c>
      <c r="M15" s="54"/>
    </row>
    <row r="16" spans="1:13" s="8" customFormat="1" x14ac:dyDescent="0.15">
      <c r="A16" s="8" t="s">
        <v>8</v>
      </c>
      <c r="B16" s="23">
        <v>0</v>
      </c>
      <c r="C16" s="24">
        <v>0</v>
      </c>
      <c r="D16" s="24">
        <v>0</v>
      </c>
      <c r="E16" s="24">
        <v>0</v>
      </c>
      <c r="F16" s="23">
        <v>0</v>
      </c>
      <c r="G16" s="24">
        <v>0</v>
      </c>
      <c r="H16" s="54">
        <v>0</v>
      </c>
      <c r="I16" s="54">
        <v>0</v>
      </c>
      <c r="J16" s="23">
        <f>1-7</f>
        <v>-6</v>
      </c>
      <c r="K16" s="54">
        <f>-8+1</f>
        <v>-7</v>
      </c>
      <c r="L16" s="54">
        <v>-11</v>
      </c>
      <c r="M16" s="54"/>
    </row>
    <row r="17" spans="1:13" s="8" customFormat="1" x14ac:dyDescent="0.15">
      <c r="A17" s="8" t="s">
        <v>9</v>
      </c>
      <c r="B17" s="28">
        <f t="shared" ref="B17" si="15">B15+B16</f>
        <v>-12</v>
      </c>
      <c r="C17" s="27">
        <f t="shared" ref="C17" si="16">C15+C16</f>
        <v>-16</v>
      </c>
      <c r="D17" s="27">
        <f t="shared" ref="D17:H17" si="17">D15+D16</f>
        <v>-12</v>
      </c>
      <c r="E17" s="27">
        <f t="shared" si="17"/>
        <v>-13</v>
      </c>
      <c r="F17" s="28">
        <f t="shared" si="17"/>
        <v>-15</v>
      </c>
      <c r="G17" s="27">
        <f t="shared" si="17"/>
        <v>-16</v>
      </c>
      <c r="H17" s="27">
        <f t="shared" si="17"/>
        <v>-63</v>
      </c>
      <c r="I17" s="27">
        <f t="shared" ref="I17" si="18">I15+I16</f>
        <v>-25.332000000000001</v>
      </c>
      <c r="J17" s="28">
        <f t="shared" ref="J17:L17" si="19">J15+J16</f>
        <v>-34.293999999999997</v>
      </c>
      <c r="K17" s="27">
        <f t="shared" si="19"/>
        <v>-41</v>
      </c>
      <c r="L17" s="27">
        <f t="shared" si="19"/>
        <v>-72.415999999999997</v>
      </c>
      <c r="M17" s="54"/>
    </row>
    <row r="18" spans="1:13" s="8" customFormat="1" x14ac:dyDescent="0.15">
      <c r="A18" s="8" t="s">
        <v>10</v>
      </c>
      <c r="B18" s="23">
        <v>0</v>
      </c>
      <c r="C18" s="24">
        <v>0</v>
      </c>
      <c r="D18" s="24">
        <v>0</v>
      </c>
      <c r="E18" s="24">
        <v>0</v>
      </c>
      <c r="F18" s="23">
        <v>0</v>
      </c>
      <c r="G18" s="24">
        <v>0</v>
      </c>
      <c r="H18" s="24">
        <v>0</v>
      </c>
      <c r="I18" s="24">
        <v>0</v>
      </c>
      <c r="J18" s="23">
        <v>0</v>
      </c>
      <c r="K18" s="24">
        <v>0</v>
      </c>
      <c r="L18" s="24">
        <v>1</v>
      </c>
      <c r="M18" s="24"/>
    </row>
    <row r="19" spans="1:13" s="49" customFormat="1" x14ac:dyDescent="0.15">
      <c r="A19" s="49" t="s">
        <v>52</v>
      </c>
      <c r="B19" s="41"/>
      <c r="C19" s="40"/>
      <c r="D19" s="40"/>
      <c r="E19" s="40"/>
      <c r="F19" s="41"/>
      <c r="G19" s="40"/>
      <c r="H19" s="40"/>
      <c r="I19" s="40"/>
      <c r="J19" s="41"/>
      <c r="K19" s="40"/>
      <c r="L19" s="40"/>
      <c r="M19" s="40"/>
    </row>
    <row r="20" spans="1:13" s="17" customFormat="1" x14ac:dyDescent="0.15">
      <c r="A20" s="17" t="s">
        <v>11</v>
      </c>
      <c r="B20" s="26">
        <f t="shared" ref="B20:C20" si="20">B17-B18</f>
        <v>-12</v>
      </c>
      <c r="C20" s="25">
        <f t="shared" si="20"/>
        <v>-16</v>
      </c>
      <c r="D20" s="25">
        <f t="shared" ref="D20:G20" si="21">D17-D18</f>
        <v>-12</v>
      </c>
      <c r="E20" s="25">
        <f t="shared" si="21"/>
        <v>-13</v>
      </c>
      <c r="F20" s="26">
        <f t="shared" si="21"/>
        <v>-15</v>
      </c>
      <c r="G20" s="25">
        <f t="shared" si="21"/>
        <v>-16</v>
      </c>
      <c r="H20" s="25">
        <f t="shared" ref="H20:I20" si="22">H17-H18</f>
        <v>-63</v>
      </c>
      <c r="I20" s="25">
        <f t="shared" si="22"/>
        <v>-25.332000000000001</v>
      </c>
      <c r="J20" s="26">
        <f t="shared" ref="J20:K20" si="23">J17-J18</f>
        <v>-34.293999999999997</v>
      </c>
      <c r="K20" s="25">
        <f t="shared" si="23"/>
        <v>-41</v>
      </c>
      <c r="L20" s="25">
        <f t="shared" ref="L20" si="24">L17-L18</f>
        <v>-73.415999999999997</v>
      </c>
      <c r="M20" s="53"/>
    </row>
    <row r="21" spans="1:13" s="4" customFormat="1" x14ac:dyDescent="0.15">
      <c r="A21" s="4" t="s">
        <v>12</v>
      </c>
      <c r="B21" s="64">
        <f t="shared" ref="B21:G21" si="25">IFERROR(B20/B22,0)</f>
        <v>0</v>
      </c>
      <c r="C21" s="63">
        <f t="shared" si="25"/>
        <v>0</v>
      </c>
      <c r="D21" s="63">
        <f t="shared" si="25"/>
        <v>0</v>
      </c>
      <c r="E21" s="63">
        <f t="shared" si="25"/>
        <v>0</v>
      </c>
      <c r="F21" s="64">
        <f t="shared" si="25"/>
        <v>0</v>
      </c>
      <c r="G21" s="63">
        <f t="shared" si="25"/>
        <v>-0.23324295168955364</v>
      </c>
      <c r="H21" s="63">
        <f t="shared" ref="H21:I21" si="26">IFERROR(H20/H22,0)</f>
        <v>-0.89063560280479526</v>
      </c>
      <c r="I21" s="63">
        <f t="shared" si="26"/>
        <v>0</v>
      </c>
      <c r="J21" s="64">
        <f t="shared" ref="J21:K21" si="27">IFERROR(J20/J22,0)</f>
        <v>0</v>
      </c>
      <c r="K21" s="63">
        <f t="shared" si="27"/>
        <v>-0.53678270774145398</v>
      </c>
      <c r="L21" s="63">
        <f t="shared" ref="L21" si="28">IFERROR(L20/L22,0)</f>
        <v>-0.64818477186043222</v>
      </c>
      <c r="M21" s="65"/>
    </row>
    <row r="22" spans="1:13" s="8" customFormat="1" x14ac:dyDescent="0.15">
      <c r="A22" s="8" t="s">
        <v>13</v>
      </c>
      <c r="B22" s="23"/>
      <c r="C22" s="24"/>
      <c r="D22" s="24"/>
      <c r="E22" s="24"/>
      <c r="F22" s="23"/>
      <c r="G22" s="24">
        <v>68.597999999999999</v>
      </c>
      <c r="H22" s="54">
        <v>70.736000000000004</v>
      </c>
      <c r="I22" s="54"/>
      <c r="J22" s="23"/>
      <c r="K22" s="54">
        <v>76.381</v>
      </c>
      <c r="L22" s="54">
        <v>113.264</v>
      </c>
      <c r="M22" s="54"/>
    </row>
    <row r="23" spans="1:13" s="42" customFormat="1" x14ac:dyDescent="0.15">
      <c r="B23" s="59"/>
      <c r="E23" s="40"/>
      <c r="F23" s="59"/>
      <c r="J23" s="59"/>
    </row>
    <row r="24" spans="1:13" x14ac:dyDescent="0.15">
      <c r="A24" s="6" t="s">
        <v>15</v>
      </c>
      <c r="B24" s="35">
        <f t="shared" ref="B24:E24" si="29">IFERROR(B10/B8,0)</f>
        <v>0.7857142857142857</v>
      </c>
      <c r="C24" s="34">
        <f t="shared" si="29"/>
        <v>0.83333333333333337</v>
      </c>
      <c r="D24" s="34">
        <f t="shared" si="29"/>
        <v>0.80952380952380953</v>
      </c>
      <c r="E24" s="34">
        <f t="shared" si="29"/>
        <v>0.83333333333333337</v>
      </c>
      <c r="F24" s="35">
        <f t="shared" ref="F24:G24" si="30">IFERROR(F10/F8,0)</f>
        <v>0.8571428571428571</v>
      </c>
      <c r="G24" s="34">
        <f t="shared" si="30"/>
        <v>0.84848484848484851</v>
      </c>
      <c r="H24" s="34">
        <f t="shared" ref="H24:J24" si="31">IFERROR(H10/H8,0)</f>
        <v>0.86842105263157898</v>
      </c>
      <c r="I24" s="34">
        <f t="shared" ref="I24" si="32">IFERROR(I10/I8,0)</f>
        <v>0.86652864044168387</v>
      </c>
      <c r="J24" s="35">
        <f t="shared" si="31"/>
        <v>0.87422965664696262</v>
      </c>
      <c r="K24" s="34">
        <f t="shared" ref="K24:L24" si="33">IFERROR(K10/K8,0)</f>
        <v>0.86538461538461542</v>
      </c>
      <c r="L24" s="34">
        <f t="shared" si="33"/>
        <v>0.87571513453866401</v>
      </c>
      <c r="M24" s="34"/>
    </row>
    <row r="25" spans="1:13" x14ac:dyDescent="0.15">
      <c r="A25" s="6" t="s">
        <v>16</v>
      </c>
      <c r="B25" s="37">
        <f t="shared" ref="B25:E25" si="34">IFERROR(B15/B8,0)</f>
        <v>-0.8571428571428571</v>
      </c>
      <c r="C25" s="36">
        <f t="shared" si="34"/>
        <v>-0.88888888888888884</v>
      </c>
      <c r="D25" s="36">
        <f t="shared" si="34"/>
        <v>-0.5714285714285714</v>
      </c>
      <c r="E25" s="36">
        <f t="shared" si="34"/>
        <v>-0.54166666666666663</v>
      </c>
      <c r="F25" s="37">
        <f t="shared" ref="F25:G25" si="35">IFERROR(F15/F8,0)</f>
        <v>-0.5357142857142857</v>
      </c>
      <c r="G25" s="36">
        <f t="shared" si="35"/>
        <v>-0.48484848484848486</v>
      </c>
      <c r="H25" s="36">
        <f t="shared" ref="H25:J25" si="36">IFERROR(H15/H8,0)</f>
        <v>-1.6578947368421053</v>
      </c>
      <c r="I25" s="36">
        <f t="shared" ref="I25" si="37">IFERROR(I15/I8,0)</f>
        <v>-0.5827467218771567</v>
      </c>
      <c r="J25" s="37">
        <f t="shared" si="36"/>
        <v>-0.59309101580513968</v>
      </c>
      <c r="K25" s="36">
        <f t="shared" ref="K25:L25" si="38">IFERROR(K15/K8,0)</f>
        <v>-0.65384615384615385</v>
      </c>
      <c r="L25" s="36">
        <f t="shared" si="38"/>
        <v>-1.042627960275019</v>
      </c>
      <c r="M25" s="36"/>
    </row>
    <row r="26" spans="1:13" x14ac:dyDescent="0.15">
      <c r="A26" s="6" t="s">
        <v>17</v>
      </c>
      <c r="B26" s="37">
        <f t="shared" ref="B26:E26" si="39">IFERROR(B18/B17,0)</f>
        <v>0</v>
      </c>
      <c r="C26" s="36">
        <f t="shared" si="39"/>
        <v>0</v>
      </c>
      <c r="D26" s="36">
        <f t="shared" si="39"/>
        <v>0</v>
      </c>
      <c r="E26" s="36">
        <f t="shared" si="39"/>
        <v>0</v>
      </c>
      <c r="F26" s="37">
        <f t="shared" ref="F26:G26" si="40">IFERROR(F18/F17,0)</f>
        <v>0</v>
      </c>
      <c r="G26" s="36">
        <f t="shared" si="40"/>
        <v>0</v>
      </c>
      <c r="H26" s="36">
        <f t="shared" ref="H26:J26" si="41">IFERROR(H18/H17,0)</f>
        <v>0</v>
      </c>
      <c r="I26" s="36">
        <f t="shared" ref="I26" si="42">IFERROR(I18/I17,0)</f>
        <v>0</v>
      </c>
      <c r="J26" s="37">
        <f t="shared" si="41"/>
        <v>0</v>
      </c>
      <c r="K26" s="36">
        <f t="shared" ref="K26:L26" si="43">IFERROR(K18/K17,0)</f>
        <v>0</v>
      </c>
      <c r="L26" s="36">
        <f t="shared" si="43"/>
        <v>-1.3809102960671676E-2</v>
      </c>
      <c r="M26" s="36"/>
    </row>
    <row r="27" spans="1:13" s="42" customFormat="1" x14ac:dyDescent="0.15">
      <c r="B27" s="59"/>
      <c r="E27" s="40"/>
      <c r="F27" s="59"/>
      <c r="J27" s="59"/>
    </row>
    <row r="28" spans="1:13" s="12" customFormat="1" x14ac:dyDescent="0.15">
      <c r="A28" s="12" t="s">
        <v>14</v>
      </c>
      <c r="B28" s="31"/>
      <c r="C28" s="30"/>
      <c r="D28" s="30"/>
      <c r="E28" s="30"/>
      <c r="F28" s="31">
        <f t="shared" ref="F28:L28" si="44">IFERROR((F8/B8)-1,0)</f>
        <v>1</v>
      </c>
      <c r="G28" s="30">
        <f t="shared" si="44"/>
        <v>0.83333333333333326</v>
      </c>
      <c r="H28" s="30">
        <f t="shared" si="44"/>
        <v>0.80952380952380953</v>
      </c>
      <c r="I28" s="30">
        <f t="shared" si="44"/>
        <v>0.81125000000000003</v>
      </c>
      <c r="J28" s="31">
        <f t="shared" ref="J28" si="45">IFERROR((J8/F8)-1,0)</f>
        <v>0.70378571428571446</v>
      </c>
      <c r="K28" s="30">
        <f t="shared" si="44"/>
        <v>0.57575757575757569</v>
      </c>
      <c r="L28" s="30">
        <f t="shared" si="44"/>
        <v>0.55013157894736842</v>
      </c>
      <c r="M28" s="30">
        <f>IFERROR((M8/I8)-1,0)</f>
        <v>0.43999999999999995</v>
      </c>
    </row>
    <row r="29" spans="1:13" s="12" customFormat="1" x14ac:dyDescent="0.15">
      <c r="A29" s="6" t="s">
        <v>26</v>
      </c>
      <c r="B29" s="33"/>
      <c r="C29" s="32"/>
      <c r="D29" s="32"/>
      <c r="E29" s="32"/>
      <c r="F29" s="33">
        <f t="shared" ref="F29:L32" si="46">F11/B11-1</f>
        <v>0.44444444444444442</v>
      </c>
      <c r="G29" s="32">
        <f t="shared" si="46"/>
        <v>0.23076923076923084</v>
      </c>
      <c r="H29" s="32">
        <f t="shared" si="46"/>
        <v>3</v>
      </c>
      <c r="I29" s="32">
        <f t="shared" si="46"/>
        <v>0.81818181818181812</v>
      </c>
      <c r="J29" s="33">
        <f t="shared" ref="J29:J31" si="47">J11/F11-1</f>
        <v>0.69230769230769229</v>
      </c>
      <c r="K29" s="32">
        <f t="shared" si="46"/>
        <v>0.625</v>
      </c>
      <c r="L29" s="32">
        <f t="shared" si="46"/>
        <v>-0.17500000000000004</v>
      </c>
      <c r="M29" s="32"/>
    </row>
    <row r="30" spans="1:13" s="12" customFormat="1" x14ac:dyDescent="0.15">
      <c r="A30" s="6" t="s">
        <v>27</v>
      </c>
      <c r="B30" s="33"/>
      <c r="C30" s="32"/>
      <c r="D30" s="32"/>
      <c r="E30" s="32"/>
      <c r="F30" s="33">
        <f t="shared" si="46"/>
        <v>0.89999999999999991</v>
      </c>
      <c r="G30" s="32">
        <f t="shared" si="46"/>
        <v>0.53846153846153855</v>
      </c>
      <c r="H30" s="32">
        <f t="shared" si="46"/>
        <v>1.7692307692307692</v>
      </c>
      <c r="I30" s="32">
        <f t="shared" si="46"/>
        <v>0.9375</v>
      </c>
      <c r="J30" s="33">
        <f t="shared" si="47"/>
        <v>0.89473684210526305</v>
      </c>
      <c r="K30" s="32">
        <f t="shared" si="46"/>
        <v>0.95</v>
      </c>
      <c r="L30" s="32">
        <f t="shared" si="46"/>
        <v>0.33333333333333326</v>
      </c>
      <c r="M30" s="32"/>
    </row>
    <row r="31" spans="1:13" s="12" customFormat="1" x14ac:dyDescent="0.15">
      <c r="A31" s="6" t="s">
        <v>28</v>
      </c>
      <c r="B31" s="33"/>
      <c r="C31" s="32"/>
      <c r="D31" s="32"/>
      <c r="E31" s="32"/>
      <c r="F31" s="33">
        <f t="shared" si="46"/>
        <v>0.75</v>
      </c>
      <c r="G31" s="32">
        <f t="shared" si="46"/>
        <v>0.60000000000000009</v>
      </c>
      <c r="H31" s="32">
        <f t="shared" si="46"/>
        <v>2.3333333333333335</v>
      </c>
      <c r="I31" s="32">
        <f t="shared" si="46"/>
        <v>1</v>
      </c>
      <c r="J31" s="33">
        <f t="shared" si="47"/>
        <v>0.71428571428571419</v>
      </c>
      <c r="K31" s="32">
        <f t="shared" si="46"/>
        <v>0.75</v>
      </c>
      <c r="L31" s="32">
        <f t="shared" si="46"/>
        <v>0.60000000000000009</v>
      </c>
      <c r="M31" s="32"/>
    </row>
    <row r="32" spans="1:13" x14ac:dyDescent="0.15">
      <c r="A32" s="6" t="s">
        <v>59</v>
      </c>
      <c r="B32" s="35"/>
      <c r="C32" s="34"/>
      <c r="D32" s="34"/>
      <c r="E32" s="34"/>
      <c r="F32" s="35">
        <f>F14/B14-1</f>
        <v>0.69565217391304346</v>
      </c>
      <c r="G32" s="34">
        <f t="shared" si="46"/>
        <v>0.41935483870967749</v>
      </c>
      <c r="H32" s="34">
        <f t="shared" si="46"/>
        <v>2.3103448275862069</v>
      </c>
      <c r="I32" s="34">
        <f t="shared" si="46"/>
        <v>0.90909090909090917</v>
      </c>
      <c r="J32" s="35">
        <f>J14/F14-1</f>
        <v>0.79487179487179493</v>
      </c>
      <c r="K32" s="34">
        <f t="shared" si="46"/>
        <v>0.79545454545454541</v>
      </c>
      <c r="L32" s="34">
        <f t="shared" si="46"/>
        <v>0.17708333333333326</v>
      </c>
      <c r="M32" s="34"/>
    </row>
    <row r="33" spans="1:13" x14ac:dyDescent="0.15">
      <c r="B33" s="47"/>
      <c r="C33" s="46"/>
      <c r="D33" s="46"/>
      <c r="E33" s="46"/>
      <c r="G33" s="46"/>
    </row>
    <row r="34" spans="1:13" s="17" customFormat="1" x14ac:dyDescent="0.15">
      <c r="A34" s="17" t="s">
        <v>18</v>
      </c>
      <c r="B34" s="26">
        <f t="shared" ref="B34:D34" si="48">B35-B36</f>
        <v>0</v>
      </c>
      <c r="C34" s="25">
        <f t="shared" si="48"/>
        <v>0</v>
      </c>
      <c r="D34" s="25">
        <f t="shared" si="48"/>
        <v>0</v>
      </c>
      <c r="E34" s="25">
        <f t="shared" ref="E34:G34" si="49">E35-E36</f>
        <v>0</v>
      </c>
      <c r="F34" s="26">
        <f t="shared" si="49"/>
        <v>0</v>
      </c>
      <c r="G34" s="25">
        <f t="shared" si="49"/>
        <v>0</v>
      </c>
      <c r="H34" s="25">
        <f t="shared" ref="H34" si="50">H35-H36</f>
        <v>0</v>
      </c>
      <c r="I34" s="25">
        <f t="shared" ref="I34" si="51">I35-I36</f>
        <v>148</v>
      </c>
      <c r="J34" s="26">
        <f t="shared" ref="J34:L34" si="52">J35-J36</f>
        <v>0</v>
      </c>
      <c r="K34" s="25">
        <f t="shared" si="52"/>
        <v>123</v>
      </c>
      <c r="L34" s="25">
        <f t="shared" si="52"/>
        <v>70</v>
      </c>
      <c r="M34" s="48"/>
    </row>
    <row r="35" spans="1:13" s="8" customFormat="1" x14ac:dyDescent="0.15">
      <c r="A35" s="8" t="s">
        <v>19</v>
      </c>
      <c r="B35" s="23"/>
      <c r="C35" s="24"/>
      <c r="D35" s="24"/>
      <c r="E35" s="24"/>
      <c r="F35" s="23"/>
      <c r="G35" s="24"/>
      <c r="H35" s="24"/>
      <c r="I35" s="24">
        <f>306+45</f>
        <v>351</v>
      </c>
      <c r="J35" s="23"/>
      <c r="K35" s="24">
        <f>450+6</f>
        <v>456</v>
      </c>
      <c r="L35" s="24">
        <f>297+126</f>
        <v>423</v>
      </c>
      <c r="M35" s="24"/>
    </row>
    <row r="36" spans="1:13" s="8" customFormat="1" x14ac:dyDescent="0.15">
      <c r="A36" s="8" t="s">
        <v>20</v>
      </c>
      <c r="B36" s="23"/>
      <c r="C36" s="24"/>
      <c r="D36" s="24"/>
      <c r="E36" s="24"/>
      <c r="F36" s="23"/>
      <c r="G36" s="24"/>
      <c r="H36" s="24"/>
      <c r="I36" s="24">
        <v>203</v>
      </c>
      <c r="J36" s="23"/>
      <c r="K36" s="24">
        <f>3+330</f>
        <v>333</v>
      </c>
      <c r="L36" s="24">
        <f>12+341</f>
        <v>353</v>
      </c>
      <c r="M36" s="24"/>
    </row>
    <row r="37" spans="1:13" s="8" customFormat="1" x14ac:dyDescent="0.15">
      <c r="B37" s="23"/>
      <c r="C37" s="24"/>
      <c r="D37" s="24"/>
      <c r="E37" s="24"/>
      <c r="F37" s="23"/>
      <c r="G37" s="24"/>
      <c r="H37" s="24"/>
      <c r="I37" s="24"/>
      <c r="J37" s="23"/>
      <c r="K37" s="24"/>
      <c r="L37" s="24"/>
      <c r="M37" s="24"/>
    </row>
    <row r="38" spans="1:13" s="8" customFormat="1" x14ac:dyDescent="0.15">
      <c r="A38" s="66" t="s">
        <v>40</v>
      </c>
      <c r="B38" s="23"/>
      <c r="C38" s="24"/>
      <c r="D38" s="24"/>
      <c r="E38" s="24"/>
      <c r="F38" s="23"/>
      <c r="G38" s="24"/>
      <c r="H38" s="24"/>
      <c r="I38" s="24">
        <v>0</v>
      </c>
      <c r="J38" s="23"/>
      <c r="K38" s="24">
        <v>0</v>
      </c>
      <c r="L38" s="24">
        <v>0</v>
      </c>
      <c r="M38" s="24"/>
    </row>
    <row r="39" spans="1:13" s="8" customFormat="1" x14ac:dyDescent="0.15">
      <c r="A39" s="66" t="s">
        <v>41</v>
      </c>
      <c r="B39" s="23"/>
      <c r="C39" s="24"/>
      <c r="D39" s="24"/>
      <c r="E39" s="24"/>
      <c r="F39" s="23"/>
      <c r="G39" s="24"/>
      <c r="H39" s="24"/>
      <c r="I39" s="24">
        <v>422</v>
      </c>
      <c r="J39" s="23"/>
      <c r="K39" s="24">
        <v>669</v>
      </c>
      <c r="L39" s="24">
        <v>674</v>
      </c>
      <c r="M39" s="24"/>
    </row>
    <row r="40" spans="1:13" s="8" customFormat="1" x14ac:dyDescent="0.15">
      <c r="A40" s="66" t="s">
        <v>42</v>
      </c>
      <c r="B40" s="23"/>
      <c r="C40" s="24"/>
      <c r="D40" s="24"/>
      <c r="E40" s="24"/>
      <c r="F40" s="23"/>
      <c r="G40" s="24"/>
      <c r="H40" s="24"/>
      <c r="I40" s="24">
        <f>316+251</f>
        <v>567</v>
      </c>
      <c r="J40" s="23"/>
      <c r="K40" s="24">
        <f>590+251</f>
        <v>841</v>
      </c>
      <c r="L40" s="24">
        <v>646</v>
      </c>
      <c r="M40" s="24"/>
    </row>
    <row r="41" spans="1:13" s="8" customFormat="1" x14ac:dyDescent="0.15">
      <c r="B41" s="23"/>
      <c r="C41" s="24"/>
      <c r="D41" s="24"/>
      <c r="E41" s="24"/>
      <c r="F41" s="23"/>
      <c r="G41" s="24"/>
      <c r="H41" s="24"/>
      <c r="I41" s="24"/>
      <c r="J41" s="23"/>
      <c r="K41" s="24"/>
      <c r="L41" s="24"/>
      <c r="M41" s="24"/>
    </row>
    <row r="42" spans="1:13" s="8" customFormat="1" x14ac:dyDescent="0.15">
      <c r="A42" s="66" t="s">
        <v>43</v>
      </c>
      <c r="B42" s="28">
        <f t="shared" ref="B42:C42" si="53">B39-B35-B38</f>
        <v>0</v>
      </c>
      <c r="C42" s="27">
        <f t="shared" si="53"/>
        <v>0</v>
      </c>
      <c r="D42" s="27">
        <f t="shared" ref="D42:J42" si="54">D39-D35-D38</f>
        <v>0</v>
      </c>
      <c r="E42" s="27">
        <f t="shared" si="54"/>
        <v>0</v>
      </c>
      <c r="F42" s="28">
        <f t="shared" si="54"/>
        <v>0</v>
      </c>
      <c r="G42" s="27">
        <f t="shared" si="54"/>
        <v>0</v>
      </c>
      <c r="H42" s="27">
        <f t="shared" si="54"/>
        <v>0</v>
      </c>
      <c r="I42" s="27">
        <f t="shared" si="54"/>
        <v>71</v>
      </c>
      <c r="J42" s="28">
        <f t="shared" si="54"/>
        <v>0</v>
      </c>
      <c r="K42" s="27">
        <f t="shared" ref="K42:L42" si="55">K39-K35-K38</f>
        <v>213</v>
      </c>
      <c r="L42" s="27">
        <f t="shared" si="55"/>
        <v>251</v>
      </c>
      <c r="M42" s="24"/>
    </row>
    <row r="43" spans="1:13" s="8" customFormat="1" x14ac:dyDescent="0.15">
      <c r="A43" s="66" t="s">
        <v>44</v>
      </c>
      <c r="B43" s="28">
        <f t="shared" ref="B43:D43" si="56">B39-B40</f>
        <v>0</v>
      </c>
      <c r="C43" s="27">
        <f t="shared" si="56"/>
        <v>0</v>
      </c>
      <c r="D43" s="27">
        <f t="shared" si="56"/>
        <v>0</v>
      </c>
      <c r="E43" s="27">
        <f t="shared" ref="E43:G43" si="57">E39-E40</f>
        <v>0</v>
      </c>
      <c r="F43" s="28">
        <f t="shared" si="57"/>
        <v>0</v>
      </c>
      <c r="G43" s="27">
        <f t="shared" si="57"/>
        <v>0</v>
      </c>
      <c r="H43" s="27">
        <f>H39-H40</f>
        <v>0</v>
      </c>
      <c r="I43" s="27">
        <f>I39-I40</f>
        <v>-145</v>
      </c>
      <c r="J43" s="28">
        <f t="shared" ref="J43" si="58">J39-J40</f>
        <v>0</v>
      </c>
      <c r="K43" s="27">
        <f>K39-K40</f>
        <v>-172</v>
      </c>
      <c r="L43" s="27">
        <f>L39-L40</f>
        <v>28</v>
      </c>
      <c r="M43" s="24"/>
    </row>
    <row r="44" spans="1:13" s="8" customFormat="1" x14ac:dyDescent="0.15">
      <c r="B44" s="23"/>
      <c r="C44" s="24"/>
      <c r="D44" s="24"/>
      <c r="E44" s="24"/>
      <c r="F44" s="23"/>
      <c r="G44" s="24"/>
      <c r="H44" s="24"/>
      <c r="I44" s="24"/>
      <c r="J44" s="23"/>
      <c r="K44" s="24"/>
      <c r="L44" s="24"/>
      <c r="M44" s="24"/>
    </row>
    <row r="45" spans="1:13" s="17" customFormat="1" x14ac:dyDescent="0.15">
      <c r="A45" s="67" t="s">
        <v>45</v>
      </c>
      <c r="B45" s="26">
        <f>SUM(B20:B20)</f>
        <v>-12</v>
      </c>
      <c r="C45" s="25">
        <f>SUM(B20:C20)</f>
        <v>-28</v>
      </c>
      <c r="D45" s="25">
        <f>SUM(B20:D20)</f>
        <v>-40</v>
      </c>
      <c r="E45" s="25">
        <f t="shared" ref="E45:I45" si="59">SUM(B20:E20)</f>
        <v>-53</v>
      </c>
      <c r="F45" s="26">
        <f t="shared" si="59"/>
        <v>-56</v>
      </c>
      <c r="G45" s="25">
        <f t="shared" si="59"/>
        <v>-56</v>
      </c>
      <c r="H45" s="25">
        <f t="shared" si="59"/>
        <v>-107</v>
      </c>
      <c r="I45" s="25">
        <f t="shared" si="59"/>
        <v>-119.33199999999999</v>
      </c>
      <c r="J45" s="26">
        <f t="shared" ref="J45" si="60">SUM(G20:J20)</f>
        <v>-138.62599999999998</v>
      </c>
      <c r="K45" s="25">
        <f>SUM(H20:K20)</f>
        <v>-163.62599999999998</v>
      </c>
      <c r="L45" s="25">
        <f>SUM(I20:L20)</f>
        <v>-174.042</v>
      </c>
      <c r="M45" s="48"/>
    </row>
    <row r="46" spans="1:13" x14ac:dyDescent="0.15">
      <c r="A46" s="19" t="s">
        <v>46</v>
      </c>
      <c r="B46" s="35" t="e">
        <f t="shared" ref="B46:C46" si="61">B45/B43</f>
        <v>#DIV/0!</v>
      </c>
      <c r="C46" s="34" t="e">
        <f t="shared" si="61"/>
        <v>#DIV/0!</v>
      </c>
      <c r="D46" s="34" t="e">
        <f t="shared" ref="D46:J46" si="62">D45/D43</f>
        <v>#DIV/0!</v>
      </c>
      <c r="E46" s="34" t="e">
        <f t="shared" si="62"/>
        <v>#DIV/0!</v>
      </c>
      <c r="F46" s="35" t="e">
        <f t="shared" si="62"/>
        <v>#DIV/0!</v>
      </c>
      <c r="G46" s="34" t="e">
        <f t="shared" si="62"/>
        <v>#DIV/0!</v>
      </c>
      <c r="H46" s="34" t="e">
        <f t="shared" si="62"/>
        <v>#DIV/0!</v>
      </c>
      <c r="I46" s="34">
        <f t="shared" si="62"/>
        <v>0.82297931034482752</v>
      </c>
      <c r="J46" s="35" t="e">
        <f t="shared" si="62"/>
        <v>#DIV/0!</v>
      </c>
      <c r="K46" s="34">
        <f t="shared" ref="K46:L46" si="63">K45/K43</f>
        <v>0.951313953488372</v>
      </c>
      <c r="L46" s="34">
        <f t="shared" si="63"/>
        <v>-6.2157857142857145</v>
      </c>
    </row>
    <row r="47" spans="1:13" x14ac:dyDescent="0.15">
      <c r="A47" s="19" t="s">
        <v>47</v>
      </c>
      <c r="B47" s="35" t="e">
        <f t="shared" ref="B47:C47" si="64">B45/B39</f>
        <v>#DIV/0!</v>
      </c>
      <c r="C47" s="34" t="e">
        <f t="shared" si="64"/>
        <v>#DIV/0!</v>
      </c>
      <c r="D47" s="34" t="e">
        <f t="shared" ref="D47:J47" si="65">D45/D39</f>
        <v>#DIV/0!</v>
      </c>
      <c r="E47" s="34" t="e">
        <f t="shared" si="65"/>
        <v>#DIV/0!</v>
      </c>
      <c r="F47" s="35" t="e">
        <f t="shared" si="65"/>
        <v>#DIV/0!</v>
      </c>
      <c r="G47" s="34" t="e">
        <f t="shared" si="65"/>
        <v>#DIV/0!</v>
      </c>
      <c r="H47" s="34" t="e">
        <f t="shared" si="65"/>
        <v>#DIV/0!</v>
      </c>
      <c r="I47" s="34">
        <f t="shared" si="65"/>
        <v>-0.2827772511848341</v>
      </c>
      <c r="J47" s="35" t="e">
        <f t="shared" si="65"/>
        <v>#DIV/0!</v>
      </c>
      <c r="K47" s="34">
        <f t="shared" ref="K47:L47" si="66">K45/K39</f>
        <v>-0.24458295964125557</v>
      </c>
      <c r="L47" s="34">
        <f t="shared" si="66"/>
        <v>-0.25822255192878341</v>
      </c>
    </row>
    <row r="48" spans="1:13" x14ac:dyDescent="0.15">
      <c r="A48" s="19" t="s">
        <v>48</v>
      </c>
      <c r="B48" s="35" t="e">
        <f t="shared" ref="B48:C48" si="67">B45/(B43-B38)</f>
        <v>#DIV/0!</v>
      </c>
      <c r="C48" s="34" t="e">
        <f t="shared" si="67"/>
        <v>#DIV/0!</v>
      </c>
      <c r="D48" s="34" t="e">
        <f t="shared" ref="D48:J48" si="68">D45/(D43-D38)</f>
        <v>#DIV/0!</v>
      </c>
      <c r="E48" s="34" t="e">
        <f t="shared" si="68"/>
        <v>#DIV/0!</v>
      </c>
      <c r="F48" s="35" t="e">
        <f t="shared" si="68"/>
        <v>#DIV/0!</v>
      </c>
      <c r="G48" s="34" t="e">
        <f t="shared" si="68"/>
        <v>#DIV/0!</v>
      </c>
      <c r="H48" s="34" t="e">
        <f t="shared" si="68"/>
        <v>#DIV/0!</v>
      </c>
      <c r="I48" s="34">
        <f t="shared" si="68"/>
        <v>0.82297931034482752</v>
      </c>
      <c r="J48" s="35" t="e">
        <f t="shared" si="68"/>
        <v>#DIV/0!</v>
      </c>
      <c r="K48" s="34">
        <f t="shared" ref="K48:L48" si="69">K45/(K43-K38)</f>
        <v>0.951313953488372</v>
      </c>
      <c r="L48" s="34">
        <f t="shared" si="69"/>
        <v>-6.2157857142857145</v>
      </c>
    </row>
    <row r="49" spans="1:13" x14ac:dyDescent="0.15">
      <c r="A49" s="19" t="s">
        <v>49</v>
      </c>
      <c r="B49" s="35" t="e">
        <f t="shared" ref="B49:C49" si="70">B45/B42</f>
        <v>#DIV/0!</v>
      </c>
      <c r="C49" s="34" t="e">
        <f t="shared" si="70"/>
        <v>#DIV/0!</v>
      </c>
      <c r="D49" s="34" t="e">
        <f t="shared" ref="D49:J49" si="71">D45/D42</f>
        <v>#DIV/0!</v>
      </c>
      <c r="E49" s="34" t="e">
        <f t="shared" si="71"/>
        <v>#DIV/0!</v>
      </c>
      <c r="F49" s="35" t="e">
        <f t="shared" si="71"/>
        <v>#DIV/0!</v>
      </c>
      <c r="G49" s="34" t="e">
        <f t="shared" si="71"/>
        <v>#DIV/0!</v>
      </c>
      <c r="H49" s="34" t="e">
        <f t="shared" si="71"/>
        <v>#DIV/0!</v>
      </c>
      <c r="I49" s="34">
        <f t="shared" si="71"/>
        <v>-1.6807323943661971</v>
      </c>
      <c r="J49" s="35" t="e">
        <f t="shared" si="71"/>
        <v>#DIV/0!</v>
      </c>
      <c r="K49" s="34">
        <f t="shared" ref="K49:L49" si="72">K45/K42</f>
        <v>-0.76819718309859142</v>
      </c>
      <c r="L49" s="34">
        <f t="shared" si="72"/>
        <v>-0.69339442231075699</v>
      </c>
    </row>
    <row r="51" spans="1:13" x14ac:dyDescent="0.15">
      <c r="A51" s="6" t="s">
        <v>58</v>
      </c>
      <c r="B51" s="35"/>
      <c r="C51" s="34"/>
      <c r="D51" s="34"/>
      <c r="E51" s="34"/>
      <c r="F51" s="35">
        <f t="shared" ref="F51:L51" si="73">F3/B3-1</f>
        <v>1</v>
      </c>
      <c r="G51" s="34">
        <f t="shared" si="73"/>
        <v>0.83333333333333326</v>
      </c>
      <c r="H51" s="34">
        <f t="shared" si="73"/>
        <v>0.80952380952380953</v>
      </c>
      <c r="I51" s="34">
        <f t="shared" si="73"/>
        <v>0.81125000000000003</v>
      </c>
      <c r="J51" s="35">
        <f t="shared" si="73"/>
        <v>0.70378571428571446</v>
      </c>
      <c r="K51" s="34">
        <f t="shared" si="73"/>
        <v>0.57575757575757569</v>
      </c>
      <c r="L51" s="34">
        <f t="shared" si="73"/>
        <v>0.55013157894736842</v>
      </c>
      <c r="M51" s="34"/>
    </row>
    <row r="53" spans="1:13" s="18" customFormat="1" x14ac:dyDescent="0.15">
      <c r="A53" s="18" t="s">
        <v>55</v>
      </c>
      <c r="B53" s="35"/>
      <c r="C53" s="34"/>
      <c r="D53" s="34"/>
      <c r="E53" s="34"/>
      <c r="F53" s="35"/>
      <c r="G53" s="34"/>
      <c r="H53" s="34"/>
      <c r="I53" s="34"/>
      <c r="J53" s="35"/>
      <c r="K53" s="34"/>
      <c r="L53" s="34"/>
      <c r="M53" s="34"/>
    </row>
    <row r="54" spans="1:13" s="18" customFormat="1" x14ac:dyDescent="0.15">
      <c r="A54" s="18" t="s">
        <v>56</v>
      </c>
      <c r="B54" s="35"/>
      <c r="C54" s="34"/>
      <c r="D54" s="34"/>
      <c r="E54" s="34"/>
      <c r="F54" s="35"/>
      <c r="G54" s="34"/>
      <c r="H54" s="34"/>
      <c r="I54" s="34">
        <f>I6/E6-1</f>
        <v>-0.22719999999999996</v>
      </c>
      <c r="J54" s="35">
        <f>J6/F6-1</f>
        <v>0.46038775510204077</v>
      </c>
      <c r="K54" s="34">
        <f>K6/G6-1</f>
        <v>0.36437546193643722</v>
      </c>
      <c r="L54" s="34">
        <f>L6/H6-1</f>
        <v>0.27145623891188664</v>
      </c>
      <c r="M54" s="34">
        <f>M6/I6-1</f>
        <v>0.19999999999999996</v>
      </c>
    </row>
    <row r="56" spans="1:13" s="8" customFormat="1" x14ac:dyDescent="0.15">
      <c r="A56" s="8" t="s">
        <v>76</v>
      </c>
      <c r="B56" s="23"/>
      <c r="C56" s="24"/>
      <c r="D56" s="24"/>
      <c r="E56" s="24">
        <v>32000</v>
      </c>
      <c r="F56" s="23">
        <v>66000</v>
      </c>
      <c r="G56" s="24">
        <v>71000</v>
      </c>
      <c r="H56" s="24">
        <v>73000</v>
      </c>
      <c r="I56" s="24">
        <v>75000</v>
      </c>
      <c r="J56" s="23">
        <v>77000</v>
      </c>
      <c r="K56" s="24">
        <v>82000</v>
      </c>
      <c r="L56" s="24">
        <v>89000</v>
      </c>
      <c r="M56" s="24">
        <f>I56*1.2</f>
        <v>90000</v>
      </c>
    </row>
    <row r="57" spans="1:13" x14ac:dyDescent="0.15">
      <c r="A57" s="6" t="s">
        <v>77</v>
      </c>
      <c r="I57" s="34">
        <f>I56/E56-1</f>
        <v>1.34375</v>
      </c>
      <c r="J57" s="35">
        <f>J56/F56-1</f>
        <v>0.16666666666666674</v>
      </c>
      <c r="K57" s="34">
        <f>K56/G56-1</f>
        <v>0.15492957746478875</v>
      </c>
      <c r="L57" s="34">
        <f>L56/H56-1</f>
        <v>0.21917808219178081</v>
      </c>
      <c r="M57" s="34">
        <f>M56/I56-1</f>
        <v>0.19999999999999996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6"/>
  <sheetViews>
    <sheetView zoomScale="130" zoomScaleNormal="130" workbookViewId="0">
      <selection activeCell="B7" sqref="B7"/>
    </sheetView>
  </sheetViews>
  <sheetFormatPr baseColWidth="10" defaultRowHeight="13" x14ac:dyDescent="0.15"/>
  <cols>
    <col min="1" max="1" width="10.83203125" style="3"/>
    <col min="2" max="2" width="12.5" style="3" bestFit="1" customWidth="1"/>
    <col min="3" max="3" width="28.5" style="3" bestFit="1" customWidth="1"/>
    <col min="4" max="16384" width="10.83203125" style="3"/>
  </cols>
  <sheetData>
    <row r="4" spans="2:4" x14ac:dyDescent="0.15">
      <c r="B4" s="2" t="s">
        <v>70</v>
      </c>
    </row>
    <row r="6" spans="2:4" x14ac:dyDescent="0.15">
      <c r="B6" s="3" t="s">
        <v>75</v>
      </c>
      <c r="C6" s="3" t="s">
        <v>79</v>
      </c>
      <c r="D6" s="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2021-01-28T23:36:44Z</dcterms:modified>
</cp:coreProperties>
</file>