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8F5BE214-EB80-7A47-A02E-246A9046177C}" xr6:coauthVersionLast="46" xr6:coauthVersionMax="46" xr10:uidLastSave="{00000000-0000-0000-0000-000000000000}"/>
  <bookViews>
    <workbookView xWindow="-46280" yWindow="-4500" windowWidth="43140" windowHeight="2690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20" i="2"/>
  <c r="F13" i="2"/>
  <c r="G13" i="2" s="1"/>
  <c r="H13" i="2" s="1"/>
  <c r="I13" i="2" s="1"/>
  <c r="E13" i="2"/>
  <c r="E14" i="2"/>
  <c r="F12" i="2"/>
  <c r="G12" i="2" s="1"/>
  <c r="H12" i="2" s="1"/>
  <c r="I12" i="2" s="1"/>
  <c r="E12" i="2"/>
  <c r="E15" i="2"/>
  <c r="C5" i="2"/>
  <c r="C3" i="2"/>
  <c r="O61" i="1"/>
  <c r="O55" i="1"/>
  <c r="O54" i="1"/>
  <c r="O53" i="1"/>
  <c r="O52" i="1"/>
  <c r="O46" i="1"/>
  <c r="O47" i="1" s="1"/>
  <c r="O44" i="1"/>
  <c r="O43" i="1"/>
  <c r="O39" i="1"/>
  <c r="O36" i="1"/>
  <c r="O35" i="1"/>
  <c r="O33" i="1"/>
  <c r="O32" i="1"/>
  <c r="O31" i="1"/>
  <c r="O30" i="1"/>
  <c r="O28" i="1"/>
  <c r="O27" i="1"/>
  <c r="O26" i="1"/>
  <c r="O22" i="1"/>
  <c r="P46" i="1" s="1"/>
  <c r="O20" i="1"/>
  <c r="O19" i="1"/>
  <c r="O17" i="1"/>
  <c r="O18" i="1" s="1"/>
  <c r="O16" i="1"/>
  <c r="O13" i="1"/>
  <c r="O11" i="1"/>
  <c r="P39" i="1"/>
  <c r="P36" i="1"/>
  <c r="P61" i="1"/>
  <c r="P55" i="1"/>
  <c r="P54" i="1"/>
  <c r="P53" i="1"/>
  <c r="P52" i="1"/>
  <c r="P44" i="1"/>
  <c r="P43" i="1"/>
  <c r="P35" i="1"/>
  <c r="P33" i="1"/>
  <c r="P32" i="1"/>
  <c r="P31" i="1"/>
  <c r="P30" i="1"/>
  <c r="P28" i="1"/>
  <c r="P27" i="1"/>
  <c r="P26" i="1"/>
  <c r="P22" i="1"/>
  <c r="P23" i="1" s="1"/>
  <c r="P19" i="1"/>
  <c r="P20" i="1"/>
  <c r="P18" i="1"/>
  <c r="P17" i="1"/>
  <c r="P16" i="1"/>
  <c r="P13" i="1"/>
  <c r="P11" i="1"/>
  <c r="N30" i="1"/>
  <c r="O50" i="1" l="1"/>
  <c r="O49" i="1"/>
  <c r="O48" i="1"/>
  <c r="O23" i="1"/>
  <c r="P50" i="1"/>
  <c r="P49" i="1"/>
  <c r="P47" i="1"/>
  <c r="P48" i="1"/>
  <c r="N61" i="1"/>
  <c r="N39" i="1"/>
  <c r="N43" i="1" s="1"/>
  <c r="N36" i="1"/>
  <c r="N55" i="1"/>
  <c r="N54" i="1"/>
  <c r="N53" i="1"/>
  <c r="N52" i="1"/>
  <c r="N46" i="1"/>
  <c r="N44" i="1"/>
  <c r="N35" i="1"/>
  <c r="N33" i="1"/>
  <c r="N32" i="1"/>
  <c r="N31" i="1"/>
  <c r="N28" i="1"/>
  <c r="N27" i="1"/>
  <c r="N26" i="1"/>
  <c r="N22" i="1"/>
  <c r="N23" i="1" s="1"/>
  <c r="N20" i="1"/>
  <c r="N19" i="1"/>
  <c r="N17" i="1"/>
  <c r="N18" i="1" s="1"/>
  <c r="N16" i="1"/>
  <c r="N13" i="1"/>
  <c r="N11" i="1"/>
  <c r="F15" i="2"/>
  <c r="G15" i="2" s="1"/>
  <c r="H15" i="2" s="1"/>
  <c r="I15" i="2" s="1"/>
  <c r="D12" i="2"/>
  <c r="M39" i="1"/>
  <c r="M36" i="1"/>
  <c r="M20" i="1"/>
  <c r="M19" i="1"/>
  <c r="M17" i="1"/>
  <c r="M18" i="1" s="1"/>
  <c r="M13" i="1"/>
  <c r="M16" i="1"/>
  <c r="M11" i="1"/>
  <c r="N49" i="1" l="1"/>
  <c r="N48" i="1"/>
  <c r="N47" i="1"/>
  <c r="N50" i="1"/>
  <c r="F4" i="2"/>
  <c r="D51" i="2"/>
  <c r="D50" i="2"/>
  <c r="D47" i="2"/>
  <c r="D33" i="2"/>
  <c r="E33" i="2" s="1"/>
  <c r="D30" i="2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P41" i="2" s="1"/>
  <c r="D23" i="2"/>
  <c r="C51" i="2"/>
  <c r="C50" i="2"/>
  <c r="C47" i="2"/>
  <c r="C33" i="2"/>
  <c r="C30" i="2"/>
  <c r="C24" i="2"/>
  <c r="C23" i="2"/>
  <c r="C21" i="2"/>
  <c r="C15" i="2"/>
  <c r="C14" i="2"/>
  <c r="C13" i="2"/>
  <c r="C12" i="2"/>
  <c r="B33" i="2"/>
  <c r="B30" i="2"/>
  <c r="B28" i="2"/>
  <c r="B24" i="2"/>
  <c r="B23" i="2"/>
  <c r="B21" i="2"/>
  <c r="B14" i="2"/>
  <c r="B13" i="2"/>
  <c r="C62" i="2" s="1"/>
  <c r="B12" i="2"/>
  <c r="M32" i="1"/>
  <c r="M31" i="1"/>
  <c r="D15" i="2"/>
  <c r="D14" i="2"/>
  <c r="F14" i="2" s="1"/>
  <c r="G14" i="2" s="1"/>
  <c r="H14" i="2" s="1"/>
  <c r="I14" i="2" s="1"/>
  <c r="D13" i="2"/>
  <c r="M55" i="1"/>
  <c r="M52" i="1"/>
  <c r="M54" i="1"/>
  <c r="M53" i="1"/>
  <c r="M61" i="1"/>
  <c r="M44" i="1"/>
  <c r="M35" i="1"/>
  <c r="I54" i="1"/>
  <c r="I53" i="1"/>
  <c r="H54" i="1"/>
  <c r="H53" i="1"/>
  <c r="G54" i="1"/>
  <c r="G53" i="1"/>
  <c r="F54" i="1"/>
  <c r="F53" i="1"/>
  <c r="I52" i="1"/>
  <c r="F61" i="1"/>
  <c r="G61" i="1"/>
  <c r="H61" i="1"/>
  <c r="I61" i="1"/>
  <c r="B16" i="1"/>
  <c r="B25" i="2" s="1"/>
  <c r="B11" i="1"/>
  <c r="C16" i="1"/>
  <c r="C11" i="1"/>
  <c r="D19" i="1"/>
  <c r="D16" i="1"/>
  <c r="D11" i="1"/>
  <c r="E11" i="1"/>
  <c r="E30" i="1" s="1"/>
  <c r="E16" i="1"/>
  <c r="E32" i="1"/>
  <c r="E31" i="1"/>
  <c r="E17" i="1"/>
  <c r="E33" i="1"/>
  <c r="I19" i="1"/>
  <c r="I16" i="1"/>
  <c r="I11" i="1"/>
  <c r="D20" i="2" l="1"/>
  <c r="Q24" i="2"/>
  <c r="B20" i="2"/>
  <c r="R24" i="2"/>
  <c r="R41" i="2" s="1"/>
  <c r="Q41" i="2"/>
  <c r="D54" i="2"/>
  <c r="D62" i="2"/>
  <c r="D63" i="2"/>
  <c r="M43" i="1"/>
  <c r="C61" i="2"/>
  <c r="E23" i="2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D46" i="2"/>
  <c r="D45" i="2" s="1"/>
  <c r="E28" i="2" s="1"/>
  <c r="C63" i="2"/>
  <c r="D49" i="2"/>
  <c r="E64" i="2"/>
  <c r="G64" i="2"/>
  <c r="D64" i="2"/>
  <c r="C20" i="2"/>
  <c r="D61" i="2"/>
  <c r="E13" i="1"/>
  <c r="J39" i="1"/>
  <c r="J36" i="1"/>
  <c r="J35" i="1" s="1"/>
  <c r="F19" i="1"/>
  <c r="F16" i="1"/>
  <c r="F11" i="1"/>
  <c r="J19" i="1"/>
  <c r="J16" i="1"/>
  <c r="J61" i="1"/>
  <c r="J55" i="1"/>
  <c r="J54" i="1"/>
  <c r="J53" i="1"/>
  <c r="J52" i="1"/>
  <c r="J44" i="1"/>
  <c r="J33" i="1"/>
  <c r="J32" i="1"/>
  <c r="J31" i="1"/>
  <c r="J11" i="1"/>
  <c r="K61" i="1"/>
  <c r="K39" i="1"/>
  <c r="K36" i="1"/>
  <c r="K35" i="1" s="1"/>
  <c r="G19" i="1"/>
  <c r="G16" i="1"/>
  <c r="G11" i="1"/>
  <c r="K19" i="1"/>
  <c r="K16" i="1"/>
  <c r="K33" i="1" s="1"/>
  <c r="K55" i="1"/>
  <c r="K54" i="1"/>
  <c r="K53" i="1"/>
  <c r="K52" i="1"/>
  <c r="K44" i="1"/>
  <c r="K32" i="1"/>
  <c r="K31" i="1"/>
  <c r="K11" i="1"/>
  <c r="K13" i="1" s="1"/>
  <c r="L55" i="1"/>
  <c r="L54" i="1"/>
  <c r="I39" i="1"/>
  <c r="C49" i="2" s="1"/>
  <c r="I36" i="1"/>
  <c r="C46" i="2" s="1"/>
  <c r="L39" i="1"/>
  <c r="L36" i="1"/>
  <c r="L35" i="1" s="1"/>
  <c r="H19" i="1"/>
  <c r="H16" i="1"/>
  <c r="H11" i="1"/>
  <c r="L19" i="1"/>
  <c r="L16" i="1"/>
  <c r="M33" i="1" s="1"/>
  <c r="L11" i="1"/>
  <c r="L61" i="1"/>
  <c r="L53" i="1"/>
  <c r="L52" i="1"/>
  <c r="L44" i="1"/>
  <c r="L32" i="1"/>
  <c r="L31" i="1"/>
  <c r="E20" i="2" l="1"/>
  <c r="E39" i="2" s="1"/>
  <c r="E61" i="2"/>
  <c r="D53" i="2"/>
  <c r="F64" i="2"/>
  <c r="E62" i="2"/>
  <c r="M30" i="1"/>
  <c r="L33" i="1"/>
  <c r="J17" i="1"/>
  <c r="D25" i="2"/>
  <c r="E63" i="2"/>
  <c r="L43" i="1"/>
  <c r="D28" i="2"/>
  <c r="L17" i="1"/>
  <c r="C25" i="2"/>
  <c r="K43" i="1"/>
  <c r="C28" i="2"/>
  <c r="K17" i="1"/>
  <c r="K18" i="1" s="1"/>
  <c r="E26" i="1"/>
  <c r="E18" i="1"/>
  <c r="J43" i="1"/>
  <c r="J13" i="1"/>
  <c r="K26" i="1"/>
  <c r="H17" i="1"/>
  <c r="I17" i="1"/>
  <c r="F33" i="2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I43" i="1"/>
  <c r="I44" i="1"/>
  <c r="I35" i="1"/>
  <c r="I33" i="1"/>
  <c r="F52" i="1"/>
  <c r="J30" i="1"/>
  <c r="F17" i="1"/>
  <c r="F33" i="1"/>
  <c r="F32" i="1"/>
  <c r="F31" i="1"/>
  <c r="G52" i="1"/>
  <c r="G17" i="1"/>
  <c r="G33" i="1"/>
  <c r="G32" i="1"/>
  <c r="G31" i="1"/>
  <c r="K30" i="1"/>
  <c r="C13" i="1"/>
  <c r="B17" i="1"/>
  <c r="C17" i="1"/>
  <c r="D17" i="1"/>
  <c r="I31" i="1"/>
  <c r="I32" i="1"/>
  <c r="H52" i="1"/>
  <c r="H33" i="1"/>
  <c r="H32" i="1"/>
  <c r="H31" i="1"/>
  <c r="C4" i="2"/>
  <c r="D31" i="1"/>
  <c r="B31" i="1"/>
  <c r="C31" i="1"/>
  <c r="B32" i="1"/>
  <c r="C32" i="1"/>
  <c r="D32" i="1"/>
  <c r="B33" i="1"/>
  <c r="C33" i="1"/>
  <c r="D33" i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F39" i="2" l="1"/>
  <c r="H64" i="2"/>
  <c r="P11" i="2"/>
  <c r="Q11" i="2" s="1"/>
  <c r="R11" i="2" s="1"/>
  <c r="S11" i="2" s="1"/>
  <c r="T11" i="2" s="1"/>
  <c r="P40" i="2"/>
  <c r="F61" i="2"/>
  <c r="F62" i="2"/>
  <c r="G62" i="2"/>
  <c r="E25" i="2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D26" i="2"/>
  <c r="D42" i="2"/>
  <c r="F63" i="2"/>
  <c r="G61" i="2"/>
  <c r="I64" i="2"/>
  <c r="C45" i="2"/>
  <c r="C54" i="2"/>
  <c r="E27" i="1"/>
  <c r="E20" i="1"/>
  <c r="J26" i="1"/>
  <c r="J18" i="1"/>
  <c r="K27" i="1"/>
  <c r="K20" i="1"/>
  <c r="H30" i="1"/>
  <c r="C26" i="2"/>
  <c r="L30" i="1"/>
  <c r="L13" i="1"/>
  <c r="C6" i="2"/>
  <c r="C7" i="2" s="1"/>
  <c r="D40" i="2"/>
  <c r="B30" i="1"/>
  <c r="D41" i="2"/>
  <c r="I13" i="1"/>
  <c r="C18" i="1"/>
  <c r="C26" i="1"/>
  <c r="F13" i="1"/>
  <c r="F30" i="1"/>
  <c r="G13" i="1"/>
  <c r="G30" i="1"/>
  <c r="C30" i="1"/>
  <c r="B13" i="1"/>
  <c r="I30" i="1"/>
  <c r="D13" i="1"/>
  <c r="H13" i="1"/>
  <c r="C42" i="2"/>
  <c r="C53" i="2"/>
  <c r="G20" i="2" l="1"/>
  <c r="Q40" i="2"/>
  <c r="G63" i="2"/>
  <c r="D43" i="2"/>
  <c r="I26" i="2"/>
  <c r="H61" i="2"/>
  <c r="E22" i="1"/>
  <c r="E23" i="1" s="1"/>
  <c r="E28" i="1"/>
  <c r="J27" i="1"/>
  <c r="J20" i="1"/>
  <c r="K28" i="1"/>
  <c r="K22" i="1"/>
  <c r="L26" i="1"/>
  <c r="L18" i="1"/>
  <c r="D30" i="1"/>
  <c r="C41" i="2"/>
  <c r="E42" i="2"/>
  <c r="B18" i="1"/>
  <c r="B26" i="1"/>
  <c r="G18" i="1"/>
  <c r="G26" i="1"/>
  <c r="C20" i="1"/>
  <c r="C27" i="1"/>
  <c r="I18" i="1"/>
  <c r="I26" i="1"/>
  <c r="B26" i="2"/>
  <c r="C43" i="2" s="1"/>
  <c r="C40" i="2"/>
  <c r="E41" i="2"/>
  <c r="D26" i="1"/>
  <c r="D18" i="1"/>
  <c r="E26" i="2"/>
  <c r="E43" i="2" s="1"/>
  <c r="E40" i="2"/>
  <c r="F18" i="1"/>
  <c r="F26" i="1"/>
  <c r="H18" i="1"/>
  <c r="H26" i="1"/>
  <c r="H62" i="2" l="1"/>
  <c r="H20" i="2"/>
  <c r="P42" i="2"/>
  <c r="P26" i="2"/>
  <c r="R40" i="2"/>
  <c r="D21" i="2"/>
  <c r="D22" i="2" s="1"/>
  <c r="D27" i="2" s="1"/>
  <c r="D29" i="2" s="1"/>
  <c r="M26" i="1"/>
  <c r="I63" i="2"/>
  <c r="H63" i="2"/>
  <c r="I61" i="2"/>
  <c r="C39" i="2"/>
  <c r="J22" i="1"/>
  <c r="J28" i="1"/>
  <c r="K23" i="1"/>
  <c r="L27" i="1"/>
  <c r="L20" i="1"/>
  <c r="I20" i="1"/>
  <c r="I27" i="1"/>
  <c r="C22" i="1"/>
  <c r="C28" i="1"/>
  <c r="H20" i="1"/>
  <c r="H27" i="1"/>
  <c r="G27" i="1"/>
  <c r="G20" i="1"/>
  <c r="F27" i="1"/>
  <c r="F20" i="1"/>
  <c r="F42" i="2"/>
  <c r="D27" i="1"/>
  <c r="D20" i="1"/>
  <c r="F41" i="2"/>
  <c r="C22" i="2"/>
  <c r="B20" i="1"/>
  <c r="B27" i="1"/>
  <c r="F40" i="2"/>
  <c r="F26" i="2"/>
  <c r="F43" i="2" s="1"/>
  <c r="I62" i="2" l="1"/>
  <c r="I20" i="2"/>
  <c r="J20" i="2" s="1"/>
  <c r="K20" i="2" s="1"/>
  <c r="L20" i="2" s="1"/>
  <c r="M20" i="2" s="1"/>
  <c r="N20" i="2" s="1"/>
  <c r="O20" i="2" s="1"/>
  <c r="P20" i="2" s="1"/>
  <c r="Q42" i="2"/>
  <c r="Q26" i="2"/>
  <c r="Q43" i="2" s="1"/>
  <c r="M27" i="1"/>
  <c r="B22" i="2"/>
  <c r="B35" i="2" s="1"/>
  <c r="J23" i="1"/>
  <c r="L28" i="1"/>
  <c r="L22" i="1"/>
  <c r="G26" i="2"/>
  <c r="G43" i="2" s="1"/>
  <c r="G40" i="2"/>
  <c r="C27" i="2"/>
  <c r="C35" i="2"/>
  <c r="D39" i="2"/>
  <c r="H22" i="1"/>
  <c r="H23" i="1" s="1"/>
  <c r="H28" i="1"/>
  <c r="C23" i="1"/>
  <c r="I28" i="1"/>
  <c r="I22" i="1"/>
  <c r="I23" i="1" s="1"/>
  <c r="D28" i="1"/>
  <c r="D22" i="1"/>
  <c r="F28" i="1"/>
  <c r="F22" i="1"/>
  <c r="G22" i="1"/>
  <c r="G23" i="1" s="1"/>
  <c r="G28" i="1"/>
  <c r="G41" i="2"/>
  <c r="B28" i="1"/>
  <c r="B22" i="1"/>
  <c r="G42" i="2"/>
  <c r="R42" i="2" l="1"/>
  <c r="R26" i="2"/>
  <c r="R43" i="2" s="1"/>
  <c r="Q20" i="2"/>
  <c r="P39" i="2"/>
  <c r="M28" i="1"/>
  <c r="M22" i="1"/>
  <c r="M23" i="1" s="1"/>
  <c r="B27" i="2"/>
  <c r="B29" i="2" s="1"/>
  <c r="J46" i="1"/>
  <c r="J49" i="1" s="1"/>
  <c r="K46" i="1"/>
  <c r="L23" i="1"/>
  <c r="L46" i="1"/>
  <c r="I46" i="1"/>
  <c r="F23" i="1"/>
  <c r="H26" i="2"/>
  <c r="H43" i="2" s="1"/>
  <c r="H40" i="2"/>
  <c r="H42" i="2"/>
  <c r="H41" i="2"/>
  <c r="D23" i="1"/>
  <c r="C36" i="2"/>
  <c r="C29" i="2"/>
  <c r="B23" i="1"/>
  <c r="R20" i="2" l="1"/>
  <c r="Q39" i="2"/>
  <c r="M46" i="1"/>
  <c r="B36" i="2"/>
  <c r="J47" i="1"/>
  <c r="J50" i="1"/>
  <c r="J48" i="1"/>
  <c r="K49" i="1"/>
  <c r="K47" i="1"/>
  <c r="K48" i="1"/>
  <c r="K50" i="1"/>
  <c r="D35" i="2"/>
  <c r="L48" i="1"/>
  <c r="L50" i="1"/>
  <c r="L49" i="1"/>
  <c r="L47" i="1"/>
  <c r="I41" i="2"/>
  <c r="I50" i="1"/>
  <c r="I49" i="1"/>
  <c r="I48" i="1"/>
  <c r="I47" i="1"/>
  <c r="I42" i="2"/>
  <c r="C31" i="2"/>
  <c r="C37" i="2"/>
  <c r="I40" i="2"/>
  <c r="I43" i="2"/>
  <c r="B37" i="2"/>
  <c r="D36" i="2"/>
  <c r="R39" i="2" l="1"/>
  <c r="M49" i="1"/>
  <c r="M48" i="1"/>
  <c r="M50" i="1"/>
  <c r="M47" i="1"/>
  <c r="E22" i="2"/>
  <c r="E21" i="2" s="1"/>
  <c r="C59" i="2"/>
  <c r="C58" i="2"/>
  <c r="C57" i="2"/>
  <c r="C56" i="2"/>
  <c r="C32" i="2"/>
  <c r="J42" i="2"/>
  <c r="J41" i="2"/>
  <c r="J26" i="2"/>
  <c r="J43" i="2" s="1"/>
  <c r="J40" i="2"/>
  <c r="D37" i="2"/>
  <c r="G39" i="2"/>
  <c r="B31" i="2"/>
  <c r="B32" i="2" s="1"/>
  <c r="E35" i="2" l="1"/>
  <c r="F22" i="2" s="1"/>
  <c r="F21" i="2" s="1"/>
  <c r="E27" i="2"/>
  <c r="E36" i="2" s="1"/>
  <c r="D31" i="2"/>
  <c r="D32" i="2" s="1"/>
  <c r="K41" i="2"/>
  <c r="K42" i="2"/>
  <c r="H39" i="2"/>
  <c r="K40" i="2"/>
  <c r="K26" i="2"/>
  <c r="K43" i="2" s="1"/>
  <c r="F27" i="2" l="1"/>
  <c r="F36" i="2" s="1"/>
  <c r="F35" i="2"/>
  <c r="G22" i="2" s="1"/>
  <c r="G27" i="2" s="1"/>
  <c r="G36" i="2" s="1"/>
  <c r="D57" i="2"/>
  <c r="D58" i="2"/>
  <c r="D59" i="2"/>
  <c r="D56" i="2"/>
  <c r="L42" i="2"/>
  <c r="L26" i="2"/>
  <c r="L43" i="2" s="1"/>
  <c r="L40" i="2"/>
  <c r="I39" i="2"/>
  <c r="E29" i="2"/>
  <c r="E30" i="2" s="1"/>
  <c r="L41" i="2"/>
  <c r="G21" i="2" l="1"/>
  <c r="G35" i="2"/>
  <c r="H22" i="2" s="1"/>
  <c r="H21" i="2" s="1"/>
  <c r="E37" i="2"/>
  <c r="J39" i="2"/>
  <c r="M40" i="2"/>
  <c r="M26" i="2"/>
  <c r="M43" i="2" s="1"/>
  <c r="M41" i="2"/>
  <c r="M42" i="2"/>
  <c r="H35" i="2" l="1"/>
  <c r="I22" i="2" s="1"/>
  <c r="I27" i="2" s="1"/>
  <c r="I36" i="2" s="1"/>
  <c r="H27" i="2"/>
  <c r="H36" i="2" s="1"/>
  <c r="E31" i="2"/>
  <c r="E45" i="2" s="1"/>
  <c r="N41" i="2"/>
  <c r="O41" i="2"/>
  <c r="N40" i="2"/>
  <c r="N26" i="2"/>
  <c r="N43" i="2" s="1"/>
  <c r="K39" i="2"/>
  <c r="N42" i="2"/>
  <c r="O42" i="2"/>
  <c r="I35" i="2" l="1"/>
  <c r="J22" i="2" s="1"/>
  <c r="I21" i="2"/>
  <c r="E32" i="2"/>
  <c r="F28" i="2"/>
  <c r="F29" i="2" s="1"/>
  <c r="L39" i="2"/>
  <c r="O40" i="2"/>
  <c r="O26" i="2"/>
  <c r="O43" i="2" l="1"/>
  <c r="P43" i="2"/>
  <c r="J21" i="2"/>
  <c r="J35" i="2"/>
  <c r="K22" i="2" s="1"/>
  <c r="J27" i="2"/>
  <c r="J36" i="2" s="1"/>
  <c r="M39" i="2"/>
  <c r="F30" i="2"/>
  <c r="F37" i="2" s="1"/>
  <c r="K21" i="2" l="1"/>
  <c r="K27" i="2"/>
  <c r="K36" i="2" s="1"/>
  <c r="K35" i="2"/>
  <c r="L22" i="2" s="1"/>
  <c r="F31" i="2"/>
  <c r="N39" i="2"/>
  <c r="L21" i="2" l="1"/>
  <c r="L35" i="2"/>
  <c r="M22" i="2" s="1"/>
  <c r="L27" i="2"/>
  <c r="L36" i="2" s="1"/>
  <c r="F32" i="2"/>
  <c r="F45" i="2"/>
  <c r="G28" i="2" s="1"/>
  <c r="G29" i="2" s="1"/>
  <c r="O39" i="2"/>
  <c r="M35" i="2" l="1"/>
  <c r="N22" i="2" s="1"/>
  <c r="M27" i="2"/>
  <c r="M36" i="2" s="1"/>
  <c r="M21" i="2"/>
  <c r="G30" i="2"/>
  <c r="G37" i="2" s="1"/>
  <c r="N21" i="2" l="1"/>
  <c r="N27" i="2"/>
  <c r="N36" i="2" s="1"/>
  <c r="N35" i="2"/>
  <c r="O22" i="2" s="1"/>
  <c r="G31" i="2"/>
  <c r="O21" i="2" l="1"/>
  <c r="O35" i="2"/>
  <c r="P22" i="2" s="1"/>
  <c r="O27" i="2"/>
  <c r="O36" i="2" s="1"/>
  <c r="G32" i="2"/>
  <c r="G45" i="2"/>
  <c r="H28" i="2" s="1"/>
  <c r="H29" i="2" s="1"/>
  <c r="P27" i="2" l="1"/>
  <c r="P35" i="2"/>
  <c r="Q22" i="2" s="1"/>
  <c r="P21" i="2"/>
  <c r="H30" i="2"/>
  <c r="H37" i="2" s="1"/>
  <c r="Q27" i="2" l="1"/>
  <c r="Q35" i="2"/>
  <c r="R22" i="2" s="1"/>
  <c r="Q21" i="2"/>
  <c r="P36" i="2"/>
  <c r="H31" i="2"/>
  <c r="R35" i="2" l="1"/>
  <c r="R27" i="2"/>
  <c r="R21" i="2"/>
  <c r="Q36" i="2"/>
  <c r="H32" i="2"/>
  <c r="H45" i="2"/>
  <c r="I28" i="2" s="1"/>
  <c r="I29" i="2" s="1"/>
  <c r="R36" i="2" l="1"/>
  <c r="I30" i="2"/>
  <c r="I37" i="2" s="1"/>
  <c r="I31" i="2" l="1"/>
  <c r="I32" i="2" l="1"/>
  <c r="I45" i="2"/>
  <c r="J28" i="2" s="1"/>
  <c r="J29" i="2" s="1"/>
  <c r="J30" i="2" l="1"/>
  <c r="J37" i="2" s="1"/>
  <c r="J31" i="2" l="1"/>
  <c r="J32" i="2" l="1"/>
  <c r="J45" i="2"/>
  <c r="K28" i="2" l="1"/>
  <c r="K29" i="2" s="1"/>
  <c r="K30" i="2" l="1"/>
  <c r="K37" i="2" s="1"/>
  <c r="K31" i="2" l="1"/>
  <c r="K32" i="2" s="1"/>
  <c r="K45" i="2" l="1"/>
  <c r="L28" i="2"/>
  <c r="L29" i="2" s="1"/>
  <c r="L30" i="2" l="1"/>
  <c r="L37" i="2" s="1"/>
  <c r="L31" i="2" l="1"/>
  <c r="L32" i="2" s="1"/>
  <c r="L45" i="2"/>
  <c r="M28" i="2" l="1"/>
  <c r="M29" i="2" s="1"/>
  <c r="M30" i="2" l="1"/>
  <c r="M37" i="2" s="1"/>
  <c r="M31" i="2"/>
  <c r="M32" i="2" l="1"/>
  <c r="M45" i="2"/>
  <c r="N28" i="2" l="1"/>
  <c r="N29" i="2" s="1"/>
  <c r="N30" i="2" l="1"/>
  <c r="N37" i="2" s="1"/>
  <c r="N31" i="2" l="1"/>
  <c r="N32" i="2" s="1"/>
  <c r="N45" i="2" l="1"/>
  <c r="O28" i="2" s="1"/>
  <c r="O29" i="2" s="1"/>
  <c r="O30" i="2" l="1"/>
  <c r="O37" i="2" s="1"/>
  <c r="O31" i="2"/>
  <c r="O32" i="2" l="1"/>
  <c r="O45" i="2"/>
  <c r="P28" i="2" l="1"/>
  <c r="P29" i="2" s="1"/>
  <c r="P30" i="2" l="1"/>
  <c r="P37" i="2" s="1"/>
  <c r="P31" i="2" l="1"/>
  <c r="P32" i="2"/>
  <c r="P45" i="2"/>
  <c r="Q28" i="2" l="1"/>
  <c r="Q29" i="2" s="1"/>
  <c r="Q30" i="2" l="1"/>
  <c r="Q37" i="2" s="1"/>
  <c r="Q31" i="2"/>
  <c r="Q32" i="2" l="1"/>
  <c r="Q45" i="2"/>
  <c r="R28" i="2" l="1"/>
  <c r="R29" i="2" s="1"/>
  <c r="R30" i="2" l="1"/>
  <c r="R37" i="2" s="1"/>
  <c r="R31" i="2"/>
  <c r="S31" i="2" l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B31" i="2" s="1"/>
  <c r="FC31" i="2" s="1"/>
  <c r="FD31" i="2" s="1"/>
  <c r="FE31" i="2" s="1"/>
  <c r="FF31" i="2" s="1"/>
  <c r="FG31" i="2" s="1"/>
  <c r="FH31" i="2" s="1"/>
  <c r="FI31" i="2" s="1"/>
  <c r="FJ31" i="2" s="1"/>
  <c r="FK31" i="2" s="1"/>
  <c r="FL31" i="2" s="1"/>
  <c r="FM31" i="2" s="1"/>
  <c r="FN31" i="2" s="1"/>
  <c r="FO31" i="2" s="1"/>
  <c r="FP31" i="2" s="1"/>
  <c r="FQ31" i="2" s="1"/>
  <c r="FR31" i="2" s="1"/>
  <c r="FS31" i="2" s="1"/>
  <c r="FT31" i="2" s="1"/>
  <c r="FU31" i="2" s="1"/>
  <c r="FV31" i="2" s="1"/>
  <c r="FW31" i="2" s="1"/>
  <c r="FX31" i="2" s="1"/>
  <c r="FY31" i="2" s="1"/>
  <c r="FZ31" i="2" s="1"/>
  <c r="GA31" i="2" s="1"/>
  <c r="GB31" i="2" s="1"/>
  <c r="GC31" i="2" s="1"/>
  <c r="GD31" i="2" s="1"/>
  <c r="GE31" i="2" s="1"/>
  <c r="GF31" i="2" s="1"/>
  <c r="GG31" i="2" s="1"/>
  <c r="GH31" i="2" s="1"/>
  <c r="GI31" i="2" s="1"/>
  <c r="GJ31" i="2" s="1"/>
  <c r="GK31" i="2" s="1"/>
  <c r="GL31" i="2" s="1"/>
  <c r="GM31" i="2" s="1"/>
  <c r="GN31" i="2" s="1"/>
  <c r="GO31" i="2" s="1"/>
  <c r="GP31" i="2" s="1"/>
  <c r="GQ31" i="2" s="1"/>
  <c r="GR31" i="2" s="1"/>
  <c r="GS31" i="2" s="1"/>
  <c r="GT31" i="2" s="1"/>
  <c r="GU31" i="2" s="1"/>
  <c r="GV31" i="2" s="1"/>
  <c r="GW31" i="2" s="1"/>
  <c r="GX31" i="2" s="1"/>
  <c r="GY31" i="2" s="1"/>
  <c r="GZ31" i="2" s="1"/>
  <c r="HA31" i="2" s="1"/>
  <c r="HB31" i="2" s="1"/>
  <c r="HC31" i="2" s="1"/>
  <c r="HD31" i="2" s="1"/>
  <c r="HE31" i="2" s="1"/>
  <c r="HF31" i="2" s="1"/>
  <c r="HG31" i="2" s="1"/>
  <c r="HH31" i="2" s="1"/>
  <c r="HI31" i="2" s="1"/>
  <c r="HJ31" i="2" s="1"/>
  <c r="HK31" i="2" s="1"/>
  <c r="HL31" i="2" s="1"/>
  <c r="HM31" i="2" s="1"/>
  <c r="HN31" i="2" s="1"/>
  <c r="HO31" i="2" s="1"/>
  <c r="HP31" i="2" s="1"/>
  <c r="HQ31" i="2" s="1"/>
  <c r="HR31" i="2" s="1"/>
  <c r="HS31" i="2" s="1"/>
  <c r="HT31" i="2" s="1"/>
  <c r="HU31" i="2" s="1"/>
  <c r="HV31" i="2" s="1"/>
  <c r="HW31" i="2" s="1"/>
  <c r="HX31" i="2" s="1"/>
  <c r="HY31" i="2" s="1"/>
  <c r="HZ31" i="2" s="1"/>
  <c r="IA31" i="2" s="1"/>
  <c r="IB31" i="2" s="1"/>
  <c r="IC31" i="2" s="1"/>
  <c r="ID31" i="2" s="1"/>
  <c r="IE31" i="2" s="1"/>
  <c r="IF31" i="2" s="1"/>
  <c r="IG31" i="2" s="1"/>
  <c r="IH31" i="2" s="1"/>
  <c r="II31" i="2" s="1"/>
  <c r="R32" i="2"/>
  <c r="R45" i="2"/>
  <c r="F6" i="2" l="1"/>
  <c r="F7" i="2" s="1"/>
  <c r="G7" i="2" s="1"/>
</calcChain>
</file>

<file path=xl/sharedStrings.xml><?xml version="1.0" encoding="utf-8"?>
<sst xmlns="http://schemas.openxmlformats.org/spreadsheetml/2006/main" count="157" uniqueCount="106">
  <si>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</si>
  <si>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</si>
  <si>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</si>
  <si>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</si>
  <si>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</si>
  <si>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</si>
  <si>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</si>
  <si>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</si>
  <si>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</si>
  <si>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</si>
  <si>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</si>
  <si>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</si>
  <si>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</si>
  <si>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</si>
  <si>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</si>
  <si>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</si>
  <si>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</si>
  <si>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</si>
  <si>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</si>
  <si>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</si>
  <si>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</si>
  <si>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</si>
  <si>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30/9/2017</t>
  </si>
  <si>
    <t>30/6/2017</t>
  </si>
  <si>
    <t>31/3/2017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</si>
  <si>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</si>
  <si>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</si>
  <si>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</si>
  <si>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</si>
  <si>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</si>
  <si>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</si>
  <si>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</si>
  <si>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</si>
  <si>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</si>
  <si>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</si>
  <si>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</si>
  <si>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</si>
  <si>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</si>
  <si>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</si>
  <si>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</si>
  <si>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</si>
  <si>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</si>
  <si>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MAU</t>
  </si>
  <si>
    <t>R&amp;D y/y</t>
  </si>
  <si>
    <t>S&amp;M y/y</t>
  </si>
  <si>
    <t>G&amp;A y/y</t>
  </si>
  <si>
    <t>EDGAR</t>
  </si>
  <si>
    <t>Investor Relations</t>
  </si>
  <si>
    <t>CEO</t>
  </si>
  <si>
    <t>Founder</t>
  </si>
  <si>
    <t>Jack Dorsey</t>
  </si>
  <si>
    <t>Price</t>
  </si>
  <si>
    <t>Market Cap</t>
  </si>
  <si>
    <t>EV</t>
  </si>
  <si>
    <t>per share</t>
  </si>
  <si>
    <t>ARPU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</si>
  <si>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</si>
  <si>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</si>
  <si>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</si>
  <si>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</si>
  <si>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</si>
  <si>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</si>
  <si>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</si>
  <si>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</si>
  <si>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</si>
  <si>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ARPU y/y</t>
  </si>
  <si>
    <t>NI 12M</t>
  </si>
  <si>
    <t>MAU y/y</t>
  </si>
  <si>
    <t>Square, Inc (SQ)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</si>
  <si>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</si>
  <si>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</si>
  <si>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</si>
  <si>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</si>
  <si>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</si>
  <si>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</si>
  <si>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</si>
  <si>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</si>
  <si>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Transactions</t>
  </si>
  <si>
    <t>Subscriptions</t>
  </si>
  <si>
    <t>Hardware</t>
  </si>
  <si>
    <t>Bitcoin</t>
  </si>
  <si>
    <t>Transactions y/y</t>
  </si>
  <si>
    <t>Subscriptions y/y</t>
  </si>
  <si>
    <t>Hardware y/y</t>
  </si>
  <si>
    <t>Bitcoin y/y</t>
  </si>
  <si>
    <t>Jim McKelvey</t>
  </si>
  <si>
    <t>Tristan O'Tierney</t>
  </si>
  <si>
    <t>OE y/y</t>
  </si>
  <si>
    <t>Square Reader</t>
  </si>
  <si>
    <t>Mobile payment card reader</t>
  </si>
  <si>
    <t>Square Stand</t>
  </si>
  <si>
    <t>Point of sale system</t>
  </si>
  <si>
    <t>Cash App</t>
  </si>
  <si>
    <t>Caviar</t>
  </si>
  <si>
    <t>Food delivery service (aquired by DoorDash)</t>
  </si>
  <si>
    <t>Square Capital</t>
  </si>
  <si>
    <t>Credit lending to companies</t>
  </si>
  <si>
    <t>Q120</t>
  </si>
  <si>
    <t>Q220</t>
  </si>
  <si>
    <t>Q320</t>
  </si>
  <si>
    <t>Q420</t>
  </si>
  <si>
    <t>GPV</t>
  </si>
  <si>
    <t>GPV y/y</t>
  </si>
  <si>
    <t>PRODUCTS</t>
  </si>
  <si>
    <t>OTHER</t>
  </si>
  <si>
    <t>P2P for bitcoin, cash card, direct deposits,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</si>
</sst>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3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7" fillId="0" borderId="0" xfId="4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4" fontId="4" fillId="0" borderId="0" xfId="0" applyNumberFormat="1" applyFont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4" fontId="8" fillId="0" borderId="0" xfId="0" applyNumberFormat="1" applyFont="1"/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11" fillId="0" borderId="0" xfId="4" applyFont="1"/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4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/>
    <xf numFmtId="14" fontId="8" fillId="0" borderId="0" xfId="0" applyNumberFormat="1" applyFont="1"/>
    <xf numFmtId="0" fontId="12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10</xdr:row>
      <xdr:rowOff>0</xdr:rowOff>
    </xdr:from>
    <xdr:to>
      <xdr:col>4</xdr:col>
      <xdr:colOff>215900</xdr:colOff>
      <xdr:row>68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343400" y="1651000"/>
          <a:ext cx="0" cy="9410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235439</xdr:colOff>
      <xdr:row>1</xdr:row>
      <xdr:rowOff>12700</xdr:rowOff>
    </xdr:from>
    <xdr:to>
      <xdr:col>16</xdr:col>
      <xdr:colOff>235439</xdr:colOff>
      <xdr:row>62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557131" y="178777"/>
          <a:ext cx="0" cy="1013069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quareup.com/us/en/about/investors" TargetMode="External"/><Relationship Id="rId2" Type="http://schemas.openxmlformats.org/officeDocument/2006/relationships/hyperlink" Target="https://en.wikipedia.org/wiki/Jack_Dorsey" TargetMode="External"/><Relationship Id="rId1" Type="http://schemas.openxmlformats.org/officeDocument/2006/relationships/hyperlink" Target="https://en.wikipedia.org/wiki/Jack_Dorse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Jim_McKelv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67"/>
  <sheetViews>
    <sheetView tabSelected="1" zoomScale="130" zoomScaleNormal="130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I48" sqref="I48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0" x14ac:dyDescent="0.15">
      <c r="A1" s="34" t="s">
        <v>47</v>
      </c>
      <c r="B1" s="16" t="s">
        <v>68</v>
      </c>
    </row>
    <row r="2" spans="1:20" x14ac:dyDescent="0.15">
      <c r="B2" s="1" t="s">
        <v>51</v>
      </c>
      <c r="C2" s="2">
        <v>220.59</v>
      </c>
      <c r="D2" s="74">
        <v>44224</v>
      </c>
      <c r="E2" s="3" t="s">
        <v>29</v>
      </c>
      <c r="F2" s="4">
        <v>5.0000000000000001E-3</v>
      </c>
      <c r="I2" s="17"/>
    </row>
    <row r="3" spans="1:20" x14ac:dyDescent="0.15">
      <c r="A3" s="16" t="s">
        <v>48</v>
      </c>
      <c r="B3" s="1" t="s">
        <v>17</v>
      </c>
      <c r="C3" s="5">
        <f>Reports!P24</f>
        <v>488.06900000000002</v>
      </c>
      <c r="D3" s="75" t="s">
        <v>99</v>
      </c>
      <c r="E3" s="3" t="s">
        <v>30</v>
      </c>
      <c r="F3" s="4">
        <v>0.02</v>
      </c>
      <c r="G3" s="6"/>
      <c r="I3" s="17"/>
    </row>
    <row r="4" spans="1:20" x14ac:dyDescent="0.15">
      <c r="A4" s="15" t="s">
        <v>50</v>
      </c>
      <c r="B4" s="1" t="s">
        <v>52</v>
      </c>
      <c r="C4" s="7">
        <f>C2*C3</f>
        <v>107663.14071000001</v>
      </c>
      <c r="D4" s="76"/>
      <c r="E4" s="3" t="s">
        <v>31</v>
      </c>
      <c r="F4" s="4">
        <f>6%</f>
        <v>0.06</v>
      </c>
      <c r="G4" s="6"/>
      <c r="I4" s="14"/>
    </row>
    <row r="5" spans="1:20" x14ac:dyDescent="0.15">
      <c r="B5" s="1" t="s">
        <v>25</v>
      </c>
      <c r="C5" s="5">
        <f>Reports!P35</f>
        <v>1521</v>
      </c>
      <c r="D5" s="75" t="s">
        <v>99</v>
      </c>
      <c r="E5" s="3" t="s">
        <v>32</v>
      </c>
      <c r="F5" s="8">
        <f>NPV(F4,E31:DP31)</f>
        <v>159127.12694151772</v>
      </c>
      <c r="G5" s="6"/>
      <c r="I5" s="14"/>
    </row>
    <row r="6" spans="1:20" x14ac:dyDescent="0.15">
      <c r="A6" s="16" t="s">
        <v>49</v>
      </c>
      <c r="B6" s="1" t="s">
        <v>53</v>
      </c>
      <c r="C6" s="7">
        <f>C4-C5</f>
        <v>106142.14071000001</v>
      </c>
      <c r="D6" s="76"/>
      <c r="E6" s="9" t="s">
        <v>33</v>
      </c>
      <c r="F6" s="10">
        <f>F5+C5</f>
        <v>160648.12694151772</v>
      </c>
      <c r="I6" s="14"/>
    </row>
    <row r="7" spans="1:20" x14ac:dyDescent="0.15">
      <c r="A7" s="15" t="s">
        <v>50</v>
      </c>
      <c r="B7" s="6" t="s">
        <v>54</v>
      </c>
      <c r="C7" s="11">
        <f>C6/C3</f>
        <v>217.47363735455437</v>
      </c>
      <c r="D7" s="76"/>
      <c r="E7" s="12" t="s">
        <v>54</v>
      </c>
      <c r="F7" s="13">
        <f>F6/C3</f>
        <v>329.15044172344017</v>
      </c>
      <c r="G7" s="14">
        <f>F7/C2-1</f>
        <v>0.49213673205240571</v>
      </c>
    </row>
    <row r="8" spans="1:20" x14ac:dyDescent="0.15">
      <c r="A8" s="34" t="s">
        <v>85</v>
      </c>
    </row>
    <row r="9" spans="1:20" x14ac:dyDescent="0.15">
      <c r="A9" s="68" t="s">
        <v>86</v>
      </c>
    </row>
    <row r="10" spans="1:20" x14ac:dyDescent="0.15">
      <c r="A10" s="15"/>
    </row>
    <row r="11" spans="1:20" x14ac:dyDescent="0.15">
      <c r="B11" s="1">
        <v>2017</v>
      </c>
      <c r="C11" s="1">
        <f>B11+1</f>
        <v>2018</v>
      </c>
      <c r="D11" s="1">
        <f t="shared" ref="D11:T11" si="0">C11+1</f>
        <v>2019</v>
      </c>
      <c r="E11" s="1">
        <f t="shared" si="0"/>
        <v>2020</v>
      </c>
      <c r="F11" s="1">
        <f t="shared" si="0"/>
        <v>2021</v>
      </c>
      <c r="G11" s="1">
        <f t="shared" si="0"/>
        <v>2022</v>
      </c>
      <c r="H11" s="1">
        <f t="shared" si="0"/>
        <v>2023</v>
      </c>
      <c r="I11" s="1">
        <f t="shared" si="0"/>
        <v>2024</v>
      </c>
      <c r="J11" s="1">
        <f t="shared" si="0"/>
        <v>2025</v>
      </c>
      <c r="K11" s="1">
        <f t="shared" si="0"/>
        <v>2026</v>
      </c>
      <c r="L11" s="1">
        <f t="shared" si="0"/>
        <v>2027</v>
      </c>
      <c r="M11" s="1">
        <f t="shared" si="0"/>
        <v>2028</v>
      </c>
      <c r="N11" s="1">
        <f t="shared" si="0"/>
        <v>2029</v>
      </c>
      <c r="O11" s="1">
        <f t="shared" si="0"/>
        <v>2030</v>
      </c>
      <c r="P11" s="1">
        <f t="shared" si="0"/>
        <v>2031</v>
      </c>
      <c r="Q11" s="1">
        <f t="shared" si="0"/>
        <v>2032</v>
      </c>
      <c r="R11" s="1">
        <f t="shared" si="0"/>
        <v>2033</v>
      </c>
      <c r="S11" s="1">
        <f t="shared" si="0"/>
        <v>2034</v>
      </c>
      <c r="T11" s="1">
        <f t="shared" si="0"/>
        <v>2035</v>
      </c>
    </row>
    <row r="12" spans="1:20" x14ac:dyDescent="0.15">
      <c r="A12" s="36" t="s">
        <v>77</v>
      </c>
      <c r="B12" s="17">
        <f>SUM(Reports!B3:E3)</f>
        <v>1920</v>
      </c>
      <c r="C12" s="17">
        <f>SUM(Reports!F3:I3)</f>
        <v>2471</v>
      </c>
      <c r="D12" s="17">
        <f>SUM(Reports!J3:M3)</f>
        <v>3082.18</v>
      </c>
      <c r="E12" s="17">
        <f>D12*1.1</f>
        <v>3390.3980000000001</v>
      </c>
      <c r="F12" s="17">
        <f t="shared" ref="F12:I12" si="1">E12*1.1</f>
        <v>3729.4378000000006</v>
      </c>
      <c r="G12" s="17">
        <f t="shared" si="1"/>
        <v>4102.3815800000011</v>
      </c>
      <c r="H12" s="17">
        <f t="shared" si="1"/>
        <v>4512.6197380000012</v>
      </c>
      <c r="I12" s="17">
        <f t="shared" si="1"/>
        <v>4963.8817118000015</v>
      </c>
    </row>
    <row r="13" spans="1:20" x14ac:dyDescent="0.15">
      <c r="A13" s="36" t="s">
        <v>78</v>
      </c>
      <c r="B13" s="17">
        <f>SUM(Reports!B4:E4)</f>
        <v>252</v>
      </c>
      <c r="C13" s="17">
        <f>SUM(Reports!F4:I4)</f>
        <v>591</v>
      </c>
      <c r="D13" s="17">
        <f>SUM(Reports!J4:M4)</f>
        <v>1031.415</v>
      </c>
      <c r="E13" s="17">
        <f>D13*1.25</f>
        <v>1289.26875</v>
      </c>
      <c r="F13" s="17">
        <f t="shared" ref="F13:I13" si="2">E13*1.25</f>
        <v>1611.5859375</v>
      </c>
      <c r="G13" s="17">
        <f t="shared" si="2"/>
        <v>2014.482421875</v>
      </c>
      <c r="H13" s="17">
        <f t="shared" si="2"/>
        <v>2518.10302734375</v>
      </c>
      <c r="I13" s="17">
        <f t="shared" si="2"/>
        <v>3147.6287841796875</v>
      </c>
    </row>
    <row r="14" spans="1:20" x14ac:dyDescent="0.15">
      <c r="A14" s="36" t="s">
        <v>79</v>
      </c>
      <c r="B14" s="17">
        <f>SUM(Reports!B5:E5)</f>
        <v>41</v>
      </c>
      <c r="C14" s="17">
        <f>SUM(Reports!F5:I5)</f>
        <v>68</v>
      </c>
      <c r="D14" s="17">
        <f>SUM(Reports!J5:M5)</f>
        <v>84.567000000000007</v>
      </c>
      <c r="E14" s="17">
        <f>D14*1.1</f>
        <v>93.023700000000019</v>
      </c>
      <c r="F14" s="17">
        <f t="shared" ref="F14:I14" si="3">E14*1.1</f>
        <v>102.32607000000003</v>
      </c>
      <c r="G14" s="17">
        <f t="shared" si="3"/>
        <v>112.55867700000005</v>
      </c>
      <c r="H14" s="17">
        <f t="shared" si="3"/>
        <v>123.81454470000006</v>
      </c>
      <c r="I14" s="17">
        <f t="shared" si="3"/>
        <v>136.19599917000008</v>
      </c>
    </row>
    <row r="15" spans="1:20" x14ac:dyDescent="0.15">
      <c r="A15" s="36" t="s">
        <v>80</v>
      </c>
      <c r="B15" s="17"/>
      <c r="C15" s="17">
        <f>SUM(Reports!F6:I6)</f>
        <v>166</v>
      </c>
      <c r="D15" s="17">
        <f>SUM(Reports!J6:M6)</f>
        <v>516.56700000000001</v>
      </c>
      <c r="E15" s="17">
        <f>D15*6</f>
        <v>3099.402</v>
      </c>
      <c r="F15" s="17">
        <f t="shared" ref="F15:I15" si="4">E15*1.5</f>
        <v>4649.1030000000001</v>
      </c>
      <c r="G15" s="17">
        <f t="shared" si="4"/>
        <v>6973.6545000000006</v>
      </c>
      <c r="H15" s="17">
        <f t="shared" si="4"/>
        <v>10460.481750000001</v>
      </c>
      <c r="I15" s="17">
        <f t="shared" si="4"/>
        <v>15690.722625000002</v>
      </c>
    </row>
    <row r="16" spans="1:20" x14ac:dyDescent="0.15">
      <c r="B16" s="17"/>
      <c r="C16" s="17"/>
      <c r="D16" s="17"/>
      <c r="E16" s="17"/>
      <c r="F16" s="17"/>
      <c r="G16" s="17"/>
    </row>
    <row r="17" spans="1:243" s="17" customFormat="1" x14ac:dyDescent="0.15">
      <c r="A17" s="17" t="s">
        <v>42</v>
      </c>
    </row>
    <row r="18" spans="1:243" x14ac:dyDescent="0.15">
      <c r="A18" s="1" t="s">
        <v>55</v>
      </c>
      <c r="B18" s="17"/>
      <c r="C18" s="17"/>
      <c r="D18" s="17"/>
      <c r="E18" s="25"/>
      <c r="F18" s="25"/>
      <c r="G18" s="25"/>
      <c r="H18" s="25"/>
    </row>
    <row r="19" spans="1:243" s="78" customFormat="1" x14ac:dyDescent="0.15">
      <c r="E19" s="78">
        <v>5900</v>
      </c>
    </row>
    <row r="20" spans="1:243" x14ac:dyDescent="0.15">
      <c r="A20" s="16" t="s">
        <v>4</v>
      </c>
      <c r="B20" s="23">
        <f>SUM(B12:B15)</f>
        <v>2213</v>
      </c>
      <c r="C20" s="23">
        <f>SUM(C12:C15)</f>
        <v>3296</v>
      </c>
      <c r="D20" s="23">
        <f>SUM(D12:D15)</f>
        <v>4714.7289999999994</v>
      </c>
      <c r="E20" s="18">
        <f>SUM(E12:E15)</f>
        <v>7872.0924500000001</v>
      </c>
      <c r="F20" s="18">
        <f>SUM(F12:F15)</f>
        <v>10092.452807500002</v>
      </c>
      <c r="G20" s="18">
        <f t="shared" ref="F20:I20" si="5">SUM(G12:G15)</f>
        <v>13203.077178875003</v>
      </c>
      <c r="H20" s="18">
        <f t="shared" si="5"/>
        <v>17615.019060043753</v>
      </c>
      <c r="I20" s="18">
        <f t="shared" si="5"/>
        <v>23938.429120149689</v>
      </c>
      <c r="J20" s="18">
        <f>I20*1.1</f>
        <v>26332.272032164659</v>
      </c>
      <c r="K20" s="18">
        <f t="shared" ref="K20:R20" si="6">J20*1.1</f>
        <v>28965.499235381129</v>
      </c>
      <c r="L20" s="18">
        <f t="shared" si="6"/>
        <v>31862.049158919242</v>
      </c>
      <c r="M20" s="18">
        <f t="shared" si="6"/>
        <v>35048.254074811171</v>
      </c>
      <c r="N20" s="18">
        <f t="shared" si="6"/>
        <v>38553.079482292291</v>
      </c>
      <c r="O20" s="18">
        <f t="shared" si="6"/>
        <v>42408.387430521521</v>
      </c>
      <c r="P20" s="18">
        <f t="shared" si="6"/>
        <v>46649.226173573676</v>
      </c>
      <c r="Q20" s="18">
        <f t="shared" si="6"/>
        <v>51314.148790931045</v>
      </c>
      <c r="R20" s="18">
        <f t="shared" si="6"/>
        <v>56445.563670024152</v>
      </c>
      <c r="S20" s="18"/>
      <c r="T20" s="18"/>
    </row>
    <row r="21" spans="1:243" x14ac:dyDescent="0.15">
      <c r="A21" s="1" t="s">
        <v>5</v>
      </c>
      <c r="B21" s="17">
        <f>SUM(Reports!B12:E12)</f>
        <v>1375</v>
      </c>
      <c r="C21" s="17">
        <f>SUM(Reports!F12:I12)</f>
        <v>1993</v>
      </c>
      <c r="D21" s="17">
        <f>SUM(Reports!J12:M12)</f>
        <v>2823.38</v>
      </c>
      <c r="E21" s="5">
        <f t="shared" ref="E21:F21" si="7">E20-E22</f>
        <v>4714.1433540466496</v>
      </c>
      <c r="F21" s="5">
        <f t="shared" si="7"/>
        <v>6043.7894537818311</v>
      </c>
      <c r="G21" s="5">
        <f t="shared" ref="G21:O21" si="8">G20-G22</f>
        <v>7906.5634621400532</v>
      </c>
      <c r="H21" s="5">
        <f t="shared" si="8"/>
        <v>10548.621673429447</v>
      </c>
      <c r="I21" s="5">
        <f t="shared" si="8"/>
        <v>14335.348226642134</v>
      </c>
      <c r="J21" s="5">
        <f t="shared" si="8"/>
        <v>15768.883049306349</v>
      </c>
      <c r="K21" s="5">
        <f t="shared" si="8"/>
        <v>17345.771354236986</v>
      </c>
      <c r="L21" s="5">
        <f t="shared" si="8"/>
        <v>19080.348489660686</v>
      </c>
      <c r="M21" s="5">
        <f t="shared" si="8"/>
        <v>20988.383338626758</v>
      </c>
      <c r="N21" s="5">
        <f t="shared" si="8"/>
        <v>23087.221672489432</v>
      </c>
      <c r="O21" s="5">
        <f t="shared" si="8"/>
        <v>25395.943839738378</v>
      </c>
      <c r="P21" s="5">
        <f t="shared" ref="P21:R21" si="9">P20-P22</f>
        <v>27935.538223712218</v>
      </c>
      <c r="Q21" s="5">
        <f t="shared" si="9"/>
        <v>30729.092046083439</v>
      </c>
      <c r="R21" s="5">
        <f t="shared" si="9"/>
        <v>33802.001250691785</v>
      </c>
      <c r="S21" s="5"/>
      <c r="T21" s="5"/>
    </row>
    <row r="22" spans="1:243" x14ac:dyDescent="0.15">
      <c r="A22" s="1" t="s">
        <v>6</v>
      </c>
      <c r="B22" s="7">
        <f>B20-B21</f>
        <v>838</v>
      </c>
      <c r="C22" s="7">
        <f>C20-C21</f>
        <v>1303</v>
      </c>
      <c r="D22" s="7">
        <f>D20-D21</f>
        <v>1891.3489999999993</v>
      </c>
      <c r="E22" s="5">
        <f>E20*D35</f>
        <v>3157.9490959533509</v>
      </c>
      <c r="F22" s="5">
        <f t="shared" ref="F22:R22" si="10">F20*E35</f>
        <v>4048.6633537181706</v>
      </c>
      <c r="G22" s="5">
        <f t="shared" si="10"/>
        <v>5296.5137167349494</v>
      </c>
      <c r="H22" s="5">
        <f t="shared" si="10"/>
        <v>7066.3973866143069</v>
      </c>
      <c r="I22" s="5">
        <f t="shared" si="10"/>
        <v>9603.0808935075547</v>
      </c>
      <c r="J22" s="5">
        <f t="shared" si="10"/>
        <v>10563.388982858311</v>
      </c>
      <c r="K22" s="5">
        <f t="shared" si="10"/>
        <v>11619.727881144143</v>
      </c>
      <c r="L22" s="5">
        <f t="shared" si="10"/>
        <v>12781.700669258556</v>
      </c>
      <c r="M22" s="5">
        <f t="shared" si="10"/>
        <v>14059.870736184415</v>
      </c>
      <c r="N22" s="5">
        <f t="shared" si="10"/>
        <v>15465.857809802857</v>
      </c>
      <c r="O22" s="5">
        <f t="shared" si="10"/>
        <v>17012.443590783143</v>
      </c>
      <c r="P22" s="5">
        <f t="shared" si="10"/>
        <v>18713.687949861458</v>
      </c>
      <c r="Q22" s="5">
        <f t="shared" si="10"/>
        <v>20585.056744847607</v>
      </c>
      <c r="R22" s="5">
        <f t="shared" si="10"/>
        <v>22643.562419332367</v>
      </c>
      <c r="S22" s="5"/>
      <c r="T22" s="5"/>
    </row>
    <row r="23" spans="1:243" x14ac:dyDescent="0.15">
      <c r="A23" s="1" t="s">
        <v>7</v>
      </c>
      <c r="B23" s="17">
        <f>SUM(Reports!B14:E14)</f>
        <v>323</v>
      </c>
      <c r="C23" s="17">
        <f>SUM(Reports!F14:I14)</f>
        <v>498</v>
      </c>
      <c r="D23" s="17">
        <f>SUM(Reports!J14:M14)</f>
        <v>670.28399999999999</v>
      </c>
      <c r="E23" s="5">
        <f>D23*1.25</f>
        <v>837.85500000000002</v>
      </c>
      <c r="F23" s="5">
        <f t="shared" ref="F23:I23" si="11">E23*1.25</f>
        <v>1047.3187499999999</v>
      </c>
      <c r="G23" s="5">
        <f t="shared" si="11"/>
        <v>1309.1484375</v>
      </c>
      <c r="H23" s="5">
        <f t="shared" si="11"/>
        <v>1636.435546875</v>
      </c>
      <c r="I23" s="5">
        <f t="shared" si="11"/>
        <v>2045.54443359375</v>
      </c>
      <c r="J23" s="5">
        <f>I23*1.1</f>
        <v>2250.098876953125</v>
      </c>
      <c r="K23" s="5">
        <f t="shared" ref="K23" si="12">J23*1.1</f>
        <v>2475.1087646484375</v>
      </c>
      <c r="L23" s="5">
        <f t="shared" ref="L23:R23" si="13">K23*1.1</f>
        <v>2722.6196411132814</v>
      </c>
      <c r="M23" s="5">
        <f t="shared" si="13"/>
        <v>2994.8816052246098</v>
      </c>
      <c r="N23" s="5">
        <f t="shared" si="13"/>
        <v>3294.3697657470711</v>
      </c>
      <c r="O23" s="5">
        <f t="shared" si="13"/>
        <v>3623.8067423217785</v>
      </c>
      <c r="P23" s="5">
        <f t="shared" si="13"/>
        <v>3986.1874165539566</v>
      </c>
      <c r="Q23" s="5">
        <f t="shared" si="13"/>
        <v>4384.8061582093524</v>
      </c>
      <c r="R23" s="5">
        <f t="shared" si="13"/>
        <v>4823.2867740302881</v>
      </c>
      <c r="S23" s="5"/>
      <c r="T23" s="5"/>
    </row>
    <row r="24" spans="1:243" x14ac:dyDescent="0.15">
      <c r="A24" s="1" t="s">
        <v>8</v>
      </c>
      <c r="B24" s="17">
        <f>SUM(Reports!B15:E15)</f>
        <v>254</v>
      </c>
      <c r="C24" s="17">
        <f>SUM(Reports!F15:I15)</f>
        <v>410</v>
      </c>
      <c r="D24" s="17">
        <f>SUM(Reports!J15:M15)</f>
        <v>624.23099999999999</v>
      </c>
      <c r="E24" s="5">
        <f>D24*1.25</f>
        <v>780.28874999999994</v>
      </c>
      <c r="F24" s="5">
        <f t="shared" ref="F24:I24" si="14">E24*1.25</f>
        <v>975.36093749999986</v>
      </c>
      <c r="G24" s="5">
        <f t="shared" si="14"/>
        <v>1219.2011718749998</v>
      </c>
      <c r="H24" s="5">
        <f t="shared" si="14"/>
        <v>1524.0014648437498</v>
      </c>
      <c r="I24" s="5">
        <f t="shared" si="14"/>
        <v>1905.0018310546873</v>
      </c>
      <c r="J24" s="5">
        <f>I24*1.05</f>
        <v>2000.2519226074216</v>
      </c>
      <c r="K24" s="5">
        <f>J24*1.02</f>
        <v>2040.2569610595701</v>
      </c>
      <c r="L24" s="5">
        <f t="shared" ref="L24:R24" si="15">K24*1.02</f>
        <v>2081.0621002807616</v>
      </c>
      <c r="M24" s="5">
        <f t="shared" si="15"/>
        <v>2122.683342286377</v>
      </c>
      <c r="N24" s="5">
        <f t="shared" si="15"/>
        <v>2165.1370091321046</v>
      </c>
      <c r="O24" s="5">
        <f t="shared" si="15"/>
        <v>2208.4397493147467</v>
      </c>
      <c r="P24" s="5">
        <f t="shared" si="15"/>
        <v>2252.6085443010415</v>
      </c>
      <c r="Q24" s="5">
        <f t="shared" si="15"/>
        <v>2297.6607151870626</v>
      </c>
      <c r="R24" s="5">
        <f t="shared" si="15"/>
        <v>2343.6139294908039</v>
      </c>
      <c r="S24" s="5"/>
      <c r="T24" s="5"/>
    </row>
    <row r="25" spans="1:243" x14ac:dyDescent="0.15">
      <c r="A25" s="1" t="s">
        <v>9</v>
      </c>
      <c r="B25" s="17">
        <f>SUM(Reports!B16:E16)</f>
        <v>317</v>
      </c>
      <c r="C25" s="17">
        <f>SUM(Reports!F16:I16)</f>
        <v>431</v>
      </c>
      <c r="D25" s="17">
        <f>SUM(Reports!J16:M16)</f>
        <v>569</v>
      </c>
      <c r="E25" s="5">
        <f>D25*1.15</f>
        <v>654.34999999999991</v>
      </c>
      <c r="F25" s="5">
        <f t="shared" ref="F25:I25" si="16">E25*1.15</f>
        <v>752.50249999999983</v>
      </c>
      <c r="G25" s="5">
        <f t="shared" si="16"/>
        <v>865.37787499999979</v>
      </c>
      <c r="H25" s="5">
        <f t="shared" si="16"/>
        <v>995.18455624999967</v>
      </c>
      <c r="I25" s="5">
        <f t="shared" si="16"/>
        <v>1144.4622396874995</v>
      </c>
      <c r="J25" s="5">
        <f>I25*0.98</f>
        <v>1121.5729948937494</v>
      </c>
      <c r="K25" s="5">
        <f t="shared" ref="K25" si="17">J25*0.98</f>
        <v>1099.1415349958745</v>
      </c>
      <c r="L25" s="5">
        <f t="shared" ref="L25:R25" si="18">K25*0.98</f>
        <v>1077.158704295957</v>
      </c>
      <c r="M25" s="5">
        <f t="shared" si="18"/>
        <v>1055.6155302100378</v>
      </c>
      <c r="N25" s="5">
        <f t="shared" si="18"/>
        <v>1034.5032196058371</v>
      </c>
      <c r="O25" s="5">
        <f t="shared" si="18"/>
        <v>1013.8131552137204</v>
      </c>
      <c r="P25" s="5">
        <f t="shared" si="18"/>
        <v>993.53689210944594</v>
      </c>
      <c r="Q25" s="5">
        <f t="shared" si="18"/>
        <v>973.66615426725696</v>
      </c>
      <c r="R25" s="5">
        <f t="shared" si="18"/>
        <v>954.19283118191186</v>
      </c>
      <c r="S25" s="5"/>
      <c r="T25" s="5"/>
    </row>
    <row r="26" spans="1:243" x14ac:dyDescent="0.15">
      <c r="A26" s="1" t="s">
        <v>10</v>
      </c>
      <c r="B26" s="7">
        <f>SUM(B23:B25)</f>
        <v>894</v>
      </c>
      <c r="C26" s="7">
        <f>SUM(C23:C25)</f>
        <v>1339</v>
      </c>
      <c r="D26" s="7">
        <f>SUM(D23:D25)</f>
        <v>1863.5149999999999</v>
      </c>
      <c r="E26" s="5">
        <f t="shared" ref="E26:F26" si="19">SUM(E23:E25)</f>
        <v>2272.4937499999996</v>
      </c>
      <c r="F26" s="5">
        <f t="shared" si="19"/>
        <v>2775.1821874999996</v>
      </c>
      <c r="G26" s="5">
        <f t="shared" ref="G26:O26" si="20">SUM(G23:G25)</f>
        <v>3393.7274843749997</v>
      </c>
      <c r="H26" s="5">
        <f t="shared" si="20"/>
        <v>4155.6215679687493</v>
      </c>
      <c r="I26" s="5">
        <f>SUM(I23:I25)</f>
        <v>5095.0085043359368</v>
      </c>
      <c r="J26" s="5">
        <f t="shared" si="20"/>
        <v>5371.9237944542965</v>
      </c>
      <c r="K26" s="5">
        <f t="shared" si="20"/>
        <v>5614.5072607038819</v>
      </c>
      <c r="L26" s="5">
        <f t="shared" si="20"/>
        <v>5880.8404456899998</v>
      </c>
      <c r="M26" s="5">
        <f t="shared" si="20"/>
        <v>6173.1804777210245</v>
      </c>
      <c r="N26" s="5">
        <f t="shared" si="20"/>
        <v>6494.0099944850126</v>
      </c>
      <c r="O26" s="5">
        <f t="shared" si="20"/>
        <v>6846.0596468502454</v>
      </c>
      <c r="P26" s="5">
        <f t="shared" ref="P26:R26" si="21">SUM(P23:P25)</f>
        <v>7232.3328529644441</v>
      </c>
      <c r="Q26" s="5">
        <f t="shared" si="21"/>
        <v>7656.1330276636727</v>
      </c>
      <c r="R26" s="5">
        <f t="shared" si="21"/>
        <v>8121.0935347030045</v>
      </c>
      <c r="S26" s="5"/>
      <c r="T26" s="5"/>
    </row>
    <row r="27" spans="1:243" x14ac:dyDescent="0.15">
      <c r="A27" s="1" t="s">
        <v>11</v>
      </c>
      <c r="B27" s="7">
        <f>B22-B26</f>
        <v>-56</v>
      </c>
      <c r="C27" s="7">
        <f>C22-C26</f>
        <v>-36</v>
      </c>
      <c r="D27" s="7">
        <f>D22-D26</f>
        <v>27.833999999999378</v>
      </c>
      <c r="E27" s="5">
        <f t="shared" ref="E27:F27" si="22">E22-E26</f>
        <v>885.4553459533513</v>
      </c>
      <c r="F27" s="5">
        <f t="shared" si="22"/>
        <v>1273.481166218171</v>
      </c>
      <c r="G27" s="5">
        <f t="shared" ref="G27:O27" si="23">G22-G26</f>
        <v>1902.7862323599497</v>
      </c>
      <c r="H27" s="5">
        <f t="shared" si="23"/>
        <v>2910.7758186455576</v>
      </c>
      <c r="I27" s="5">
        <f>I22-I26</f>
        <v>4508.0723891716179</v>
      </c>
      <c r="J27" s="5">
        <f t="shared" si="23"/>
        <v>5191.465188404014</v>
      </c>
      <c r="K27" s="5">
        <f t="shared" si="23"/>
        <v>6005.220620440261</v>
      </c>
      <c r="L27" s="5">
        <f t="shared" si="23"/>
        <v>6900.8602235685566</v>
      </c>
      <c r="M27" s="5">
        <f t="shared" si="23"/>
        <v>7886.6902584633908</v>
      </c>
      <c r="N27" s="5">
        <f t="shared" si="23"/>
        <v>8971.8478153178439</v>
      </c>
      <c r="O27" s="5">
        <f t="shared" si="23"/>
        <v>10166.383943932899</v>
      </c>
      <c r="P27" s="5">
        <f t="shared" ref="P27:R27" si="24">P22-P26</f>
        <v>11481.355096897014</v>
      </c>
      <c r="Q27" s="5">
        <f t="shared" si="24"/>
        <v>12928.923717183934</v>
      </c>
      <c r="R27" s="5">
        <f t="shared" si="24"/>
        <v>14522.468884629363</v>
      </c>
      <c r="S27" s="5"/>
      <c r="T27" s="5"/>
    </row>
    <row r="28" spans="1:243" x14ac:dyDescent="0.15">
      <c r="A28" s="1" t="s">
        <v>12</v>
      </c>
      <c r="B28" s="17">
        <f>SUM(Reports!B19:E19)</f>
        <v>-8</v>
      </c>
      <c r="C28" s="17">
        <f>SUM(Reports!F19:I19)</f>
        <v>2</v>
      </c>
      <c r="D28" s="17">
        <f>SUM(Reports!J19:M19)</f>
        <v>348</v>
      </c>
      <c r="E28" s="5">
        <f t="shared" ref="E28:R28" si="25">D45*$F$3</f>
        <v>22.740000000000002</v>
      </c>
      <c r="F28" s="5">
        <f t="shared" si="25"/>
        <v>38.179320881206976</v>
      </c>
      <c r="G28" s="5">
        <f t="shared" si="25"/>
        <v>60.477549161896398</v>
      </c>
      <c r="H28" s="5">
        <f t="shared" si="25"/>
        <v>93.853033447767771</v>
      </c>
      <c r="I28" s="5">
        <f t="shared" si="25"/>
        <v>144.93172393335431</v>
      </c>
      <c r="J28" s="5">
        <f t="shared" si="25"/>
        <v>224.03279385613882</v>
      </c>
      <c r="K28" s="5">
        <f t="shared" si="25"/>
        <v>316.09625955456141</v>
      </c>
      <c r="L28" s="5">
        <f t="shared" si="25"/>
        <v>423.55864651447337</v>
      </c>
      <c r="M28" s="5">
        <f t="shared" si="25"/>
        <v>548.07376730588487</v>
      </c>
      <c r="N28" s="5">
        <f t="shared" si="25"/>
        <v>691.46475574396266</v>
      </c>
      <c r="O28" s="5">
        <f t="shared" si="25"/>
        <v>855.74106945201333</v>
      </c>
      <c r="P28" s="5">
        <f t="shared" si="25"/>
        <v>1043.1171946795569</v>
      </c>
      <c r="Q28" s="5">
        <f t="shared" si="25"/>
        <v>1256.0332236363586</v>
      </c>
      <c r="R28" s="5">
        <f t="shared" si="25"/>
        <v>1497.1774916303036</v>
      </c>
      <c r="S28" s="5"/>
      <c r="T28" s="5"/>
    </row>
    <row r="29" spans="1:243" x14ac:dyDescent="0.15">
      <c r="A29" s="1" t="s">
        <v>13</v>
      </c>
      <c r="B29" s="7">
        <f>B27+B28</f>
        <v>-64</v>
      </c>
      <c r="C29" s="7">
        <f>C27+C28</f>
        <v>-34</v>
      </c>
      <c r="D29" s="7">
        <f>D27+D28</f>
        <v>375.83399999999938</v>
      </c>
      <c r="E29" s="5">
        <f t="shared" ref="E29:F29" si="26">E27+E28</f>
        <v>908.19534595335131</v>
      </c>
      <c r="F29" s="5">
        <f t="shared" si="26"/>
        <v>1311.6604870993779</v>
      </c>
      <c r="G29" s="5">
        <f t="shared" ref="G29:O29" si="27">G27+G28</f>
        <v>1963.2637815218461</v>
      </c>
      <c r="H29" s="5">
        <f t="shared" si="27"/>
        <v>3004.6288520933253</v>
      </c>
      <c r="I29" s="5">
        <f t="shared" si="27"/>
        <v>4653.004113104972</v>
      </c>
      <c r="J29" s="5">
        <f t="shared" si="27"/>
        <v>5415.4979822601526</v>
      </c>
      <c r="K29" s="5">
        <f t="shared" si="27"/>
        <v>6321.3168799948226</v>
      </c>
      <c r="L29" s="5">
        <f t="shared" si="27"/>
        <v>7324.41887008303</v>
      </c>
      <c r="M29" s="5">
        <f t="shared" si="27"/>
        <v>8434.7640257692765</v>
      </c>
      <c r="N29" s="5">
        <f t="shared" si="27"/>
        <v>9663.312571061806</v>
      </c>
      <c r="O29" s="5">
        <f t="shared" si="27"/>
        <v>11022.125013384912</v>
      </c>
      <c r="P29" s="5">
        <f t="shared" ref="P29:R29" si="28">P27+P28</f>
        <v>12524.472291576571</v>
      </c>
      <c r="Q29" s="5">
        <f t="shared" si="28"/>
        <v>14184.956940820293</v>
      </c>
      <c r="R29" s="5">
        <f t="shared" si="28"/>
        <v>16019.646376259667</v>
      </c>
      <c r="S29" s="5"/>
      <c r="T29" s="5"/>
    </row>
    <row r="30" spans="1:243" x14ac:dyDescent="0.15">
      <c r="A30" s="1" t="s">
        <v>14</v>
      </c>
      <c r="B30" s="17">
        <f>SUM(Reports!B21:E21)</f>
        <v>-1</v>
      </c>
      <c r="C30" s="17">
        <f>SUM(Reports!F21:I21)</f>
        <v>2</v>
      </c>
      <c r="D30" s="17">
        <f>SUM(Reports!J21:M21)</f>
        <v>4</v>
      </c>
      <c r="E30" s="5">
        <f>E29*0.15</f>
        <v>136.22930189300268</v>
      </c>
      <c r="F30" s="5">
        <f t="shared" ref="F30:O30" si="29">F29*0.15</f>
        <v>196.74907306490667</v>
      </c>
      <c r="G30" s="5">
        <f t="shared" si="29"/>
        <v>294.48956722827688</v>
      </c>
      <c r="H30" s="5">
        <f t="shared" si="29"/>
        <v>450.69432781399877</v>
      </c>
      <c r="I30" s="5">
        <f t="shared" si="29"/>
        <v>697.95061696574578</v>
      </c>
      <c r="J30" s="5">
        <f t="shared" si="29"/>
        <v>812.32469733902292</v>
      </c>
      <c r="K30" s="5">
        <f t="shared" si="29"/>
        <v>948.19753199922332</v>
      </c>
      <c r="L30" s="5">
        <f t="shared" si="29"/>
        <v>1098.6628305124545</v>
      </c>
      <c r="M30" s="5">
        <f t="shared" si="29"/>
        <v>1265.2146038653914</v>
      </c>
      <c r="N30" s="5">
        <f t="shared" si="29"/>
        <v>1449.4968856592709</v>
      </c>
      <c r="O30" s="5">
        <f t="shared" si="29"/>
        <v>1653.3187520077367</v>
      </c>
      <c r="P30" s="5">
        <f t="shared" ref="P30:R30" si="30">P29*0.15</f>
        <v>1878.6708437364855</v>
      </c>
      <c r="Q30" s="5">
        <f t="shared" si="30"/>
        <v>2127.743541123044</v>
      </c>
      <c r="R30" s="5">
        <f t="shared" si="30"/>
        <v>2402.9469564389501</v>
      </c>
      <c r="S30" s="5"/>
      <c r="T30" s="5"/>
    </row>
    <row r="31" spans="1:243" s="16" customFormat="1" x14ac:dyDescent="0.15">
      <c r="A31" s="16" t="s">
        <v>15</v>
      </c>
      <c r="B31" s="23">
        <f>B29-B30</f>
        <v>-63</v>
      </c>
      <c r="C31" s="23">
        <f>C29-C30</f>
        <v>-36</v>
      </c>
      <c r="D31" s="23">
        <f t="shared" ref="D31:F31" si="31">D29-D30</f>
        <v>371.83399999999938</v>
      </c>
      <c r="E31" s="23">
        <f t="shared" si="31"/>
        <v>771.96604406034862</v>
      </c>
      <c r="F31" s="23">
        <f t="shared" si="31"/>
        <v>1114.9114140344711</v>
      </c>
      <c r="G31" s="23">
        <f t="shared" ref="G31" si="32">G29-G30</f>
        <v>1668.7742142935692</v>
      </c>
      <c r="H31" s="23">
        <f t="shared" ref="H31" si="33">H29-H30</f>
        <v>2553.9345242793265</v>
      </c>
      <c r="I31" s="23">
        <f t="shared" ref="I31" si="34">I29-I30</f>
        <v>3955.0534961392264</v>
      </c>
      <c r="J31" s="23">
        <f t="shared" ref="J31" si="35">J29-J30</f>
        <v>4603.1732849211294</v>
      </c>
      <c r="K31" s="23">
        <f t="shared" ref="K31" si="36">K29-K30</f>
        <v>5373.1193479955991</v>
      </c>
      <c r="L31" s="23">
        <f t="shared" ref="L31" si="37">L29-L30</f>
        <v>6225.756039570575</v>
      </c>
      <c r="M31" s="23">
        <f t="shared" ref="M31" si="38">M29-M30</f>
        <v>7169.5494219038846</v>
      </c>
      <c r="N31" s="23">
        <f t="shared" ref="N31" si="39">N29-N30</f>
        <v>8213.8156854025347</v>
      </c>
      <c r="O31" s="23">
        <f t="shared" ref="O31:P31" si="40">O29-O30</f>
        <v>9368.8062613771745</v>
      </c>
      <c r="P31" s="23">
        <f t="shared" si="40"/>
        <v>10645.801447840086</v>
      </c>
      <c r="Q31" s="23">
        <f t="shared" ref="Q31:R31" si="41">Q29-Q30</f>
        <v>12057.21339969725</v>
      </c>
      <c r="R31" s="23">
        <f t="shared" si="41"/>
        <v>13616.699419820718</v>
      </c>
      <c r="S31" s="23">
        <f t="shared" ref="S31:AU31" si="42">R31*($F$2+1)</f>
        <v>13684.782916919819</v>
      </c>
      <c r="T31" s="23">
        <f t="shared" si="42"/>
        <v>13753.206831504416</v>
      </c>
      <c r="U31" s="23">
        <f t="shared" si="42"/>
        <v>13821.972865661937</v>
      </c>
      <c r="V31" s="23">
        <f t="shared" si="42"/>
        <v>13891.082729990245</v>
      </c>
      <c r="W31" s="23">
        <f t="shared" si="42"/>
        <v>13960.538143640195</v>
      </c>
      <c r="X31" s="23">
        <f t="shared" si="42"/>
        <v>14030.340834358394</v>
      </c>
      <c r="Y31" s="23">
        <f t="shared" si="42"/>
        <v>14100.492538530185</v>
      </c>
      <c r="Z31" s="23">
        <f t="shared" si="42"/>
        <v>14170.995001222835</v>
      </c>
      <c r="AA31" s="23">
        <f t="shared" si="42"/>
        <v>14241.849976228947</v>
      </c>
      <c r="AB31" s="23">
        <f t="shared" si="42"/>
        <v>14313.05922611009</v>
      </c>
      <c r="AC31" s="23">
        <f t="shared" si="42"/>
        <v>14384.62452224064</v>
      </c>
      <c r="AD31" s="23">
        <f t="shared" si="42"/>
        <v>14456.547644851842</v>
      </c>
      <c r="AE31" s="23">
        <f t="shared" si="42"/>
        <v>14528.8303830761</v>
      </c>
      <c r="AF31" s="23">
        <f t="shared" si="42"/>
        <v>14601.474534991479</v>
      </c>
      <c r="AG31" s="23">
        <f t="shared" si="42"/>
        <v>14674.481907666435</v>
      </c>
      <c r="AH31" s="23">
        <f t="shared" si="42"/>
        <v>14747.854317204767</v>
      </c>
      <c r="AI31" s="23">
        <f t="shared" si="42"/>
        <v>14821.593588790789</v>
      </c>
      <c r="AJ31" s="23">
        <f t="shared" si="42"/>
        <v>14895.701556734741</v>
      </c>
      <c r="AK31" s="23">
        <f t="shared" si="42"/>
        <v>14970.180064518412</v>
      </c>
      <c r="AL31" s="23">
        <f t="shared" si="42"/>
        <v>15045.030964841002</v>
      </c>
      <c r="AM31" s="23">
        <f t="shared" si="42"/>
        <v>15120.256119665206</v>
      </c>
      <c r="AN31" s="23">
        <f t="shared" si="42"/>
        <v>15195.857400263531</v>
      </c>
      <c r="AO31" s="23">
        <f t="shared" si="42"/>
        <v>15271.836687264846</v>
      </c>
      <c r="AP31" s="23">
        <f t="shared" si="42"/>
        <v>15348.195870701169</v>
      </c>
      <c r="AQ31" s="23">
        <f t="shared" si="42"/>
        <v>15424.936850054673</v>
      </c>
      <c r="AR31" s="23">
        <f t="shared" si="42"/>
        <v>15502.061534304945</v>
      </c>
      <c r="AS31" s="23">
        <f t="shared" si="42"/>
        <v>15579.571841976467</v>
      </c>
      <c r="AT31" s="23">
        <f t="shared" si="42"/>
        <v>15657.469701186348</v>
      </c>
      <c r="AU31" s="23">
        <f t="shared" si="42"/>
        <v>15735.757049692278</v>
      </c>
      <c r="AV31" s="23">
        <f t="shared" ref="AV31:CA31" si="43">AU31*($F$2+1)</f>
        <v>15814.435834940738</v>
      </c>
      <c r="AW31" s="23">
        <f t="shared" si="43"/>
        <v>15893.508014115439</v>
      </c>
      <c r="AX31" s="23">
        <f t="shared" si="43"/>
        <v>15972.975554186014</v>
      </c>
      <c r="AY31" s="23">
        <f t="shared" si="43"/>
        <v>16052.840431956942</v>
      </c>
      <c r="AZ31" s="23">
        <f t="shared" si="43"/>
        <v>16133.104634116724</v>
      </c>
      <c r="BA31" s="23">
        <f t="shared" si="43"/>
        <v>16213.770157287307</v>
      </c>
      <c r="BB31" s="23">
        <f t="shared" si="43"/>
        <v>16294.839008073741</v>
      </c>
      <c r="BC31" s="23">
        <f t="shared" si="43"/>
        <v>16376.313203114109</v>
      </c>
      <c r="BD31" s="23">
        <f t="shared" si="43"/>
        <v>16458.194769129677</v>
      </c>
      <c r="BE31" s="23">
        <f t="shared" si="43"/>
        <v>16540.485742975325</v>
      </c>
      <c r="BF31" s="23">
        <f t="shared" si="43"/>
        <v>16623.188171690199</v>
      </c>
      <c r="BG31" s="23">
        <f t="shared" si="43"/>
        <v>16706.304112548649</v>
      </c>
      <c r="BH31" s="23">
        <f t="shared" si="43"/>
        <v>16789.83563311139</v>
      </c>
      <c r="BI31" s="23">
        <f t="shared" si="43"/>
        <v>16873.784811276946</v>
      </c>
      <c r="BJ31" s="23">
        <f t="shared" si="43"/>
        <v>16958.15373533333</v>
      </c>
      <c r="BK31" s="23">
        <f t="shared" si="43"/>
        <v>17042.944504009996</v>
      </c>
      <c r="BL31" s="23">
        <f t="shared" si="43"/>
        <v>17128.159226530046</v>
      </c>
      <c r="BM31" s="23">
        <f t="shared" si="43"/>
        <v>17213.800022662694</v>
      </c>
      <c r="BN31" s="23">
        <f t="shared" si="43"/>
        <v>17299.869022776005</v>
      </c>
      <c r="BO31" s="23">
        <f t="shared" si="43"/>
        <v>17386.368367889885</v>
      </c>
      <c r="BP31" s="23">
        <f t="shared" si="43"/>
        <v>17473.300209729332</v>
      </c>
      <c r="BQ31" s="23">
        <f t="shared" si="43"/>
        <v>17560.666710777976</v>
      </c>
      <c r="BR31" s="23">
        <f t="shared" si="43"/>
        <v>17648.470044331865</v>
      </c>
      <c r="BS31" s="23">
        <f t="shared" si="43"/>
        <v>17736.712394553524</v>
      </c>
      <c r="BT31" s="23">
        <f t="shared" si="43"/>
        <v>17825.395956526289</v>
      </c>
      <c r="BU31" s="23">
        <f t="shared" si="43"/>
        <v>17914.522936308917</v>
      </c>
      <c r="BV31" s="23">
        <f t="shared" si="43"/>
        <v>18004.09555099046</v>
      </c>
      <c r="BW31" s="23">
        <f t="shared" si="43"/>
        <v>18094.116028745411</v>
      </c>
      <c r="BX31" s="23">
        <f t="shared" si="43"/>
        <v>18184.586608889138</v>
      </c>
      <c r="BY31" s="23">
        <f t="shared" si="43"/>
        <v>18275.509541933581</v>
      </c>
      <c r="BZ31" s="23">
        <f t="shared" si="43"/>
        <v>18366.887089643245</v>
      </c>
      <c r="CA31" s="23">
        <f t="shared" si="43"/>
        <v>18458.72152509146</v>
      </c>
      <c r="CB31" s="23">
        <f t="shared" ref="CB31:DG31" si="44">CA31*($F$2+1)</f>
        <v>18551.015132716915</v>
      </c>
      <c r="CC31" s="23">
        <f t="shared" si="44"/>
        <v>18643.770208380498</v>
      </c>
      <c r="CD31" s="23">
        <f t="shared" si="44"/>
        <v>18736.989059422398</v>
      </c>
      <c r="CE31" s="23">
        <f t="shared" si="44"/>
        <v>18830.674004719509</v>
      </c>
      <c r="CF31" s="23">
        <f t="shared" si="44"/>
        <v>18924.827374743105</v>
      </c>
      <c r="CG31" s="23">
        <f t="shared" si="44"/>
        <v>19019.451511616819</v>
      </c>
      <c r="CH31" s="23">
        <f t="shared" si="44"/>
        <v>19114.5487691749</v>
      </c>
      <c r="CI31" s="23">
        <f t="shared" si="44"/>
        <v>19210.121513020771</v>
      </c>
      <c r="CJ31" s="23">
        <f t="shared" si="44"/>
        <v>19306.172120585874</v>
      </c>
      <c r="CK31" s="23">
        <f t="shared" si="44"/>
        <v>19402.702981188802</v>
      </c>
      <c r="CL31" s="23">
        <f t="shared" si="44"/>
        <v>19499.716496094745</v>
      </c>
      <c r="CM31" s="23">
        <f t="shared" si="44"/>
        <v>19597.215078575216</v>
      </c>
      <c r="CN31" s="23">
        <f t="shared" si="44"/>
        <v>19695.20115396809</v>
      </c>
      <c r="CO31" s="23">
        <f t="shared" si="44"/>
        <v>19793.677159737927</v>
      </c>
      <c r="CP31" s="23">
        <f t="shared" si="44"/>
        <v>19892.645545536616</v>
      </c>
      <c r="CQ31" s="23">
        <f t="shared" si="44"/>
        <v>19992.108773264295</v>
      </c>
      <c r="CR31" s="23">
        <f t="shared" si="44"/>
        <v>20092.069317130616</v>
      </c>
      <c r="CS31" s="23">
        <f t="shared" si="44"/>
        <v>20192.529663716268</v>
      </c>
      <c r="CT31" s="23">
        <f t="shared" si="44"/>
        <v>20293.492312034847</v>
      </c>
      <c r="CU31" s="23">
        <f t="shared" si="44"/>
        <v>20394.959773595019</v>
      </c>
      <c r="CV31" s="23">
        <f t="shared" si="44"/>
        <v>20496.934572462993</v>
      </c>
      <c r="CW31" s="23">
        <f t="shared" si="44"/>
        <v>20599.419245325305</v>
      </c>
      <c r="CX31" s="23">
        <f t="shared" si="44"/>
        <v>20702.416341551929</v>
      </c>
      <c r="CY31" s="23">
        <f t="shared" si="44"/>
        <v>20805.928423259687</v>
      </c>
      <c r="CZ31" s="23">
        <f t="shared" si="44"/>
        <v>20909.958065375984</v>
      </c>
      <c r="DA31" s="23">
        <f t="shared" si="44"/>
        <v>21014.507855702861</v>
      </c>
      <c r="DB31" s="23">
        <f t="shared" si="44"/>
        <v>21119.580394981374</v>
      </c>
      <c r="DC31" s="23">
        <f t="shared" si="44"/>
        <v>21225.178296956277</v>
      </c>
      <c r="DD31" s="23">
        <f t="shared" si="44"/>
        <v>21331.304188441056</v>
      </c>
      <c r="DE31" s="23">
        <f t="shared" si="44"/>
        <v>21437.96070938326</v>
      </c>
      <c r="DF31" s="23">
        <f t="shared" si="44"/>
        <v>21545.150512930173</v>
      </c>
      <c r="DG31" s="23">
        <f t="shared" si="44"/>
        <v>21652.876265494822</v>
      </c>
      <c r="DH31" s="23">
        <f t="shared" ref="DH31:DP31" si="45">DG31*($F$2+1)</f>
        <v>21761.140646822296</v>
      </c>
      <c r="DI31" s="23">
        <f t="shared" si="45"/>
        <v>21869.946350056405</v>
      </c>
      <c r="DJ31" s="23">
        <f t="shared" si="45"/>
        <v>21979.296081806686</v>
      </c>
      <c r="DK31" s="23">
        <f t="shared" si="45"/>
        <v>22089.192562215718</v>
      </c>
      <c r="DL31" s="23">
        <f t="shared" si="45"/>
        <v>22199.638525026792</v>
      </c>
      <c r="DM31" s="23">
        <f t="shared" si="45"/>
        <v>22310.636717651923</v>
      </c>
      <c r="DN31" s="23">
        <f t="shared" si="45"/>
        <v>22422.189901240181</v>
      </c>
      <c r="DO31" s="23">
        <f t="shared" si="45"/>
        <v>22534.300850746378</v>
      </c>
      <c r="DP31" s="23">
        <f t="shared" si="45"/>
        <v>22646.972355000107</v>
      </c>
      <c r="DQ31" s="23">
        <f t="shared" ref="DQ31" si="46">DP31*($F$2+1)</f>
        <v>22760.207216775107</v>
      </c>
      <c r="DR31" s="23">
        <f t="shared" ref="DR31" si="47">DQ31*($F$2+1)</f>
        <v>22874.008252858981</v>
      </c>
      <c r="DS31" s="23">
        <f t="shared" ref="DS31" si="48">DR31*($F$2+1)</f>
        <v>22988.378294123275</v>
      </c>
      <c r="DT31" s="23">
        <f t="shared" ref="DT31" si="49">DS31*($F$2+1)</f>
        <v>23103.32018559389</v>
      </c>
      <c r="DU31" s="23">
        <f t="shared" ref="DU31" si="50">DT31*($F$2+1)</f>
        <v>23218.836786521857</v>
      </c>
      <c r="DV31" s="23">
        <f t="shared" ref="DV31" si="51">DU31*($F$2+1)</f>
        <v>23334.930970454465</v>
      </c>
      <c r="DW31" s="23">
        <f t="shared" ref="DW31" si="52">DV31*($F$2+1)</f>
        <v>23451.605625306736</v>
      </c>
      <c r="DX31" s="23">
        <f t="shared" ref="DX31" si="53">DW31*($F$2+1)</f>
        <v>23568.863653433269</v>
      </c>
      <c r="DY31" s="23">
        <f t="shared" ref="DY31" si="54">DX31*($F$2+1)</f>
        <v>23686.707971700434</v>
      </c>
      <c r="DZ31" s="23">
        <f t="shared" ref="DZ31" si="55">DY31*($F$2+1)</f>
        <v>23805.141511558933</v>
      </c>
      <c r="EA31" s="23">
        <f t="shared" ref="EA31" si="56">DZ31*($F$2+1)</f>
        <v>23924.167219116727</v>
      </c>
      <c r="EB31" s="23">
        <f t="shared" ref="EB31" si="57">EA31*($F$2+1)</f>
        <v>24043.78805521231</v>
      </c>
      <c r="EC31" s="23">
        <f t="shared" ref="EC31" si="58">EB31*($F$2+1)</f>
        <v>24164.006995488369</v>
      </c>
      <c r="ED31" s="23">
        <f t="shared" ref="ED31" si="59">EC31*($F$2+1)</f>
        <v>24284.827030465807</v>
      </c>
      <c r="EE31" s="23">
        <f t="shared" ref="EE31" si="60">ED31*($F$2+1)</f>
        <v>24406.251165618134</v>
      </c>
      <c r="EF31" s="23">
        <f t="shared" ref="EF31" si="61">EE31*($F$2+1)</f>
        <v>24528.282421446223</v>
      </c>
      <c r="EG31" s="23">
        <f t="shared" ref="EG31" si="62">EF31*($F$2+1)</f>
        <v>24650.923833553454</v>
      </c>
      <c r="EH31" s="23">
        <f t="shared" ref="EH31" si="63">EG31*($F$2+1)</f>
        <v>24774.178452721218</v>
      </c>
      <c r="EI31" s="23">
        <f t="shared" ref="EI31" si="64">EH31*($F$2+1)</f>
        <v>24898.049344984822</v>
      </c>
      <c r="EJ31" s="23">
        <f t="shared" ref="EJ31" si="65">EI31*($F$2+1)</f>
        <v>25022.539591709745</v>
      </c>
      <c r="EK31" s="23">
        <f t="shared" ref="EK31" si="66">EJ31*($F$2+1)</f>
        <v>25147.652289668291</v>
      </c>
      <c r="EL31" s="23">
        <f t="shared" ref="EL31" si="67">EK31*($F$2+1)</f>
        <v>25273.39055111663</v>
      </c>
      <c r="EM31" s="23">
        <f t="shared" ref="EM31" si="68">EL31*($F$2+1)</f>
        <v>25399.75750387221</v>
      </c>
      <c r="EN31" s="23">
        <f t="shared" ref="EN31" si="69">EM31*($F$2+1)</f>
        <v>25526.756291391568</v>
      </c>
      <c r="EO31" s="23">
        <f t="shared" ref="EO31" si="70">EN31*($F$2+1)</f>
        <v>25654.390072848524</v>
      </c>
      <c r="EP31" s="23">
        <f t="shared" ref="EP31" si="71">EO31*($F$2+1)</f>
        <v>25782.662023212764</v>
      </c>
      <c r="EQ31" s="23">
        <f t="shared" ref="EQ31" si="72">EP31*($F$2+1)</f>
        <v>25911.575333328827</v>
      </c>
      <c r="ER31" s="23">
        <f t="shared" ref="ER31" si="73">EQ31*($F$2+1)</f>
        <v>26041.133209995467</v>
      </c>
      <c r="ES31" s="23">
        <f t="shared" ref="ES31" si="74">ER31*($F$2+1)</f>
        <v>26171.33887604544</v>
      </c>
      <c r="ET31" s="23">
        <f t="shared" ref="ET31" si="75">ES31*($F$2+1)</f>
        <v>26302.195570425665</v>
      </c>
      <c r="EU31" s="23">
        <f t="shared" ref="EU31" si="76">ET31*($F$2+1)</f>
        <v>26433.706548277791</v>
      </c>
      <c r="EV31" s="23">
        <f t="shared" ref="EV31" si="77">EU31*($F$2+1)</f>
        <v>26565.875081019178</v>
      </c>
      <c r="EW31" s="23">
        <f t="shared" ref="EW31" si="78">EV31*($F$2+1)</f>
        <v>26698.704456424271</v>
      </c>
      <c r="EX31" s="23">
        <f t="shared" ref="EX31" si="79">EW31*($F$2+1)</f>
        <v>26832.19797870639</v>
      </c>
      <c r="EY31" s="23">
        <f t="shared" ref="EY31" si="80">EX31*($F$2+1)</f>
        <v>26966.358968599918</v>
      </c>
      <c r="EZ31" s="23">
        <f t="shared" ref="EZ31" si="81">EY31*($F$2+1)</f>
        <v>27101.190763442915</v>
      </c>
      <c r="FA31" s="23">
        <f t="shared" ref="FA31" si="82">EZ31*($F$2+1)</f>
        <v>27236.696717260125</v>
      </c>
      <c r="FB31" s="23">
        <f t="shared" ref="FB31" si="83">FA31*($F$2+1)</f>
        <v>27372.880200846423</v>
      </c>
      <c r="FC31" s="23">
        <f t="shared" ref="FC31" si="84">FB31*($F$2+1)</f>
        <v>27509.744601850653</v>
      </c>
      <c r="FD31" s="23">
        <f t="shared" ref="FD31" si="85">FC31*($F$2+1)</f>
        <v>27647.293324859904</v>
      </c>
      <c r="FE31" s="23">
        <f t="shared" ref="FE31" si="86">FD31*($F$2+1)</f>
        <v>27785.529791484201</v>
      </c>
      <c r="FF31" s="23">
        <f t="shared" ref="FF31" si="87">FE31*($F$2+1)</f>
        <v>27924.45744044162</v>
      </c>
      <c r="FG31" s="23">
        <f t="shared" ref="FG31" si="88">FF31*($F$2+1)</f>
        <v>28064.079727643824</v>
      </c>
      <c r="FH31" s="23">
        <f t="shared" ref="FH31" si="89">FG31*($F$2+1)</f>
        <v>28204.400126282042</v>
      </c>
      <c r="FI31" s="23">
        <f t="shared" ref="FI31" si="90">FH31*($F$2+1)</f>
        <v>28345.42212691345</v>
      </c>
      <c r="FJ31" s="23">
        <f t="shared" ref="FJ31" si="91">FI31*($F$2+1)</f>
        <v>28487.149237548016</v>
      </c>
      <c r="FK31" s="23">
        <f t="shared" ref="FK31" si="92">FJ31*($F$2+1)</f>
        <v>28629.584983735753</v>
      </c>
      <c r="FL31" s="23">
        <f t="shared" ref="FL31" si="93">FK31*($F$2+1)</f>
        <v>28772.732908654427</v>
      </c>
      <c r="FM31" s="23">
        <f t="shared" ref="FM31" si="94">FL31*($F$2+1)</f>
        <v>28916.596573197698</v>
      </c>
      <c r="FN31" s="23">
        <f t="shared" ref="FN31" si="95">FM31*($F$2+1)</f>
        <v>29061.179556063682</v>
      </c>
      <c r="FO31" s="23">
        <f t="shared" ref="FO31" si="96">FN31*($F$2+1)</f>
        <v>29206.485453843998</v>
      </c>
      <c r="FP31" s="23">
        <f t="shared" ref="FP31" si="97">FO31*($F$2+1)</f>
        <v>29352.517881113214</v>
      </c>
      <c r="FQ31" s="23">
        <f t="shared" ref="FQ31" si="98">FP31*($F$2+1)</f>
        <v>29499.280470518777</v>
      </c>
      <c r="FR31" s="23">
        <f t="shared" ref="FR31" si="99">FQ31*($F$2+1)</f>
        <v>29646.776872871367</v>
      </c>
      <c r="FS31" s="23">
        <f t="shared" ref="FS31" si="100">FR31*($F$2+1)</f>
        <v>29795.010757235719</v>
      </c>
      <c r="FT31" s="23">
        <f t="shared" ref="FT31" si="101">FS31*($F$2+1)</f>
        <v>29943.985811021896</v>
      </c>
      <c r="FU31" s="23">
        <f t="shared" ref="FU31" si="102">FT31*($F$2+1)</f>
        <v>30093.705740077003</v>
      </c>
      <c r="FV31" s="23">
        <f t="shared" ref="FV31" si="103">FU31*($F$2+1)</f>
        <v>30244.174268777384</v>
      </c>
      <c r="FW31" s="23">
        <f t="shared" ref="FW31" si="104">FV31*($F$2+1)</f>
        <v>30395.395140121269</v>
      </c>
      <c r="FX31" s="23">
        <f t="shared" ref="FX31" si="105">FW31*($F$2+1)</f>
        <v>30547.372115821872</v>
      </c>
      <c r="FY31" s="23">
        <f t="shared" ref="FY31" si="106">FX31*($F$2+1)</f>
        <v>30700.108976400978</v>
      </c>
      <c r="FZ31" s="23">
        <f t="shared" ref="FZ31" si="107">FY31*($F$2+1)</f>
        <v>30853.609521282979</v>
      </c>
      <c r="GA31" s="23">
        <f t="shared" ref="GA31" si="108">FZ31*($F$2+1)</f>
        <v>31007.877568889391</v>
      </c>
      <c r="GB31" s="23">
        <f t="shared" ref="GB31" si="109">GA31*($F$2+1)</f>
        <v>31162.916956733836</v>
      </c>
      <c r="GC31" s="23">
        <f t="shared" ref="GC31" si="110">GB31*($F$2+1)</f>
        <v>31318.731541517504</v>
      </c>
      <c r="GD31" s="23">
        <f t="shared" ref="GD31" si="111">GC31*($F$2+1)</f>
        <v>31475.325199225088</v>
      </c>
      <c r="GE31" s="23">
        <f t="shared" ref="GE31" si="112">GD31*($F$2+1)</f>
        <v>31632.701825221211</v>
      </c>
      <c r="GF31" s="23">
        <f t="shared" ref="GF31" si="113">GE31*($F$2+1)</f>
        <v>31790.865334347312</v>
      </c>
      <c r="GG31" s="23">
        <f t="shared" ref="GG31" si="114">GF31*($F$2+1)</f>
        <v>31949.819661019046</v>
      </c>
      <c r="GH31" s="23">
        <f t="shared" ref="GH31" si="115">GG31*($F$2+1)</f>
        <v>32109.568759324138</v>
      </c>
      <c r="GI31" s="23">
        <f t="shared" ref="GI31" si="116">GH31*($F$2+1)</f>
        <v>32270.116603120754</v>
      </c>
      <c r="GJ31" s="23">
        <f t="shared" ref="GJ31" si="117">GI31*($F$2+1)</f>
        <v>32431.467186136353</v>
      </c>
      <c r="GK31" s="23">
        <f t="shared" ref="GK31" si="118">GJ31*($F$2+1)</f>
        <v>32593.624522067032</v>
      </c>
      <c r="GL31" s="23">
        <f t="shared" ref="GL31" si="119">GK31*($F$2+1)</f>
        <v>32756.592644677363</v>
      </c>
      <c r="GM31" s="23">
        <f t="shared" ref="GM31" si="120">GL31*($F$2+1)</f>
        <v>32920.375607900743</v>
      </c>
      <c r="GN31" s="23">
        <f t="shared" ref="GN31" si="121">GM31*($F$2+1)</f>
        <v>33084.977485940246</v>
      </c>
      <c r="GO31" s="23">
        <f t="shared" ref="GO31" si="122">GN31*($F$2+1)</f>
        <v>33250.402373369943</v>
      </c>
      <c r="GP31" s="23">
        <f t="shared" ref="GP31" si="123">GO31*($F$2+1)</f>
        <v>33416.65438523679</v>
      </c>
      <c r="GQ31" s="23">
        <f t="shared" ref="GQ31" si="124">GP31*($F$2+1)</f>
        <v>33583.737657162972</v>
      </c>
      <c r="GR31" s="23">
        <f t="shared" ref="GR31" si="125">GQ31*($F$2+1)</f>
        <v>33751.656345448784</v>
      </c>
      <c r="GS31" s="23">
        <f t="shared" ref="GS31" si="126">GR31*($F$2+1)</f>
        <v>33920.414627176026</v>
      </c>
      <c r="GT31" s="23">
        <f t="shared" ref="GT31" si="127">GS31*($F$2+1)</f>
        <v>34090.016700311899</v>
      </c>
      <c r="GU31" s="23">
        <f t="shared" ref="GU31" si="128">GT31*($F$2+1)</f>
        <v>34260.466783813456</v>
      </c>
      <c r="GV31" s="23">
        <f t="shared" ref="GV31" si="129">GU31*($F$2+1)</f>
        <v>34431.769117732518</v>
      </c>
      <c r="GW31" s="23">
        <f t="shared" ref="GW31" si="130">GV31*($F$2+1)</f>
        <v>34603.927963321177</v>
      </c>
      <c r="GX31" s="23">
        <f t="shared" ref="GX31" si="131">GW31*($F$2+1)</f>
        <v>34776.947603137778</v>
      </c>
      <c r="GY31" s="23">
        <f t="shared" ref="GY31" si="132">GX31*($F$2+1)</f>
        <v>34950.832341153466</v>
      </c>
      <c r="GZ31" s="23">
        <f t="shared" ref="GZ31" si="133">GY31*($F$2+1)</f>
        <v>35125.586502859231</v>
      </c>
      <c r="HA31" s="23">
        <f t="shared" ref="HA31" si="134">GZ31*($F$2+1)</f>
        <v>35301.21443537352</v>
      </c>
      <c r="HB31" s="23">
        <f t="shared" ref="HB31" si="135">HA31*($F$2+1)</f>
        <v>35477.720507550381</v>
      </c>
      <c r="HC31" s="23">
        <f t="shared" ref="HC31" si="136">HB31*($F$2+1)</f>
        <v>35655.109110088131</v>
      </c>
      <c r="HD31" s="23">
        <f t="shared" ref="HD31" si="137">HC31*($F$2+1)</f>
        <v>35833.384655638569</v>
      </c>
      <c r="HE31" s="23">
        <f t="shared" ref="HE31" si="138">HD31*($F$2+1)</f>
        <v>36012.551578916755</v>
      </c>
      <c r="HF31" s="23">
        <f t="shared" ref="HF31" si="139">HE31*($F$2+1)</f>
        <v>36192.614336811333</v>
      </c>
      <c r="HG31" s="23">
        <f t="shared" ref="HG31" si="140">HF31*($F$2+1)</f>
        <v>36373.577408495388</v>
      </c>
      <c r="HH31" s="23">
        <f t="shared" ref="HH31" si="141">HG31*($F$2+1)</f>
        <v>36555.445295537858</v>
      </c>
      <c r="HI31" s="23">
        <f t="shared" ref="HI31" si="142">HH31*($F$2+1)</f>
        <v>36738.222522015545</v>
      </c>
      <c r="HJ31" s="23">
        <f t="shared" ref="HJ31" si="143">HI31*($F$2+1)</f>
        <v>36921.91363462562</v>
      </c>
      <c r="HK31" s="23">
        <f t="shared" ref="HK31" si="144">HJ31*($F$2+1)</f>
        <v>37106.523202798744</v>
      </c>
      <c r="HL31" s="23">
        <f t="shared" ref="HL31" si="145">HK31*($F$2+1)</f>
        <v>37292.055818812732</v>
      </c>
      <c r="HM31" s="23">
        <f t="shared" ref="HM31" si="146">HL31*($F$2+1)</f>
        <v>37478.516097906795</v>
      </c>
      <c r="HN31" s="23">
        <f t="shared" ref="HN31" si="147">HM31*($F$2+1)</f>
        <v>37665.908678396328</v>
      </c>
      <c r="HO31" s="23">
        <f t="shared" ref="HO31" si="148">HN31*($F$2+1)</f>
        <v>37854.238221788306</v>
      </c>
      <c r="HP31" s="23">
        <f t="shared" ref="HP31" si="149">HO31*($F$2+1)</f>
        <v>38043.509412897241</v>
      </c>
      <c r="HQ31" s="23">
        <f t="shared" ref="HQ31" si="150">HP31*($F$2+1)</f>
        <v>38233.726959961721</v>
      </c>
      <c r="HR31" s="23">
        <f t="shared" ref="HR31" si="151">HQ31*($F$2+1)</f>
        <v>38424.895594761525</v>
      </c>
      <c r="HS31" s="23">
        <f t="shared" ref="HS31" si="152">HR31*($F$2+1)</f>
        <v>38617.020072735329</v>
      </c>
      <c r="HT31" s="23">
        <f t="shared" ref="HT31" si="153">HS31*($F$2+1)</f>
        <v>38810.105173099</v>
      </c>
      <c r="HU31" s="23">
        <f t="shared" ref="HU31" si="154">HT31*($F$2+1)</f>
        <v>39004.155698964489</v>
      </c>
      <c r="HV31" s="23">
        <f t="shared" ref="HV31" si="155">HU31*($F$2+1)</f>
        <v>39199.17647745931</v>
      </c>
      <c r="HW31" s="23">
        <f t="shared" ref="HW31" si="156">HV31*($F$2+1)</f>
        <v>39395.172359846605</v>
      </c>
      <c r="HX31" s="23">
        <f t="shared" ref="HX31" si="157">HW31*($F$2+1)</f>
        <v>39592.148221645832</v>
      </c>
      <c r="HY31" s="23">
        <f t="shared" ref="HY31" si="158">HX31*($F$2+1)</f>
        <v>39790.108962754057</v>
      </c>
      <c r="HZ31" s="23">
        <f t="shared" ref="HZ31" si="159">HY31*($F$2+1)</f>
        <v>39989.059507567821</v>
      </c>
      <c r="IA31" s="23">
        <f t="shared" ref="IA31" si="160">HZ31*($F$2+1)</f>
        <v>40189.004805105658</v>
      </c>
      <c r="IB31" s="23">
        <f t="shared" ref="IB31" si="161">IA31*($F$2+1)</f>
        <v>40389.949829131183</v>
      </c>
      <c r="IC31" s="23">
        <f t="shared" ref="IC31" si="162">IB31*($F$2+1)</f>
        <v>40591.899578276832</v>
      </c>
      <c r="ID31" s="23">
        <f t="shared" ref="ID31" si="163">IC31*($F$2+1)</f>
        <v>40794.859076168214</v>
      </c>
      <c r="IE31" s="23">
        <f t="shared" ref="IE31" si="164">ID31*($F$2+1)</f>
        <v>40998.833371549052</v>
      </c>
      <c r="IF31" s="23">
        <f t="shared" ref="IF31" si="165">IE31*($F$2+1)</f>
        <v>41203.827538406789</v>
      </c>
      <c r="IG31" s="23">
        <f t="shared" ref="IG31" si="166">IF31*($F$2+1)</f>
        <v>41409.846676098816</v>
      </c>
      <c r="IH31" s="23">
        <f t="shared" ref="IH31" si="167">IG31*($F$2+1)</f>
        <v>41616.895909479303</v>
      </c>
      <c r="II31" s="23">
        <f t="shared" ref="II31" si="168">IH31*($F$2+1)</f>
        <v>41824.980389026692</v>
      </c>
    </row>
    <row r="32" spans="1:243" x14ac:dyDescent="0.15">
      <c r="A32" s="1" t="s">
        <v>16</v>
      </c>
      <c r="B32" s="24">
        <f>B31/B33</f>
        <v>-0.16153846153846155</v>
      </c>
      <c r="C32" s="24">
        <f>C31/C33</f>
        <v>-8.6956521739130432E-2</v>
      </c>
      <c r="D32" s="24">
        <f>D31/D33</f>
        <v>0.76604572780050717</v>
      </c>
      <c r="E32" s="19">
        <f t="shared" ref="E32:F32" si="169">E31/E33</f>
        <v>1.5903905776757616</v>
      </c>
      <c r="F32" s="19">
        <f t="shared" si="169"/>
        <v>2.2969204688036342</v>
      </c>
      <c r="G32" s="19">
        <f t="shared" ref="G32:O32" si="170">G31/G33</f>
        <v>3.4379786612392595</v>
      </c>
      <c r="H32" s="19">
        <f t="shared" si="170"/>
        <v>5.2615700323434709</v>
      </c>
      <c r="I32" s="19">
        <f t="shared" si="170"/>
        <v>8.1481301708287006</v>
      </c>
      <c r="J32" s="19">
        <f t="shared" si="170"/>
        <v>9.4833749179452766</v>
      </c>
      <c r="K32" s="19">
        <f t="shared" si="170"/>
        <v>11.069603967077464</v>
      </c>
      <c r="L32" s="19">
        <f t="shared" si="170"/>
        <v>12.826190763731267</v>
      </c>
      <c r="M32" s="19">
        <f t="shared" si="170"/>
        <v>14.770576937300183</v>
      </c>
      <c r="N32" s="19">
        <f t="shared" si="170"/>
        <v>16.921955535920375</v>
      </c>
      <c r="O32" s="19">
        <f t="shared" si="170"/>
        <v>19.301446374238608</v>
      </c>
      <c r="P32" s="19">
        <f t="shared" ref="P32:R32" si="171">P31/P33</f>
        <v>21.932288919599511</v>
      </c>
      <c r="Q32" s="19">
        <f t="shared" si="171"/>
        <v>24.840054470589354</v>
      </c>
      <c r="R32" s="19">
        <f t="shared" si="171"/>
        <v>28.052879557268358</v>
      </c>
      <c r="S32" s="19"/>
      <c r="T32" s="19"/>
    </row>
    <row r="33" spans="1:20" x14ac:dyDescent="0.15">
      <c r="A33" s="1" t="s">
        <v>17</v>
      </c>
      <c r="B33" s="5">
        <f>Reports!E24</f>
        <v>390</v>
      </c>
      <c r="C33" s="5">
        <f>Reports!I24</f>
        <v>414</v>
      </c>
      <c r="D33" s="5">
        <f>Reports!M24</f>
        <v>485.39400000000001</v>
      </c>
      <c r="E33" s="5">
        <f>D33</f>
        <v>485.39400000000001</v>
      </c>
      <c r="F33" s="5">
        <f t="shared" ref="F33" si="172">E33</f>
        <v>485.39400000000001</v>
      </c>
      <c r="G33" s="5">
        <f t="shared" ref="G33" si="173">F33</f>
        <v>485.39400000000001</v>
      </c>
      <c r="H33" s="5">
        <f t="shared" ref="H33" si="174">G33</f>
        <v>485.39400000000001</v>
      </c>
      <c r="I33" s="5">
        <f t="shared" ref="I33" si="175">H33</f>
        <v>485.39400000000001</v>
      </c>
      <c r="J33" s="5">
        <f t="shared" ref="J33" si="176">I33</f>
        <v>485.39400000000001</v>
      </c>
      <c r="K33" s="5">
        <f t="shared" ref="K33" si="177">J33</f>
        <v>485.39400000000001</v>
      </c>
      <c r="L33" s="5">
        <f t="shared" ref="L33" si="178">K33</f>
        <v>485.39400000000001</v>
      </c>
      <c r="M33" s="5">
        <f t="shared" ref="M33" si="179">L33</f>
        <v>485.39400000000001</v>
      </c>
      <c r="N33" s="5">
        <f t="shared" ref="N33" si="180">M33</f>
        <v>485.39400000000001</v>
      </c>
      <c r="O33" s="5">
        <f t="shared" ref="O33:R33" si="181">N33</f>
        <v>485.39400000000001</v>
      </c>
      <c r="P33" s="5">
        <f t="shared" si="181"/>
        <v>485.39400000000001</v>
      </c>
      <c r="Q33" s="5">
        <f t="shared" si="181"/>
        <v>485.39400000000001</v>
      </c>
      <c r="R33" s="5">
        <f t="shared" si="181"/>
        <v>485.39400000000001</v>
      </c>
      <c r="S33" s="5"/>
      <c r="T33" s="5"/>
    </row>
    <row r="34" spans="1:20" x14ac:dyDescent="0.1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15">
      <c r="A35" s="1" t="s">
        <v>19</v>
      </c>
      <c r="B35" s="22">
        <f t="shared" ref="B35:O35" si="182">IFERROR(B22/B20,0)</f>
        <v>0.37867148666967915</v>
      </c>
      <c r="C35" s="22">
        <f t="shared" si="182"/>
        <v>0.39532766990291263</v>
      </c>
      <c r="D35" s="22">
        <f t="shared" si="182"/>
        <v>0.40115752146093647</v>
      </c>
      <c r="E35" s="22">
        <f t="shared" si="182"/>
        <v>0.40115752146093647</v>
      </c>
      <c r="F35" s="22">
        <f t="shared" si="182"/>
        <v>0.40115752146093647</v>
      </c>
      <c r="G35" s="22">
        <f t="shared" si="182"/>
        <v>0.40115752146093647</v>
      </c>
      <c r="H35" s="22">
        <f t="shared" si="182"/>
        <v>0.40115752146093647</v>
      </c>
      <c r="I35" s="22">
        <f t="shared" si="182"/>
        <v>0.40115752146093642</v>
      </c>
      <c r="J35" s="22">
        <f t="shared" si="182"/>
        <v>0.40115752146093642</v>
      </c>
      <c r="K35" s="22">
        <f t="shared" si="182"/>
        <v>0.40115752146093642</v>
      </c>
      <c r="L35" s="22">
        <f t="shared" si="182"/>
        <v>0.40115752146093642</v>
      </c>
      <c r="M35" s="22">
        <f t="shared" si="182"/>
        <v>0.40115752146093642</v>
      </c>
      <c r="N35" s="22">
        <f t="shared" si="182"/>
        <v>0.40115752146093642</v>
      </c>
      <c r="O35" s="22">
        <f t="shared" si="182"/>
        <v>0.40115752146093642</v>
      </c>
      <c r="P35" s="22">
        <f t="shared" ref="P35:R35" si="183">IFERROR(P22/P20,0)</f>
        <v>0.40115752146093642</v>
      </c>
      <c r="Q35" s="22">
        <f t="shared" si="183"/>
        <v>0.40115752146093642</v>
      </c>
      <c r="R35" s="22">
        <f t="shared" si="183"/>
        <v>0.40115752146093642</v>
      </c>
      <c r="S35" s="22"/>
      <c r="T35" s="22"/>
    </row>
    <row r="36" spans="1:20" x14ac:dyDescent="0.15">
      <c r="A36" s="1" t="s">
        <v>20</v>
      </c>
      <c r="B36" s="21">
        <f t="shared" ref="B36:O36" si="184">IFERROR(B27/B20,0)</f>
        <v>-2.5305015815634886E-2</v>
      </c>
      <c r="C36" s="21">
        <f t="shared" si="184"/>
        <v>-1.0922330097087379E-2</v>
      </c>
      <c r="D36" s="21">
        <f t="shared" si="184"/>
        <v>5.9036266983742607E-3</v>
      </c>
      <c r="E36" s="21">
        <f t="shared" si="184"/>
        <v>0.11248030324559403</v>
      </c>
      <c r="F36" s="21">
        <f t="shared" si="184"/>
        <v>0.12618153292446502</v>
      </c>
      <c r="G36" s="21">
        <f t="shared" si="184"/>
        <v>0.14411687567837733</v>
      </c>
      <c r="H36" s="21">
        <f t="shared" si="184"/>
        <v>0.16524397780801084</v>
      </c>
      <c r="I36" s="21">
        <f t="shared" si="184"/>
        <v>0.18831947437089927</v>
      </c>
      <c r="J36" s="21">
        <f t="shared" si="184"/>
        <v>0.19715219340217513</v>
      </c>
      <c r="K36" s="21">
        <f t="shared" si="184"/>
        <v>0.20732322172803883</v>
      </c>
      <c r="L36" s="21">
        <f t="shared" si="184"/>
        <v>0.21658557455450969</v>
      </c>
      <c r="M36" s="21">
        <f t="shared" si="184"/>
        <v>0.22502376984682601</v>
      </c>
      <c r="N36" s="21">
        <f t="shared" si="184"/>
        <v>0.23271416799373132</v>
      </c>
      <c r="O36" s="21">
        <f t="shared" si="184"/>
        <v>0.23972578444744408</v>
      </c>
      <c r="P36" s="21">
        <f t="shared" ref="P36:R36" si="185">IFERROR(P27/P20,0)</f>
        <v>0.24612101933217251</v>
      </c>
      <c r="Q36" s="21">
        <f t="shared" si="185"/>
        <v>0.2519563126704133</v>
      </c>
      <c r="R36" s="21">
        <f t="shared" si="185"/>
        <v>0.25728273296244236</v>
      </c>
      <c r="S36" s="21"/>
      <c r="T36" s="21"/>
    </row>
    <row r="37" spans="1:20" x14ac:dyDescent="0.15">
      <c r="A37" s="1" t="s">
        <v>21</v>
      </c>
      <c r="B37" s="21">
        <f t="shared" ref="B37:O37" si="186">IFERROR(B30/B29,0)</f>
        <v>1.5625E-2</v>
      </c>
      <c r="C37" s="21">
        <f t="shared" si="186"/>
        <v>-5.8823529411764705E-2</v>
      </c>
      <c r="D37" s="21">
        <f t="shared" si="186"/>
        <v>1.0642996642134576E-2</v>
      </c>
      <c r="E37" s="21">
        <f t="shared" si="186"/>
        <v>0.15</v>
      </c>
      <c r="F37" s="21">
        <f t="shared" si="186"/>
        <v>0.15</v>
      </c>
      <c r="G37" s="21">
        <f t="shared" si="186"/>
        <v>0.15</v>
      </c>
      <c r="H37" s="21">
        <f t="shared" si="186"/>
        <v>0.15</v>
      </c>
      <c r="I37" s="21">
        <f t="shared" si="186"/>
        <v>0.15</v>
      </c>
      <c r="J37" s="21">
        <f t="shared" si="186"/>
        <v>0.15</v>
      </c>
      <c r="K37" s="21">
        <f t="shared" si="186"/>
        <v>0.15</v>
      </c>
      <c r="L37" s="21">
        <f t="shared" si="186"/>
        <v>0.15</v>
      </c>
      <c r="M37" s="21">
        <f t="shared" si="186"/>
        <v>0.15</v>
      </c>
      <c r="N37" s="21">
        <f t="shared" si="186"/>
        <v>0.15</v>
      </c>
      <c r="O37" s="21">
        <f t="shared" si="186"/>
        <v>0.15</v>
      </c>
      <c r="P37" s="21">
        <f t="shared" ref="P37:R37" si="187">IFERROR(P30/P29,0)</f>
        <v>0.15</v>
      </c>
      <c r="Q37" s="21">
        <f t="shared" si="187"/>
        <v>0.15</v>
      </c>
      <c r="R37" s="21">
        <f t="shared" si="187"/>
        <v>0.15</v>
      </c>
      <c r="S37" s="21"/>
      <c r="T37" s="21"/>
    </row>
    <row r="38" spans="1:20" x14ac:dyDescent="0.1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15">
      <c r="A39" s="16" t="s">
        <v>18</v>
      </c>
      <c r="B39" s="20"/>
      <c r="C39" s="20">
        <f>C20/B20-1</f>
        <v>0.48938093086308188</v>
      </c>
      <c r="D39" s="20">
        <f t="shared" ref="D39:R39" si="188">D20/C20-1</f>
        <v>0.43043962378640765</v>
      </c>
      <c r="E39" s="20">
        <f>E20/D20-1</f>
        <v>0.66968079183342266</v>
      </c>
      <c r="F39" s="20">
        <f>F20/E20-1</f>
        <v>0.28205465974932764</v>
      </c>
      <c r="G39" s="20">
        <f t="shared" si="188"/>
        <v>0.30821292214152374</v>
      </c>
      <c r="H39" s="20">
        <f t="shared" si="188"/>
        <v>0.33416012202275702</v>
      </c>
      <c r="I39" s="20">
        <f t="shared" si="188"/>
        <v>0.3589783263107198</v>
      </c>
      <c r="J39" s="20">
        <f t="shared" si="188"/>
        <v>0.10000000000000009</v>
      </c>
      <c r="K39" s="20">
        <f t="shared" si="188"/>
        <v>0.10000000000000009</v>
      </c>
      <c r="L39" s="20">
        <f t="shared" si="188"/>
        <v>0.10000000000000009</v>
      </c>
      <c r="M39" s="20">
        <f t="shared" si="188"/>
        <v>0.10000000000000009</v>
      </c>
      <c r="N39" s="20">
        <f t="shared" si="188"/>
        <v>0.10000000000000009</v>
      </c>
      <c r="O39" s="20">
        <f t="shared" si="188"/>
        <v>0.10000000000000009</v>
      </c>
      <c r="P39" s="20">
        <f t="shared" si="188"/>
        <v>0.10000000000000009</v>
      </c>
      <c r="Q39" s="20">
        <f t="shared" si="188"/>
        <v>0.10000000000000009</v>
      </c>
      <c r="R39" s="20">
        <f t="shared" si="188"/>
        <v>0.10000000000000009</v>
      </c>
      <c r="S39" s="20"/>
      <c r="T39" s="20"/>
    </row>
    <row r="40" spans="1:20" x14ac:dyDescent="0.15">
      <c r="A40" s="1" t="s">
        <v>43</v>
      </c>
      <c r="B40" s="21"/>
      <c r="C40" s="21">
        <f t="shared" ref="C40:R40" si="189">C23/B23-1</f>
        <v>0.54179566563467496</v>
      </c>
      <c r="D40" s="21">
        <f t="shared" si="189"/>
        <v>0.34595180722891561</v>
      </c>
      <c r="E40" s="21">
        <f t="shared" si="189"/>
        <v>0.25</v>
      </c>
      <c r="F40" s="21">
        <f t="shared" si="189"/>
        <v>0.24999999999999978</v>
      </c>
      <c r="G40" s="21">
        <f t="shared" si="189"/>
        <v>0.25</v>
      </c>
      <c r="H40" s="21">
        <f t="shared" si="189"/>
        <v>0.25</v>
      </c>
      <c r="I40" s="21">
        <f t="shared" si="189"/>
        <v>0.25</v>
      </c>
      <c r="J40" s="21">
        <f t="shared" si="189"/>
        <v>0.10000000000000009</v>
      </c>
      <c r="K40" s="21">
        <f t="shared" si="189"/>
        <v>0.10000000000000009</v>
      </c>
      <c r="L40" s="21">
        <f t="shared" si="189"/>
        <v>0.10000000000000009</v>
      </c>
      <c r="M40" s="21">
        <f t="shared" si="189"/>
        <v>0.10000000000000009</v>
      </c>
      <c r="N40" s="21">
        <f t="shared" si="189"/>
        <v>0.10000000000000009</v>
      </c>
      <c r="O40" s="21">
        <f t="shared" si="189"/>
        <v>0.10000000000000009</v>
      </c>
      <c r="P40" s="21">
        <f t="shared" si="189"/>
        <v>0.10000000000000009</v>
      </c>
      <c r="Q40" s="21">
        <f t="shared" si="189"/>
        <v>0.10000000000000009</v>
      </c>
      <c r="R40" s="21">
        <f t="shared" si="189"/>
        <v>0.10000000000000009</v>
      </c>
      <c r="S40" s="21"/>
      <c r="T40" s="21"/>
    </row>
    <row r="41" spans="1:20" x14ac:dyDescent="0.15">
      <c r="A41" s="1" t="s">
        <v>44</v>
      </c>
      <c r="B41" s="21"/>
      <c r="C41" s="21">
        <f t="shared" ref="C41:R41" si="190">C24/B24-1</f>
        <v>0.61417322834645671</v>
      </c>
      <c r="D41" s="21">
        <f t="shared" si="190"/>
        <v>0.52251463414634136</v>
      </c>
      <c r="E41" s="21">
        <f t="shared" si="190"/>
        <v>0.25</v>
      </c>
      <c r="F41" s="21">
        <f t="shared" si="190"/>
        <v>0.25</v>
      </c>
      <c r="G41" s="21">
        <f t="shared" si="190"/>
        <v>0.25</v>
      </c>
      <c r="H41" s="21">
        <f t="shared" si="190"/>
        <v>0.25</v>
      </c>
      <c r="I41" s="21">
        <f t="shared" si="190"/>
        <v>0.25</v>
      </c>
      <c r="J41" s="21">
        <f t="shared" si="190"/>
        <v>5.0000000000000044E-2</v>
      </c>
      <c r="K41" s="21">
        <f t="shared" si="190"/>
        <v>2.0000000000000018E-2</v>
      </c>
      <c r="L41" s="21">
        <f t="shared" si="190"/>
        <v>2.0000000000000018E-2</v>
      </c>
      <c r="M41" s="21">
        <f t="shared" si="190"/>
        <v>2.0000000000000018E-2</v>
      </c>
      <c r="N41" s="21">
        <f t="shared" si="190"/>
        <v>2.0000000000000018E-2</v>
      </c>
      <c r="O41" s="21">
        <f t="shared" si="190"/>
        <v>2.0000000000000018E-2</v>
      </c>
      <c r="P41" s="21">
        <f t="shared" si="190"/>
        <v>2.0000000000000018E-2</v>
      </c>
      <c r="Q41" s="21">
        <f t="shared" si="190"/>
        <v>2.0000000000000018E-2</v>
      </c>
      <c r="R41" s="21">
        <f t="shared" si="190"/>
        <v>2.0000000000000018E-2</v>
      </c>
      <c r="S41" s="21"/>
      <c r="T41" s="21"/>
    </row>
    <row r="42" spans="1:20" x14ac:dyDescent="0.15">
      <c r="A42" s="1" t="s">
        <v>45</v>
      </c>
      <c r="B42" s="21"/>
      <c r="C42" s="21">
        <f t="shared" ref="C42:R42" si="191">C25/B25-1</f>
        <v>0.35962145110410093</v>
      </c>
      <c r="D42" s="21">
        <f t="shared" si="191"/>
        <v>0.32018561484918795</v>
      </c>
      <c r="E42" s="21">
        <f t="shared" si="191"/>
        <v>0.14999999999999991</v>
      </c>
      <c r="F42" s="21">
        <f t="shared" si="191"/>
        <v>0.14999999999999991</v>
      </c>
      <c r="G42" s="21">
        <f t="shared" si="191"/>
        <v>0.14999999999999991</v>
      </c>
      <c r="H42" s="21">
        <f t="shared" si="191"/>
        <v>0.14999999999999991</v>
      </c>
      <c r="I42" s="21">
        <f t="shared" si="191"/>
        <v>0.14999999999999991</v>
      </c>
      <c r="J42" s="21">
        <f t="shared" si="191"/>
        <v>-2.0000000000000129E-2</v>
      </c>
      <c r="K42" s="21">
        <f t="shared" si="191"/>
        <v>-1.9999999999999907E-2</v>
      </c>
      <c r="L42" s="21">
        <f t="shared" si="191"/>
        <v>-2.0000000000000018E-2</v>
      </c>
      <c r="M42" s="21">
        <f t="shared" si="191"/>
        <v>-2.0000000000000018E-2</v>
      </c>
      <c r="N42" s="21">
        <f t="shared" si="191"/>
        <v>-2.0000000000000018E-2</v>
      </c>
      <c r="O42" s="21">
        <f t="shared" si="191"/>
        <v>-2.0000000000000018E-2</v>
      </c>
      <c r="P42" s="21">
        <f t="shared" si="191"/>
        <v>-2.0000000000000018E-2</v>
      </c>
      <c r="Q42" s="21">
        <f t="shared" si="191"/>
        <v>-2.0000000000000018E-2</v>
      </c>
      <c r="R42" s="21">
        <f t="shared" si="191"/>
        <v>-1.9999999999999907E-2</v>
      </c>
      <c r="S42" s="21"/>
      <c r="T42" s="21"/>
    </row>
    <row r="43" spans="1:20" s="69" customFormat="1" x14ac:dyDescent="0.15">
      <c r="A43" s="69" t="s">
        <v>87</v>
      </c>
      <c r="B43" s="21"/>
      <c r="C43" s="21">
        <f>C26/B26-1</f>
        <v>0.49776286353467558</v>
      </c>
      <c r="D43" s="21">
        <f t="shared" ref="D43:R43" si="192">D26/C26-1</f>
        <v>0.39172143390589986</v>
      </c>
      <c r="E43" s="21">
        <f t="shared" si="192"/>
        <v>0.21946630426908276</v>
      </c>
      <c r="F43" s="21">
        <f t="shared" si="192"/>
        <v>0.22120564137965171</v>
      </c>
      <c r="G43" s="21">
        <f t="shared" si="192"/>
        <v>0.222884573006074</v>
      </c>
      <c r="H43" s="21">
        <f t="shared" si="192"/>
        <v>0.22450066692201198</v>
      </c>
      <c r="I43" s="21">
        <f t="shared" si="192"/>
        <v>0.22605208896014939</v>
      </c>
      <c r="J43" s="21">
        <f t="shared" si="192"/>
        <v>5.435030969677479E-2</v>
      </c>
      <c r="K43" s="21">
        <f t="shared" si="192"/>
        <v>4.5157652180400687E-2</v>
      </c>
      <c r="L43" s="21">
        <f t="shared" si="192"/>
        <v>4.7436608881102016E-2</v>
      </c>
      <c r="M43" s="21">
        <f t="shared" si="192"/>
        <v>4.9710587241875936E-2</v>
      </c>
      <c r="N43" s="21">
        <f t="shared" si="192"/>
        <v>5.1971510945105326E-2</v>
      </c>
      <c r="O43" s="21">
        <f t="shared" si="192"/>
        <v>5.4211442955001354E-2</v>
      </c>
      <c r="P43" s="21">
        <f t="shared" si="192"/>
        <v>5.6422705328300182E-2</v>
      </c>
      <c r="Q43" s="21">
        <f t="shared" si="192"/>
        <v>5.8597990899370567E-2</v>
      </c>
      <c r="R43" s="21">
        <f t="shared" si="192"/>
        <v>6.0730463454501615E-2</v>
      </c>
      <c r="S43" s="21"/>
      <c r="T43" s="21"/>
    </row>
    <row r="44" spans="1:20" x14ac:dyDescent="0.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15">
      <c r="A45" s="16" t="s">
        <v>25</v>
      </c>
      <c r="B45" s="3"/>
      <c r="C45" s="23">
        <f>C46-C47</f>
        <v>689</v>
      </c>
      <c r="D45" s="23">
        <f>D46-D47</f>
        <v>1137</v>
      </c>
      <c r="E45" s="18">
        <f>D45+E31</f>
        <v>1908.9660440603486</v>
      </c>
      <c r="F45" s="18">
        <f t="shared" ref="F45:R45" si="193">E45+F31</f>
        <v>3023.8774580948198</v>
      </c>
      <c r="G45" s="18">
        <f t="shared" si="193"/>
        <v>4692.6516723883888</v>
      </c>
      <c r="H45" s="18">
        <f t="shared" si="193"/>
        <v>7246.5861966677148</v>
      </c>
      <c r="I45" s="18">
        <f t="shared" si="193"/>
        <v>11201.639692806941</v>
      </c>
      <c r="J45" s="18">
        <f t="shared" si="193"/>
        <v>15804.81297772807</v>
      </c>
      <c r="K45" s="18">
        <f t="shared" si="193"/>
        <v>21177.932325723668</v>
      </c>
      <c r="L45" s="18">
        <f t="shared" si="193"/>
        <v>27403.688365294242</v>
      </c>
      <c r="M45" s="18">
        <f t="shared" si="193"/>
        <v>34573.23778719813</v>
      </c>
      <c r="N45" s="18">
        <f t="shared" si="193"/>
        <v>42787.053472600666</v>
      </c>
      <c r="O45" s="18">
        <f t="shared" si="193"/>
        <v>52155.859733977843</v>
      </c>
      <c r="P45" s="18">
        <f t="shared" si="193"/>
        <v>62801.66118181793</v>
      </c>
      <c r="Q45" s="18">
        <f t="shared" si="193"/>
        <v>74858.874581515178</v>
      </c>
      <c r="R45" s="18">
        <f t="shared" si="193"/>
        <v>88475.574001335888</v>
      </c>
      <c r="S45" s="18"/>
      <c r="T45" s="18"/>
    </row>
    <row r="46" spans="1:20" x14ac:dyDescent="0.15">
      <c r="A46" s="1" t="s">
        <v>26</v>
      </c>
      <c r="B46" s="3"/>
      <c r="C46" s="17">
        <f>Reports!I36</f>
        <v>1589</v>
      </c>
      <c r="D46" s="17">
        <f>Reports!M36</f>
        <v>2076</v>
      </c>
    </row>
    <row r="47" spans="1:20" x14ac:dyDescent="0.15">
      <c r="A47" s="1" t="s">
        <v>27</v>
      </c>
      <c r="B47" s="3"/>
      <c r="C47" s="17">
        <f>Reports!I37</f>
        <v>900</v>
      </c>
      <c r="D47" s="17">
        <f>Reports!M37</f>
        <v>939</v>
      </c>
    </row>
    <row r="48" spans="1:20" x14ac:dyDescent="0.15">
      <c r="B48" s="3"/>
    </row>
    <row r="49" spans="1:9" x14ac:dyDescent="0.15">
      <c r="A49" s="1" t="s">
        <v>56</v>
      </c>
      <c r="B49" s="3"/>
      <c r="C49" s="17">
        <f>Reports!I39</f>
        <v>339</v>
      </c>
      <c r="D49" s="17">
        <f>Reports!M39</f>
        <v>335</v>
      </c>
    </row>
    <row r="50" spans="1:9" x14ac:dyDescent="0.15">
      <c r="A50" s="1" t="s">
        <v>57</v>
      </c>
      <c r="B50" s="3"/>
      <c r="C50" s="17">
        <f>Reports!I40</f>
        <v>3281</v>
      </c>
      <c r="D50" s="17">
        <f>Reports!M40</f>
        <v>4551</v>
      </c>
    </row>
    <row r="51" spans="1:9" x14ac:dyDescent="0.15">
      <c r="A51" s="1" t="s">
        <v>58</v>
      </c>
      <c r="B51" s="3"/>
      <c r="C51" s="17">
        <f>Reports!I41</f>
        <v>2161</v>
      </c>
      <c r="D51" s="17">
        <f>Reports!M41</f>
        <v>2836</v>
      </c>
    </row>
    <row r="52" spans="1:9" x14ac:dyDescent="0.15">
      <c r="B52" s="3"/>
    </row>
    <row r="53" spans="1:9" x14ac:dyDescent="0.15">
      <c r="A53" s="1" t="s">
        <v>59</v>
      </c>
      <c r="B53" s="3"/>
      <c r="C53" s="26">
        <f>C50-C49-C46</f>
        <v>1353</v>
      </c>
      <c r="D53" s="26">
        <f>D50-D49-D46</f>
        <v>2140</v>
      </c>
    </row>
    <row r="54" spans="1:9" x14ac:dyDescent="0.15">
      <c r="A54" s="1" t="s">
        <v>60</v>
      </c>
      <c r="B54" s="3"/>
      <c r="C54" s="26">
        <f>C50-C51</f>
        <v>1120</v>
      </c>
      <c r="D54" s="26">
        <f>D50-D51</f>
        <v>1715</v>
      </c>
    </row>
    <row r="55" spans="1:9" x14ac:dyDescent="0.15">
      <c r="B55" s="3"/>
    </row>
    <row r="56" spans="1:9" x14ac:dyDescent="0.15">
      <c r="A56" s="1" t="s">
        <v>61</v>
      </c>
      <c r="B56" s="3"/>
      <c r="C56" s="14">
        <f>C31/C54</f>
        <v>-3.214285714285714E-2</v>
      </c>
      <c r="D56" s="14">
        <f>D31/D54</f>
        <v>0.21681282798833784</v>
      </c>
    </row>
    <row r="57" spans="1:9" x14ac:dyDescent="0.15">
      <c r="A57" s="1" t="s">
        <v>62</v>
      </c>
      <c r="B57" s="3"/>
      <c r="C57" s="14">
        <f>C31/C50</f>
        <v>-1.0972264553489789E-2</v>
      </c>
      <c r="D57" s="14">
        <f>D31/D50</f>
        <v>8.1703801362337805E-2</v>
      </c>
    </row>
    <row r="58" spans="1:9" x14ac:dyDescent="0.15">
      <c r="A58" s="1" t="s">
        <v>63</v>
      </c>
      <c r="B58" s="3"/>
      <c r="C58" s="14">
        <f>C31/(C54-C49)</f>
        <v>-4.6094750320102434E-2</v>
      </c>
      <c r="D58" s="14">
        <f>D31/(D54-D49)</f>
        <v>0.26944492753623145</v>
      </c>
    </row>
    <row r="59" spans="1:9" x14ac:dyDescent="0.15">
      <c r="A59" s="1" t="s">
        <v>64</v>
      </c>
      <c r="B59" s="3"/>
      <c r="C59" s="14">
        <f>C31/C53</f>
        <v>-2.6607538802660754E-2</v>
      </c>
      <c r="D59" s="14">
        <f>D31/D53</f>
        <v>0.17375420560747634</v>
      </c>
    </row>
    <row r="61" spans="1:9" x14ac:dyDescent="0.15">
      <c r="A61" s="36" t="s">
        <v>81</v>
      </c>
      <c r="C61" s="14">
        <f t="shared" ref="C61:D63" si="194">C12/B12-1</f>
        <v>0.28697916666666656</v>
      </c>
      <c r="D61" s="14">
        <f t="shared" si="194"/>
        <v>0.24734115742614327</v>
      </c>
      <c r="E61" s="14">
        <f t="shared" ref="E61:I61" si="195">E12/D12-1</f>
        <v>0.10000000000000009</v>
      </c>
      <c r="F61" s="14">
        <f t="shared" si="195"/>
        <v>0.10000000000000009</v>
      </c>
      <c r="G61" s="14">
        <f t="shared" si="195"/>
        <v>0.10000000000000009</v>
      </c>
      <c r="H61" s="14">
        <f t="shared" si="195"/>
        <v>0.10000000000000009</v>
      </c>
      <c r="I61" s="14">
        <f t="shared" si="195"/>
        <v>0.10000000000000009</v>
      </c>
    </row>
    <row r="62" spans="1:9" x14ac:dyDescent="0.15">
      <c r="A62" s="36" t="s">
        <v>82</v>
      </c>
      <c r="C62" s="14">
        <f t="shared" si="194"/>
        <v>1.3452380952380953</v>
      </c>
      <c r="D62" s="14">
        <f t="shared" si="194"/>
        <v>0.74520304568527918</v>
      </c>
      <c r="E62" s="14">
        <f t="shared" ref="E62:I62" si="196">E13/D13-1</f>
        <v>0.25</v>
      </c>
      <c r="F62" s="14">
        <f t="shared" si="196"/>
        <v>0.25</v>
      </c>
      <c r="G62" s="14">
        <f t="shared" si="196"/>
        <v>0.25</v>
      </c>
      <c r="H62" s="14">
        <f t="shared" si="196"/>
        <v>0.25</v>
      </c>
      <c r="I62" s="14">
        <f t="shared" si="196"/>
        <v>0.25</v>
      </c>
    </row>
    <row r="63" spans="1:9" x14ac:dyDescent="0.15">
      <c r="A63" s="36" t="s">
        <v>83</v>
      </c>
      <c r="B63" s="14"/>
      <c r="C63" s="14">
        <f t="shared" si="194"/>
        <v>0.65853658536585358</v>
      </c>
      <c r="D63" s="14">
        <f t="shared" si="194"/>
        <v>0.24363235294117658</v>
      </c>
      <c r="E63" s="14">
        <f t="shared" ref="E63:I63" si="197">E14/D14-1</f>
        <v>0.10000000000000009</v>
      </c>
      <c r="F63" s="14">
        <f t="shared" si="197"/>
        <v>0.10000000000000009</v>
      </c>
      <c r="G63" s="14">
        <f t="shared" si="197"/>
        <v>0.10000000000000009</v>
      </c>
      <c r="H63" s="14">
        <f t="shared" si="197"/>
        <v>0.10000000000000009</v>
      </c>
      <c r="I63" s="14">
        <f t="shared" si="197"/>
        <v>0.10000000000000009</v>
      </c>
    </row>
    <row r="64" spans="1:9" x14ac:dyDescent="0.15">
      <c r="A64" s="36" t="s">
        <v>84</v>
      </c>
      <c r="B64" s="14"/>
      <c r="C64" s="14"/>
      <c r="D64" s="14">
        <f>D15/C15-1</f>
        <v>2.1118493975903614</v>
      </c>
      <c r="E64" s="14">
        <f t="shared" ref="E64:I64" si="198">E15/D15-1</f>
        <v>5</v>
      </c>
      <c r="F64" s="14">
        <f t="shared" si="198"/>
        <v>0.5</v>
      </c>
      <c r="G64" s="14">
        <f t="shared" si="198"/>
        <v>0.5</v>
      </c>
      <c r="H64" s="14">
        <f t="shared" si="198"/>
        <v>0.5</v>
      </c>
      <c r="I64" s="14">
        <f t="shared" si="198"/>
        <v>0.5</v>
      </c>
    </row>
    <row r="66" spans="1:1" x14ac:dyDescent="0.15">
      <c r="A66" s="1" t="s">
        <v>67</v>
      </c>
    </row>
    <row r="67" spans="1:1" x14ac:dyDescent="0.15">
      <c r="A67" s="1" t="s">
        <v>65</v>
      </c>
    </row>
  </sheetData>
  <hyperlinks>
    <hyperlink ref="A4" r:id="rId1" xr:uid="{00000000-0004-0000-0000-000000000000}"/>
    <hyperlink ref="A7" r:id="rId2" xr:uid="{00000000-0004-0000-0000-000001000000}"/>
    <hyperlink ref="A1" r:id="rId3" xr:uid="{00000000-0004-0000-0000-000005000000}"/>
    <hyperlink ref="A8" r:id="rId4" xr:uid="{8298DD47-5FA0-9D4A-81E4-20B3E615A1C8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1"/>
  <sheetViews>
    <sheetView zoomScale="130" zoomScaleNormal="13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R11" sqref="R11"/>
    </sheetView>
  </sheetViews>
  <sheetFormatPr baseColWidth="10" defaultRowHeight="13" x14ac:dyDescent="0.15"/>
  <cols>
    <col min="1" max="1" width="24.5" style="33" customWidth="1"/>
    <col min="2" max="2" width="10.83203125" style="28"/>
    <col min="3" max="5" width="10.83203125" style="27"/>
    <col min="6" max="6" width="10.83203125" style="28"/>
    <col min="7" max="8" width="10.83203125" style="27"/>
    <col min="9" max="9" width="10.83203125" style="35"/>
    <col min="10" max="10" width="10.83203125" style="32"/>
    <col min="11" max="13" width="10.83203125" style="33"/>
    <col min="14" max="14" width="10.83203125" style="32"/>
    <col min="15" max="16384" width="10.83203125" style="33"/>
  </cols>
  <sheetData>
    <row r="1" spans="1:17" x14ac:dyDescent="0.15">
      <c r="A1" s="34" t="s">
        <v>46</v>
      </c>
      <c r="B1" s="29" t="s">
        <v>0</v>
      </c>
      <c r="C1" s="30" t="s">
        <v>1</v>
      </c>
      <c r="D1" s="30" t="s">
        <v>2</v>
      </c>
      <c r="E1" s="30" t="s">
        <v>3</v>
      </c>
      <c r="F1" s="29" t="s">
        <v>34</v>
      </c>
      <c r="G1" s="30" t="s">
        <v>35</v>
      </c>
      <c r="H1" s="30" t="s">
        <v>36</v>
      </c>
      <c r="I1" s="31" t="s">
        <v>37</v>
      </c>
      <c r="J1" s="29" t="s">
        <v>69</v>
      </c>
      <c r="K1" s="30" t="s">
        <v>70</v>
      </c>
      <c r="L1" s="30" t="s">
        <v>71</v>
      </c>
      <c r="M1" s="31" t="s">
        <v>72</v>
      </c>
      <c r="N1" s="70" t="s">
        <v>97</v>
      </c>
      <c r="O1" s="77" t="s">
        <v>98</v>
      </c>
      <c r="P1" s="77" t="s">
        <v>99</v>
      </c>
      <c r="Q1" s="77" t="s">
        <v>100</v>
      </c>
    </row>
    <row r="2" spans="1:17" x14ac:dyDescent="0.15">
      <c r="A2" s="34"/>
      <c r="B2" s="28" t="s">
        <v>24</v>
      </c>
      <c r="C2" s="27" t="s">
        <v>23</v>
      </c>
      <c r="D2" s="27" t="s">
        <v>22</v>
      </c>
      <c r="E2" s="27" t="s">
        <v>28</v>
      </c>
      <c r="F2" s="28" t="s">
        <v>38</v>
      </c>
      <c r="G2" s="27" t="s">
        <v>39</v>
      </c>
      <c r="H2" s="27" t="s">
        <v>40</v>
      </c>
      <c r="I2" s="35" t="s">
        <v>41</v>
      </c>
      <c r="J2" s="28" t="s">
        <v>73</v>
      </c>
      <c r="K2" s="27" t="s">
        <v>74</v>
      </c>
      <c r="L2" s="27" t="s">
        <v>75</v>
      </c>
      <c r="M2" s="35" t="s">
        <v>76</v>
      </c>
      <c r="N2" s="71">
        <v>43921</v>
      </c>
      <c r="O2" s="82">
        <v>44012</v>
      </c>
      <c r="P2" s="82">
        <v>44104</v>
      </c>
    </row>
    <row r="3" spans="1:17" s="36" customFormat="1" x14ac:dyDescent="0.15">
      <c r="A3" s="36" t="s">
        <v>77</v>
      </c>
      <c r="B3" s="29">
        <v>403</v>
      </c>
      <c r="C3" s="37">
        <v>482</v>
      </c>
      <c r="D3" s="37">
        <v>510</v>
      </c>
      <c r="E3" s="37">
        <v>525</v>
      </c>
      <c r="F3" s="29">
        <v>523</v>
      </c>
      <c r="G3" s="37">
        <v>625</v>
      </c>
      <c r="H3" s="37">
        <v>655</v>
      </c>
      <c r="I3" s="38">
        <v>668</v>
      </c>
      <c r="J3" s="29">
        <v>657</v>
      </c>
      <c r="K3" s="37">
        <v>776</v>
      </c>
      <c r="L3" s="37">
        <v>817</v>
      </c>
      <c r="M3" s="37">
        <v>832.18</v>
      </c>
      <c r="N3" s="72">
        <v>758.101</v>
      </c>
      <c r="O3" s="36">
        <v>682.572</v>
      </c>
      <c r="P3" s="36">
        <v>925.29399999999998</v>
      </c>
    </row>
    <row r="4" spans="1:17" s="36" customFormat="1" x14ac:dyDescent="0.15">
      <c r="A4" s="36" t="s">
        <v>78</v>
      </c>
      <c r="B4" s="29">
        <v>49</v>
      </c>
      <c r="C4" s="37">
        <v>59</v>
      </c>
      <c r="D4" s="37">
        <v>65</v>
      </c>
      <c r="E4" s="37">
        <v>79</v>
      </c>
      <c r="F4" s="29">
        <v>97</v>
      </c>
      <c r="G4" s="37">
        <v>134</v>
      </c>
      <c r="H4" s="37">
        <v>166</v>
      </c>
      <c r="I4" s="38">
        <v>194</v>
      </c>
      <c r="J4" s="29">
        <v>219</v>
      </c>
      <c r="K4" s="37">
        <v>251</v>
      </c>
      <c r="L4" s="37">
        <v>280</v>
      </c>
      <c r="M4" s="37">
        <v>281.41500000000002</v>
      </c>
      <c r="N4" s="72">
        <v>296.23500000000001</v>
      </c>
      <c r="O4" s="36">
        <v>346.27499999999998</v>
      </c>
      <c r="P4" s="36">
        <v>447.52199999999999</v>
      </c>
    </row>
    <row r="5" spans="1:17" s="36" customFormat="1" x14ac:dyDescent="0.15">
      <c r="A5" s="36" t="s">
        <v>79</v>
      </c>
      <c r="B5" s="29">
        <v>9</v>
      </c>
      <c r="C5" s="37">
        <v>10</v>
      </c>
      <c r="D5" s="37">
        <v>10</v>
      </c>
      <c r="E5" s="37">
        <v>12</v>
      </c>
      <c r="F5" s="29">
        <v>14</v>
      </c>
      <c r="G5" s="37">
        <v>18</v>
      </c>
      <c r="H5" s="37">
        <v>18</v>
      </c>
      <c r="I5" s="38">
        <v>18</v>
      </c>
      <c r="J5" s="29">
        <v>18</v>
      </c>
      <c r="K5" s="37">
        <v>22</v>
      </c>
      <c r="L5" s="37">
        <v>22</v>
      </c>
      <c r="M5" s="37">
        <v>22.567</v>
      </c>
      <c r="N5" s="72">
        <v>20.675000000000001</v>
      </c>
      <c r="O5" s="36">
        <v>19.321999999999999</v>
      </c>
      <c r="P5" s="36">
        <v>27.294</v>
      </c>
    </row>
    <row r="6" spans="1:17" s="36" customFormat="1" x14ac:dyDescent="0.15">
      <c r="A6" s="36" t="s">
        <v>80</v>
      </c>
      <c r="B6" s="29"/>
      <c r="C6" s="37"/>
      <c r="D6" s="37"/>
      <c r="E6" s="37"/>
      <c r="F6" s="29">
        <v>34</v>
      </c>
      <c r="G6" s="37">
        <v>37</v>
      </c>
      <c r="H6" s="37">
        <v>43</v>
      </c>
      <c r="I6" s="38">
        <v>52</v>
      </c>
      <c r="J6" s="29">
        <v>66</v>
      </c>
      <c r="K6" s="37">
        <v>125</v>
      </c>
      <c r="L6" s="37">
        <v>148</v>
      </c>
      <c r="M6" s="37">
        <v>177.56700000000001</v>
      </c>
      <c r="N6" s="72">
        <v>306.09800000000001</v>
      </c>
      <c r="O6" s="36">
        <v>875.45600000000002</v>
      </c>
      <c r="P6" s="36">
        <v>1633.7639999999999</v>
      </c>
    </row>
    <row r="7" spans="1:17" s="36" customFormat="1" x14ac:dyDescent="0.15">
      <c r="B7" s="29"/>
      <c r="C7" s="37"/>
      <c r="D7" s="37"/>
      <c r="E7" s="37"/>
      <c r="F7" s="29"/>
      <c r="G7" s="37"/>
      <c r="H7" s="37"/>
      <c r="I7" s="38"/>
      <c r="J7" s="29"/>
      <c r="K7" s="37"/>
      <c r="L7" s="37"/>
      <c r="M7" s="37"/>
      <c r="N7" s="72"/>
    </row>
    <row r="8" spans="1:17" s="36" customFormat="1" x14ac:dyDescent="0.15">
      <c r="A8" s="36" t="s">
        <v>42</v>
      </c>
      <c r="B8" s="29"/>
      <c r="C8" s="37"/>
      <c r="D8" s="37"/>
      <c r="E8" s="30"/>
      <c r="F8" s="29"/>
      <c r="G8" s="30"/>
      <c r="H8" s="30"/>
      <c r="I8" s="30"/>
      <c r="J8" s="29"/>
      <c r="K8" s="30"/>
      <c r="L8" s="30"/>
      <c r="M8" s="30"/>
      <c r="N8" s="72"/>
    </row>
    <row r="9" spans="1:17" s="39" customFormat="1" x14ac:dyDescent="0.15">
      <c r="A9" s="39" t="s">
        <v>55</v>
      </c>
      <c r="B9" s="29"/>
      <c r="C9" s="37"/>
      <c r="D9" s="37"/>
      <c r="E9" s="30"/>
      <c r="F9" s="29"/>
      <c r="G9" s="30"/>
      <c r="H9" s="30"/>
      <c r="I9" s="30"/>
      <c r="J9" s="29"/>
      <c r="K9" s="30"/>
      <c r="L9" s="30"/>
      <c r="M9" s="30"/>
      <c r="N9" s="73"/>
    </row>
    <row r="10" spans="1:17" s="78" customFormat="1" x14ac:dyDescent="0.15">
      <c r="B10" s="79"/>
      <c r="C10" s="80"/>
      <c r="D10" s="80"/>
      <c r="E10" s="80"/>
      <c r="F10" s="79"/>
      <c r="G10" s="80"/>
      <c r="H10" s="80"/>
      <c r="I10" s="77"/>
      <c r="J10" s="79"/>
      <c r="K10" s="80"/>
      <c r="L10" s="80"/>
      <c r="M10" s="80">
        <v>1160</v>
      </c>
      <c r="N10" s="81">
        <v>1340</v>
      </c>
    </row>
    <row r="11" spans="1:17" s="40" customFormat="1" x14ac:dyDescent="0.15">
      <c r="A11" s="40" t="s">
        <v>4</v>
      </c>
      <c r="B11" s="42">
        <f t="shared" ref="B11:L11" si="0">SUM(B3:B6)</f>
        <v>461</v>
      </c>
      <c r="C11" s="41">
        <f t="shared" si="0"/>
        <v>551</v>
      </c>
      <c r="D11" s="41">
        <f t="shared" si="0"/>
        <v>585</v>
      </c>
      <c r="E11" s="41">
        <f t="shared" si="0"/>
        <v>616</v>
      </c>
      <c r="F11" s="42">
        <f t="shared" si="0"/>
        <v>668</v>
      </c>
      <c r="G11" s="41">
        <f t="shared" si="0"/>
        <v>814</v>
      </c>
      <c r="H11" s="41">
        <f t="shared" si="0"/>
        <v>882</v>
      </c>
      <c r="I11" s="41">
        <f t="shared" si="0"/>
        <v>932</v>
      </c>
      <c r="J11" s="42">
        <f t="shared" si="0"/>
        <v>960</v>
      </c>
      <c r="K11" s="41">
        <f t="shared" si="0"/>
        <v>1174</v>
      </c>
      <c r="L11" s="41">
        <f t="shared" si="0"/>
        <v>1267</v>
      </c>
      <c r="M11" s="41">
        <f>SUM(M3:M6)</f>
        <v>1313.729</v>
      </c>
      <c r="N11" s="42">
        <f>SUM(N3:N6)</f>
        <v>1381.1089999999999</v>
      </c>
      <c r="O11" s="41">
        <f t="shared" ref="O11:P11" si="1">SUM(O3:O6)</f>
        <v>1923.625</v>
      </c>
      <c r="P11" s="41">
        <f t="shared" si="1"/>
        <v>3033.8739999999998</v>
      </c>
    </row>
    <row r="12" spans="1:17" s="36" customFormat="1" x14ac:dyDescent="0.15">
      <c r="A12" s="36" t="s">
        <v>5</v>
      </c>
      <c r="B12" s="29">
        <v>288</v>
      </c>
      <c r="C12" s="37">
        <v>344</v>
      </c>
      <c r="D12" s="37">
        <v>367</v>
      </c>
      <c r="E12" s="37">
        <v>376</v>
      </c>
      <c r="F12" s="29">
        <v>413</v>
      </c>
      <c r="G12" s="37">
        <v>499</v>
      </c>
      <c r="H12" s="37">
        <v>529</v>
      </c>
      <c r="I12" s="38">
        <v>552</v>
      </c>
      <c r="J12" s="29">
        <v>563</v>
      </c>
      <c r="K12" s="37">
        <v>708</v>
      </c>
      <c r="L12" s="37">
        <v>766</v>
      </c>
      <c r="M12" s="37">
        <v>786.38</v>
      </c>
      <c r="N12" s="72">
        <v>843</v>
      </c>
      <c r="O12" s="36">
        <v>1326.8620000000001</v>
      </c>
      <c r="P12" s="36">
        <v>2239.4189999999999</v>
      </c>
    </row>
    <row r="13" spans="1:17" s="36" customFormat="1" x14ac:dyDescent="0.15">
      <c r="A13" s="36" t="s">
        <v>6</v>
      </c>
      <c r="B13" s="44">
        <f t="shared" ref="B13:D13" si="2">B11-B12</f>
        <v>173</v>
      </c>
      <c r="C13" s="43">
        <f t="shared" si="2"/>
        <v>207</v>
      </c>
      <c r="D13" s="43">
        <f t="shared" si="2"/>
        <v>218</v>
      </c>
      <c r="E13" s="43">
        <f t="shared" ref="E13:G13" si="3">E11-E12</f>
        <v>240</v>
      </c>
      <c r="F13" s="44">
        <f t="shared" ref="F13" si="4">F11-F12</f>
        <v>255</v>
      </c>
      <c r="G13" s="43">
        <f t="shared" si="3"/>
        <v>315</v>
      </c>
      <c r="H13" s="43">
        <f t="shared" ref="H13:P13" si="5">H11-H12</f>
        <v>353</v>
      </c>
      <c r="I13" s="43">
        <f t="shared" si="5"/>
        <v>380</v>
      </c>
      <c r="J13" s="44">
        <f t="shared" si="5"/>
        <v>397</v>
      </c>
      <c r="K13" s="43">
        <f t="shared" si="5"/>
        <v>466</v>
      </c>
      <c r="L13" s="43">
        <f t="shared" si="5"/>
        <v>501</v>
      </c>
      <c r="M13" s="43">
        <f t="shared" si="5"/>
        <v>527.34900000000005</v>
      </c>
      <c r="N13" s="44">
        <f t="shared" si="5"/>
        <v>538.10899999999992</v>
      </c>
      <c r="O13" s="43">
        <f t="shared" si="5"/>
        <v>596.76299999999992</v>
      </c>
      <c r="P13" s="43">
        <f t="shared" si="5"/>
        <v>794.45499999999993</v>
      </c>
    </row>
    <row r="14" spans="1:17" s="36" customFormat="1" x14ac:dyDescent="0.15">
      <c r="A14" s="36" t="s">
        <v>7</v>
      </c>
      <c r="B14" s="29">
        <v>69</v>
      </c>
      <c r="C14" s="37">
        <v>78</v>
      </c>
      <c r="D14" s="37">
        <v>83</v>
      </c>
      <c r="E14" s="37">
        <v>93</v>
      </c>
      <c r="F14" s="29">
        <v>105</v>
      </c>
      <c r="G14" s="37">
        <v>115</v>
      </c>
      <c r="H14" s="37">
        <v>136</v>
      </c>
      <c r="I14" s="38">
        <v>142</v>
      </c>
      <c r="J14" s="29">
        <v>154</v>
      </c>
      <c r="K14" s="37">
        <v>174</v>
      </c>
      <c r="L14" s="37">
        <v>169</v>
      </c>
      <c r="M14" s="37">
        <v>173.28399999999999</v>
      </c>
      <c r="N14" s="72">
        <v>195</v>
      </c>
      <c r="O14" s="36">
        <v>207</v>
      </c>
      <c r="P14" s="36">
        <v>227</v>
      </c>
    </row>
    <row r="15" spans="1:17" s="36" customFormat="1" x14ac:dyDescent="0.15">
      <c r="A15" s="36" t="s">
        <v>8</v>
      </c>
      <c r="B15" s="29">
        <v>50</v>
      </c>
      <c r="C15" s="37">
        <v>60</v>
      </c>
      <c r="D15" s="37">
        <v>67</v>
      </c>
      <c r="E15" s="37">
        <v>77</v>
      </c>
      <c r="F15" s="29">
        <v>77</v>
      </c>
      <c r="G15" s="37">
        <v>98</v>
      </c>
      <c r="H15" s="37">
        <v>116</v>
      </c>
      <c r="I15" s="38">
        <v>119</v>
      </c>
      <c r="J15" s="29">
        <v>134</v>
      </c>
      <c r="K15" s="37">
        <v>156</v>
      </c>
      <c r="L15" s="37">
        <v>149</v>
      </c>
      <c r="M15" s="37">
        <v>185.23099999999999</v>
      </c>
      <c r="N15" s="72">
        <v>195</v>
      </c>
      <c r="O15" s="36">
        <v>238</v>
      </c>
      <c r="P15" s="36">
        <v>348</v>
      </c>
    </row>
    <row r="16" spans="1:17" s="36" customFormat="1" x14ac:dyDescent="0.15">
      <c r="A16" s="36" t="s">
        <v>9</v>
      </c>
      <c r="B16" s="29">
        <f>57+12</f>
        <v>69</v>
      </c>
      <c r="C16" s="37">
        <f>63+18</f>
        <v>81</v>
      </c>
      <c r="D16" s="37">
        <f>64+20</f>
        <v>84</v>
      </c>
      <c r="E16" s="37">
        <f>66+17+0</f>
        <v>83</v>
      </c>
      <c r="F16" s="29">
        <f>76+18+0</f>
        <v>94</v>
      </c>
      <c r="G16" s="37">
        <f>83+22+0</f>
        <v>105</v>
      </c>
      <c r="H16" s="37">
        <f>86+24+1</f>
        <v>111</v>
      </c>
      <c r="I16" s="38">
        <f>95+24+2</f>
        <v>121</v>
      </c>
      <c r="J16" s="29">
        <f>102+28+2</f>
        <v>132</v>
      </c>
      <c r="K16" s="37">
        <f>101+34+1</f>
        <v>136</v>
      </c>
      <c r="L16" s="37">
        <f>116+33+1</f>
        <v>150</v>
      </c>
      <c r="M16" s="37">
        <f>118+32+1</f>
        <v>151</v>
      </c>
      <c r="N16" s="72">
        <f>129+109+1</f>
        <v>239</v>
      </c>
      <c r="O16" s="36">
        <f>136+38+1</f>
        <v>175</v>
      </c>
      <c r="P16" s="36">
        <f>154+15+1</f>
        <v>170</v>
      </c>
    </row>
    <row r="17" spans="1:16" s="36" customFormat="1" x14ac:dyDescent="0.15">
      <c r="A17" s="36" t="s">
        <v>10</v>
      </c>
      <c r="B17" s="44">
        <f t="shared" ref="B17:D17" si="6">SUM(B14:B16)</f>
        <v>188</v>
      </c>
      <c r="C17" s="43">
        <f t="shared" si="6"/>
        <v>219</v>
      </c>
      <c r="D17" s="43">
        <f t="shared" si="6"/>
        <v>234</v>
      </c>
      <c r="E17" s="43">
        <f t="shared" ref="E17:G17" si="7">SUM(E14:E16)</f>
        <v>253</v>
      </c>
      <c r="F17" s="44">
        <f t="shared" ref="F17" si="8">SUM(F14:F16)</f>
        <v>276</v>
      </c>
      <c r="G17" s="43">
        <f t="shared" si="7"/>
        <v>318</v>
      </c>
      <c r="H17" s="43">
        <f t="shared" ref="H17:L17" si="9">SUM(H14:H16)</f>
        <v>363</v>
      </c>
      <c r="I17" s="43">
        <f t="shared" si="9"/>
        <v>382</v>
      </c>
      <c r="J17" s="44">
        <f t="shared" si="9"/>
        <v>420</v>
      </c>
      <c r="K17" s="43">
        <f t="shared" si="9"/>
        <v>466</v>
      </c>
      <c r="L17" s="43">
        <f t="shared" si="9"/>
        <v>468</v>
      </c>
      <c r="M17" s="43">
        <f t="shared" ref="M17:N17" si="10">SUM(M14:M16)</f>
        <v>509.51499999999999</v>
      </c>
      <c r="N17" s="44">
        <f t="shared" si="10"/>
        <v>629</v>
      </c>
      <c r="O17" s="43">
        <f t="shared" ref="O17:P17" si="11">SUM(O14:O16)</f>
        <v>620</v>
      </c>
      <c r="P17" s="43">
        <f t="shared" si="11"/>
        <v>745</v>
      </c>
    </row>
    <row r="18" spans="1:16" s="36" customFormat="1" x14ac:dyDescent="0.15">
      <c r="A18" s="36" t="s">
        <v>11</v>
      </c>
      <c r="B18" s="44">
        <f t="shared" ref="B18:H18" si="12">B13-B17</f>
        <v>-15</v>
      </c>
      <c r="C18" s="43">
        <f t="shared" si="12"/>
        <v>-12</v>
      </c>
      <c r="D18" s="43">
        <f t="shared" si="12"/>
        <v>-16</v>
      </c>
      <c r="E18" s="43">
        <f t="shared" ref="E18" si="13">E13-E17</f>
        <v>-13</v>
      </c>
      <c r="F18" s="44">
        <f t="shared" si="12"/>
        <v>-21</v>
      </c>
      <c r="G18" s="43">
        <f t="shared" si="12"/>
        <v>-3</v>
      </c>
      <c r="H18" s="43">
        <f t="shared" si="12"/>
        <v>-10</v>
      </c>
      <c r="I18" s="43">
        <f>I13-I17</f>
        <v>-2</v>
      </c>
      <c r="J18" s="44">
        <f t="shared" ref="J18" si="14">J13-J17</f>
        <v>-23</v>
      </c>
      <c r="K18" s="43">
        <f t="shared" ref="K18:L18" si="15">K13-K17</f>
        <v>0</v>
      </c>
      <c r="L18" s="43">
        <f t="shared" si="15"/>
        <v>33</v>
      </c>
      <c r="M18" s="43">
        <f t="shared" ref="M18:N18" si="16">M13-M17</f>
        <v>17.83400000000006</v>
      </c>
      <c r="N18" s="44">
        <f t="shared" si="16"/>
        <v>-90.891000000000076</v>
      </c>
      <c r="O18" s="43">
        <f t="shared" ref="O18:P18" si="17">O13-O17</f>
        <v>-23.23700000000008</v>
      </c>
      <c r="P18" s="43">
        <f t="shared" si="17"/>
        <v>49.454999999999927</v>
      </c>
    </row>
    <row r="19" spans="1:16" s="36" customFormat="1" x14ac:dyDescent="0.15">
      <c r="A19" s="36" t="s">
        <v>12</v>
      </c>
      <c r="B19" s="29">
        <v>-1</v>
      </c>
      <c r="C19" s="37">
        <v>-3</v>
      </c>
      <c r="D19" s="37">
        <f>-3+1</f>
        <v>-2</v>
      </c>
      <c r="E19" s="37">
        <v>-2</v>
      </c>
      <c r="F19" s="29">
        <f>-2-1</f>
        <v>-3</v>
      </c>
      <c r="G19" s="37">
        <f>-3+1</f>
        <v>-2</v>
      </c>
      <c r="H19" s="37">
        <f>-7+38</f>
        <v>31</v>
      </c>
      <c r="I19" s="38">
        <f>-5-19</f>
        <v>-24</v>
      </c>
      <c r="J19" s="29">
        <f>-5-11</f>
        <v>-16</v>
      </c>
      <c r="K19" s="37">
        <f>-5-2</f>
        <v>-7</v>
      </c>
      <c r="L19" s="37">
        <f>-6+5</f>
        <v>-1</v>
      </c>
      <c r="M19" s="37">
        <f>373+6-7</f>
        <v>372</v>
      </c>
      <c r="N19" s="72">
        <f>-9-6</f>
        <v>-15</v>
      </c>
      <c r="O19" s="36">
        <f>-15+26</f>
        <v>11</v>
      </c>
      <c r="P19" s="36">
        <f>-15+1</f>
        <v>-14</v>
      </c>
    </row>
    <row r="20" spans="1:16" s="36" customFormat="1" x14ac:dyDescent="0.15">
      <c r="A20" s="36" t="s">
        <v>13</v>
      </c>
      <c r="B20" s="44">
        <f>B18+B19</f>
        <v>-16</v>
      </c>
      <c r="C20" s="43">
        <f t="shared" ref="C20" si="18">C18+C19</f>
        <v>-15</v>
      </c>
      <c r="D20" s="43">
        <f t="shared" ref="D20:E20" si="19">D18+D19</f>
        <v>-18</v>
      </c>
      <c r="E20" s="43">
        <f t="shared" si="19"/>
        <v>-15</v>
      </c>
      <c r="F20" s="44">
        <f t="shared" ref="F20" si="20">F18+F19</f>
        <v>-24</v>
      </c>
      <c r="G20" s="43">
        <f t="shared" ref="G20:H20" si="21">G18+G19</f>
        <v>-5</v>
      </c>
      <c r="H20" s="43">
        <f t="shared" si="21"/>
        <v>21</v>
      </c>
      <c r="I20" s="43">
        <f>I18+I19</f>
        <v>-26</v>
      </c>
      <c r="J20" s="44">
        <f t="shared" ref="J20" si="22">J18+J19</f>
        <v>-39</v>
      </c>
      <c r="K20" s="43">
        <f t="shared" ref="K20:P20" si="23">K18+K19</f>
        <v>-7</v>
      </c>
      <c r="L20" s="43">
        <f t="shared" si="23"/>
        <v>32</v>
      </c>
      <c r="M20" s="43">
        <f t="shared" si="23"/>
        <v>389.83400000000006</v>
      </c>
      <c r="N20" s="44">
        <f t="shared" si="23"/>
        <v>-105.89100000000008</v>
      </c>
      <c r="O20" s="43">
        <f t="shared" si="23"/>
        <v>-12.23700000000008</v>
      </c>
      <c r="P20" s="43">
        <f t="shared" si="23"/>
        <v>35.454999999999927</v>
      </c>
    </row>
    <row r="21" spans="1:16" s="36" customFormat="1" x14ac:dyDescent="0.15">
      <c r="A21" s="36" t="s">
        <v>14</v>
      </c>
      <c r="B21" s="29">
        <v>0</v>
      </c>
      <c r="C21" s="37">
        <v>0</v>
      </c>
      <c r="D21" s="37">
        <v>-1</v>
      </c>
      <c r="E21" s="37">
        <v>0</v>
      </c>
      <c r="F21" s="29">
        <v>0</v>
      </c>
      <c r="G21" s="37">
        <v>1</v>
      </c>
      <c r="H21" s="37">
        <v>1</v>
      </c>
      <c r="I21" s="38">
        <v>0</v>
      </c>
      <c r="J21" s="29">
        <v>0</v>
      </c>
      <c r="K21" s="37">
        <v>0</v>
      </c>
      <c r="L21" s="37">
        <v>3</v>
      </c>
      <c r="M21" s="37">
        <v>1</v>
      </c>
      <c r="N21" s="72">
        <v>1</v>
      </c>
      <c r="O21" s="36">
        <v>-1</v>
      </c>
      <c r="P21" s="36">
        <v>-1</v>
      </c>
    </row>
    <row r="22" spans="1:16" s="40" customFormat="1" x14ac:dyDescent="0.15">
      <c r="A22" s="40" t="s">
        <v>15</v>
      </c>
      <c r="B22" s="42">
        <f t="shared" ref="B22:F22" si="24">B20-B21</f>
        <v>-16</v>
      </c>
      <c r="C22" s="41">
        <f t="shared" si="24"/>
        <v>-15</v>
      </c>
      <c r="D22" s="41">
        <f t="shared" si="24"/>
        <v>-17</v>
      </c>
      <c r="E22" s="41">
        <f t="shared" si="24"/>
        <v>-15</v>
      </c>
      <c r="F22" s="42">
        <f t="shared" si="24"/>
        <v>-24</v>
      </c>
      <c r="G22" s="41">
        <f t="shared" ref="G22:H22" si="25">G20-G21</f>
        <v>-6</v>
      </c>
      <c r="H22" s="41">
        <f t="shared" si="25"/>
        <v>20</v>
      </c>
      <c r="I22" s="41">
        <f t="shared" ref="I22:J22" si="26">I20-I21</f>
        <v>-26</v>
      </c>
      <c r="J22" s="42">
        <f t="shared" si="26"/>
        <v>-39</v>
      </c>
      <c r="K22" s="41">
        <f t="shared" ref="K22:L22" si="27">K20-K21</f>
        <v>-7</v>
      </c>
      <c r="L22" s="41">
        <f t="shared" si="27"/>
        <v>29</v>
      </c>
      <c r="M22" s="41">
        <f t="shared" ref="M22:N22" si="28">M20-M21</f>
        <v>388.83400000000006</v>
      </c>
      <c r="N22" s="42">
        <f t="shared" si="28"/>
        <v>-106.89100000000008</v>
      </c>
      <c r="O22" s="41">
        <f t="shared" ref="O22:P22" si="29">O20-O21</f>
        <v>-11.23700000000008</v>
      </c>
      <c r="P22" s="41">
        <f t="shared" si="29"/>
        <v>36.454999999999927</v>
      </c>
    </row>
    <row r="23" spans="1:16" x14ac:dyDescent="0.15">
      <c r="A23" s="33" t="s">
        <v>16</v>
      </c>
      <c r="B23" s="46">
        <f t="shared" ref="B23:C23" si="30">IFERROR(B22/B24,0)</f>
        <v>-4.3596730245231606E-2</v>
      </c>
      <c r="C23" s="45">
        <f t="shared" si="30"/>
        <v>-3.9893617021276598E-2</v>
      </c>
      <c r="D23" s="45">
        <f t="shared" ref="D23:E23" si="31">IFERROR(D22/D24,0)</f>
        <v>-4.4270833333333336E-2</v>
      </c>
      <c r="E23" s="45">
        <f t="shared" si="31"/>
        <v>-3.8461538461538464E-2</v>
      </c>
      <c r="F23" s="46">
        <f t="shared" ref="F23" si="32">IFERROR(F22/F24,0)</f>
        <v>-6.0606060606060608E-2</v>
      </c>
      <c r="G23" s="45">
        <f t="shared" ref="G23:H23" si="33">IFERROR(G22/G24,0)</f>
        <v>-1.488833746898263E-2</v>
      </c>
      <c r="H23" s="45">
        <f t="shared" si="33"/>
        <v>4.2105263157894736E-2</v>
      </c>
      <c r="I23" s="45">
        <f t="shared" ref="I23:J23" si="34">IFERROR(I22/I24,0)</f>
        <v>-6.280193236714976E-2</v>
      </c>
      <c r="J23" s="46">
        <f t="shared" si="34"/>
        <v>-9.3078758949880672E-2</v>
      </c>
      <c r="K23" s="45">
        <f t="shared" ref="K23:L23" si="35">IFERROR(K22/K24,0)</f>
        <v>-1.6548463356973995E-2</v>
      </c>
      <c r="L23" s="45">
        <f t="shared" si="35"/>
        <v>6.2231759656652362E-2</v>
      </c>
      <c r="M23" s="45">
        <f t="shared" ref="M23:N23" si="36">IFERROR(M22/M24,0)</f>
        <v>0.80106882244115096</v>
      </c>
      <c r="N23" s="46">
        <f t="shared" si="36"/>
        <v>-0.24576033475881748</v>
      </c>
      <c r="O23" s="45">
        <f t="shared" ref="O23:P23" si="37">IFERROR(O22/O24,0)</f>
        <v>-2.5531847213354813E-2</v>
      </c>
      <c r="P23" s="45">
        <f t="shared" si="37"/>
        <v>7.4692307849914513E-2</v>
      </c>
    </row>
    <row r="24" spans="1:16" x14ac:dyDescent="0.15">
      <c r="A24" s="33" t="s">
        <v>17</v>
      </c>
      <c r="B24" s="29">
        <v>367</v>
      </c>
      <c r="C24" s="37">
        <v>376</v>
      </c>
      <c r="D24" s="37">
        <v>384</v>
      </c>
      <c r="E24" s="37">
        <v>390</v>
      </c>
      <c r="F24" s="29">
        <v>396</v>
      </c>
      <c r="G24" s="37">
        <v>403</v>
      </c>
      <c r="H24" s="37">
        <v>475</v>
      </c>
      <c r="I24" s="38">
        <v>414</v>
      </c>
      <c r="J24" s="29">
        <v>419</v>
      </c>
      <c r="K24" s="37">
        <v>423</v>
      </c>
      <c r="L24" s="37">
        <v>466</v>
      </c>
      <c r="M24" s="37">
        <v>485.39400000000001</v>
      </c>
      <c r="N24" s="70">
        <v>434.94</v>
      </c>
      <c r="O24" s="77">
        <v>440.11700000000002</v>
      </c>
      <c r="P24" s="37">
        <v>488.06900000000002</v>
      </c>
    </row>
    <row r="25" spans="1:16" x14ac:dyDescent="0.15">
      <c r="B25" s="29"/>
      <c r="C25" s="37"/>
      <c r="D25" s="37"/>
      <c r="E25" s="37"/>
      <c r="F25" s="29"/>
      <c r="G25" s="37"/>
      <c r="H25" s="37"/>
      <c r="I25" s="38"/>
      <c r="J25" s="29"/>
      <c r="K25" s="37"/>
      <c r="L25" s="37"/>
      <c r="M25" s="37"/>
    </row>
    <row r="26" spans="1:16" x14ac:dyDescent="0.15">
      <c r="A26" s="33" t="s">
        <v>19</v>
      </c>
      <c r="B26" s="48">
        <f t="shared" ref="B26:J26" si="38">IFERROR(B13/B11,0)</f>
        <v>0.37527114967462039</v>
      </c>
      <c r="C26" s="47">
        <f t="shared" si="38"/>
        <v>0.37568058076225047</v>
      </c>
      <c r="D26" s="47">
        <f t="shared" si="38"/>
        <v>0.37264957264957266</v>
      </c>
      <c r="E26" s="47">
        <f t="shared" ref="E26" si="39">IFERROR(E13/E11,0)</f>
        <v>0.38961038961038963</v>
      </c>
      <c r="F26" s="48">
        <f t="shared" si="38"/>
        <v>0.38173652694610777</v>
      </c>
      <c r="G26" s="47">
        <f t="shared" si="38"/>
        <v>0.38697788697788699</v>
      </c>
      <c r="H26" s="47">
        <f t="shared" si="38"/>
        <v>0.40022675736961449</v>
      </c>
      <c r="I26" s="49">
        <f t="shared" si="38"/>
        <v>0.40772532188841204</v>
      </c>
      <c r="J26" s="48">
        <f t="shared" si="38"/>
        <v>0.41354166666666664</v>
      </c>
      <c r="K26" s="47">
        <f t="shared" ref="K26:L26" si="40">IFERROR(K13/K11,0)</f>
        <v>0.39693356047700168</v>
      </c>
      <c r="L26" s="47">
        <f t="shared" si="40"/>
        <v>0.39542225730071034</v>
      </c>
      <c r="M26" s="47">
        <f t="shared" ref="M26:N26" si="41">IFERROR(M13/M11,0)</f>
        <v>0.40141383801377606</v>
      </c>
      <c r="N26" s="48">
        <f t="shared" si="41"/>
        <v>0.38962094954127441</v>
      </c>
      <c r="O26" s="47">
        <f t="shared" ref="O26:P26" si="42">IFERROR(O13/O11,0)</f>
        <v>0.31022834492169726</v>
      </c>
      <c r="P26" s="47">
        <f t="shared" si="42"/>
        <v>0.26186156709210734</v>
      </c>
    </row>
    <row r="27" spans="1:16" x14ac:dyDescent="0.15">
      <c r="A27" s="33" t="s">
        <v>20</v>
      </c>
      <c r="B27" s="51">
        <f t="shared" ref="B27:J27" si="43">IFERROR(B18/B11,0)</f>
        <v>-3.2537960954446853E-2</v>
      </c>
      <c r="C27" s="50">
        <f t="shared" si="43"/>
        <v>-2.1778584392014518E-2</v>
      </c>
      <c r="D27" s="50">
        <f t="shared" si="43"/>
        <v>-2.735042735042735E-2</v>
      </c>
      <c r="E27" s="50">
        <f t="shared" ref="E27" si="44">IFERROR(E18/E11,0)</f>
        <v>-2.1103896103896104E-2</v>
      </c>
      <c r="F27" s="51">
        <f t="shared" si="43"/>
        <v>-3.1437125748502992E-2</v>
      </c>
      <c r="G27" s="50">
        <f t="shared" si="43"/>
        <v>-3.6855036855036856E-3</v>
      </c>
      <c r="H27" s="50">
        <f t="shared" si="43"/>
        <v>-1.1337868480725623E-2</v>
      </c>
      <c r="I27" s="52">
        <f t="shared" si="43"/>
        <v>-2.1459227467811159E-3</v>
      </c>
      <c r="J27" s="51">
        <f t="shared" si="43"/>
        <v>-2.3958333333333335E-2</v>
      </c>
      <c r="K27" s="50">
        <f t="shared" ref="K27:L27" si="45">IFERROR(K18/K11,0)</f>
        <v>0</v>
      </c>
      <c r="L27" s="50">
        <f t="shared" si="45"/>
        <v>2.6045777426992895E-2</v>
      </c>
      <c r="M27" s="50">
        <f t="shared" ref="M27:N27" si="46">IFERROR(M18/M11,0)</f>
        <v>1.3575098060558958E-2</v>
      </c>
      <c r="N27" s="51">
        <f t="shared" si="46"/>
        <v>-6.5810156910135323E-2</v>
      </c>
      <c r="O27" s="50">
        <f t="shared" ref="O27:P27" si="47">IFERROR(O18/O11,0)</f>
        <v>-1.2079797257781574E-2</v>
      </c>
      <c r="P27" s="50">
        <f t="shared" si="47"/>
        <v>1.6300940645524477E-2</v>
      </c>
    </row>
    <row r="28" spans="1:16" x14ac:dyDescent="0.15">
      <c r="A28" s="33" t="s">
        <v>21</v>
      </c>
      <c r="B28" s="51">
        <f t="shared" ref="B28:J28" si="48">IFERROR(B21/B20,0)</f>
        <v>0</v>
      </c>
      <c r="C28" s="50">
        <f t="shared" si="48"/>
        <v>0</v>
      </c>
      <c r="D28" s="50">
        <f t="shared" si="48"/>
        <v>5.5555555555555552E-2</v>
      </c>
      <c r="E28" s="50">
        <f t="shared" ref="E28" si="49">IFERROR(E21/E20,0)</f>
        <v>0</v>
      </c>
      <c r="F28" s="51">
        <f t="shared" si="48"/>
        <v>0</v>
      </c>
      <c r="G28" s="50">
        <f t="shared" si="48"/>
        <v>-0.2</v>
      </c>
      <c r="H28" s="50">
        <f t="shared" si="48"/>
        <v>4.7619047619047616E-2</v>
      </c>
      <c r="I28" s="52">
        <f t="shared" si="48"/>
        <v>0</v>
      </c>
      <c r="J28" s="51">
        <f t="shared" si="48"/>
        <v>0</v>
      </c>
      <c r="K28" s="50">
        <f t="shared" ref="K28:L28" si="50">IFERROR(K21/K20,0)</f>
        <v>0</v>
      </c>
      <c r="L28" s="50">
        <f t="shared" si="50"/>
        <v>9.375E-2</v>
      </c>
      <c r="M28" s="50">
        <f t="shared" ref="M28:N28" si="51">IFERROR(M21/M20,0)</f>
        <v>2.5651944160847945E-3</v>
      </c>
      <c r="N28" s="51">
        <f t="shared" si="51"/>
        <v>-9.4436732111321947E-3</v>
      </c>
      <c r="O28" s="50">
        <f t="shared" ref="O28:P28" si="52">IFERROR(O21/O20,0)</f>
        <v>8.171937566396939E-2</v>
      </c>
      <c r="P28" s="50">
        <f t="shared" si="52"/>
        <v>-2.8204766605556396E-2</v>
      </c>
    </row>
    <row r="29" spans="1:16" x14ac:dyDescent="0.15">
      <c r="B29" s="29"/>
      <c r="C29" s="37"/>
      <c r="D29" s="37"/>
      <c r="E29" s="37"/>
      <c r="F29" s="29"/>
      <c r="G29" s="37"/>
      <c r="H29" s="37"/>
      <c r="I29" s="38"/>
      <c r="J29" s="29"/>
      <c r="K29" s="37"/>
      <c r="L29" s="37"/>
      <c r="M29" s="37"/>
      <c r="N29" s="29"/>
      <c r="O29" s="37"/>
      <c r="P29" s="37"/>
    </row>
    <row r="30" spans="1:16" s="53" customFormat="1" x14ac:dyDescent="0.15">
      <c r="A30" s="53" t="s">
        <v>18</v>
      </c>
      <c r="B30" s="55">
        <f>IFERROR((B11/#REF!)-1,0)</f>
        <v>0</v>
      </c>
      <c r="C30" s="54">
        <f>IFERROR((C11/#REF!)-1,0)</f>
        <v>0</v>
      </c>
      <c r="D30" s="54">
        <f>IFERROR((D11/#REF!)-1,0)</f>
        <v>0</v>
      </c>
      <c r="E30" s="54">
        <f>IFERROR((E11/#REF!)-1,0)</f>
        <v>0</v>
      </c>
      <c r="F30" s="55">
        <f t="shared" ref="F30:I30" si="53">IFERROR((F11/B11)-1,0)</f>
        <v>0.44902386117136661</v>
      </c>
      <c r="G30" s="54">
        <f t="shared" si="53"/>
        <v>0.47731397459165148</v>
      </c>
      <c r="H30" s="54">
        <f t="shared" si="53"/>
        <v>0.50769230769230766</v>
      </c>
      <c r="I30" s="56">
        <f t="shared" si="53"/>
        <v>0.51298701298701288</v>
      </c>
      <c r="J30" s="55">
        <f t="shared" ref="J30:P30" si="54">IFERROR((J11/F11)-1,0)</f>
        <v>0.43712574850299402</v>
      </c>
      <c r="K30" s="54">
        <f t="shared" si="54"/>
        <v>0.44226044226044237</v>
      </c>
      <c r="L30" s="54">
        <f t="shared" si="54"/>
        <v>0.43650793650793651</v>
      </c>
      <c r="M30" s="54">
        <f t="shared" si="54"/>
        <v>0.4095804721030043</v>
      </c>
      <c r="N30" s="55">
        <f>IFERROR((N11/J11)-1,0)</f>
        <v>0.43865520833333327</v>
      </c>
      <c r="O30" s="54">
        <f t="shared" si="54"/>
        <v>0.63852214650766603</v>
      </c>
      <c r="P30" s="54">
        <f t="shared" si="54"/>
        <v>1.3945335438042621</v>
      </c>
    </row>
    <row r="31" spans="1:16" x14ac:dyDescent="0.15">
      <c r="A31" s="33" t="s">
        <v>43</v>
      </c>
      <c r="B31" s="58" t="e">
        <f>B14/#REF!-1</f>
        <v>#REF!</v>
      </c>
      <c r="C31" s="57" t="e">
        <f>C14/#REF!-1</f>
        <v>#REF!</v>
      </c>
      <c r="D31" s="57" t="e">
        <f>D14/#REF!-1</f>
        <v>#REF!</v>
      </c>
      <c r="E31" s="57" t="e">
        <f>E14/#REF!-1</f>
        <v>#REF!</v>
      </c>
      <c r="F31" s="58">
        <f t="shared" ref="F31:I33" si="55">F14/B14-1</f>
        <v>0.52173913043478271</v>
      </c>
      <c r="G31" s="57">
        <f t="shared" si="55"/>
        <v>0.47435897435897445</v>
      </c>
      <c r="H31" s="57">
        <f t="shared" si="55"/>
        <v>0.63855421686746983</v>
      </c>
      <c r="I31" s="59">
        <f t="shared" si="55"/>
        <v>0.5268817204301075</v>
      </c>
      <c r="J31" s="58">
        <f t="shared" ref="J31:P33" si="56">J14/F14-1</f>
        <v>0.46666666666666656</v>
      </c>
      <c r="K31" s="57">
        <f t="shared" si="56"/>
        <v>0.51304347826086949</v>
      </c>
      <c r="L31" s="57">
        <f t="shared" si="56"/>
        <v>0.24264705882352944</v>
      </c>
      <c r="M31" s="57">
        <f t="shared" si="56"/>
        <v>0.22030985915492951</v>
      </c>
      <c r="N31" s="58">
        <f t="shared" si="56"/>
        <v>0.26623376623376616</v>
      </c>
      <c r="O31" s="57">
        <f t="shared" si="56"/>
        <v>0.18965517241379315</v>
      </c>
      <c r="P31" s="57">
        <f t="shared" si="56"/>
        <v>0.34319526627218933</v>
      </c>
    </row>
    <row r="32" spans="1:16" x14ac:dyDescent="0.15">
      <c r="A32" s="33" t="s">
        <v>44</v>
      </c>
      <c r="B32" s="58" t="e">
        <f>B15/#REF!-1</f>
        <v>#REF!</v>
      </c>
      <c r="C32" s="57" t="e">
        <f>C15/#REF!-1</f>
        <v>#REF!</v>
      </c>
      <c r="D32" s="57" t="e">
        <f>D15/#REF!-1</f>
        <v>#REF!</v>
      </c>
      <c r="E32" s="57" t="e">
        <f>E15/#REF!-1</f>
        <v>#REF!</v>
      </c>
      <c r="F32" s="58">
        <f t="shared" si="55"/>
        <v>0.54</v>
      </c>
      <c r="G32" s="57">
        <f t="shared" si="55"/>
        <v>0.6333333333333333</v>
      </c>
      <c r="H32" s="57">
        <f t="shared" si="55"/>
        <v>0.73134328358208944</v>
      </c>
      <c r="I32" s="59">
        <f t="shared" si="55"/>
        <v>0.54545454545454541</v>
      </c>
      <c r="J32" s="58">
        <f t="shared" si="56"/>
        <v>0.74025974025974017</v>
      </c>
      <c r="K32" s="57">
        <f t="shared" si="56"/>
        <v>0.59183673469387754</v>
      </c>
      <c r="L32" s="57">
        <f t="shared" si="56"/>
        <v>0.28448275862068972</v>
      </c>
      <c r="M32" s="57">
        <f t="shared" si="56"/>
        <v>0.55656302521008394</v>
      </c>
      <c r="N32" s="58">
        <f t="shared" si="56"/>
        <v>0.45522388059701502</v>
      </c>
      <c r="O32" s="57">
        <f t="shared" si="56"/>
        <v>0.52564102564102555</v>
      </c>
      <c r="P32" s="57">
        <f t="shared" si="56"/>
        <v>1.3355704697986579</v>
      </c>
    </row>
    <row r="33" spans="1:16" x14ac:dyDescent="0.15">
      <c r="A33" s="33" t="s">
        <v>45</v>
      </c>
      <c r="B33" s="58" t="e">
        <f>B16/#REF!-1</f>
        <v>#REF!</v>
      </c>
      <c r="C33" s="57" t="e">
        <f>C16/#REF!-1</f>
        <v>#REF!</v>
      </c>
      <c r="D33" s="57" t="e">
        <f>D16/#REF!-1</f>
        <v>#REF!</v>
      </c>
      <c r="E33" s="57" t="e">
        <f>E16/#REF!-1</f>
        <v>#REF!</v>
      </c>
      <c r="F33" s="58">
        <f t="shared" si="55"/>
        <v>0.3623188405797102</v>
      </c>
      <c r="G33" s="57">
        <f t="shared" si="55"/>
        <v>0.29629629629629628</v>
      </c>
      <c r="H33" s="57">
        <f t="shared" si="55"/>
        <v>0.3214285714285714</v>
      </c>
      <c r="I33" s="59">
        <f t="shared" si="55"/>
        <v>0.45783132530120474</v>
      </c>
      <c r="J33" s="58">
        <f t="shared" si="56"/>
        <v>0.4042553191489362</v>
      </c>
      <c r="K33" s="57">
        <f t="shared" si="56"/>
        <v>0.2952380952380953</v>
      </c>
      <c r="L33" s="57">
        <f t="shared" si="56"/>
        <v>0.35135135135135132</v>
      </c>
      <c r="M33" s="57">
        <f t="shared" si="56"/>
        <v>0.24793388429752072</v>
      </c>
      <c r="N33" s="58">
        <f t="shared" si="56"/>
        <v>0.81060606060606055</v>
      </c>
      <c r="O33" s="57">
        <f t="shared" si="56"/>
        <v>0.28676470588235303</v>
      </c>
      <c r="P33" s="57">
        <f t="shared" si="56"/>
        <v>0.1333333333333333</v>
      </c>
    </row>
    <row r="34" spans="1:16" x14ac:dyDescent="0.15">
      <c r="C34" s="60"/>
      <c r="D34" s="60"/>
      <c r="G34" s="60"/>
      <c r="H34" s="60"/>
      <c r="I34" s="61"/>
      <c r="J34" s="28"/>
      <c r="K34" s="60"/>
      <c r="L34" s="60"/>
      <c r="M34" s="60"/>
      <c r="N34" s="28"/>
      <c r="P34" s="60"/>
    </row>
    <row r="35" spans="1:16" s="53" customFormat="1" x14ac:dyDescent="0.15">
      <c r="A35" s="53" t="s">
        <v>25</v>
      </c>
      <c r="B35" s="29"/>
      <c r="C35" s="37"/>
      <c r="D35" s="37"/>
      <c r="E35" s="27"/>
      <c r="F35" s="28"/>
      <c r="G35" s="60"/>
      <c r="H35" s="60"/>
      <c r="I35" s="41">
        <f t="shared" ref="I35:N35" si="57">I36-I37</f>
        <v>689</v>
      </c>
      <c r="J35" s="42">
        <f t="shared" si="57"/>
        <v>661</v>
      </c>
      <c r="K35" s="41">
        <f t="shared" si="57"/>
        <v>731</v>
      </c>
      <c r="L35" s="41">
        <f t="shared" si="57"/>
        <v>806</v>
      </c>
      <c r="M35" s="41">
        <f t="shared" si="57"/>
        <v>1137</v>
      </c>
      <c r="N35" s="42">
        <f t="shared" si="57"/>
        <v>1252</v>
      </c>
      <c r="O35" s="41">
        <f t="shared" ref="O35:P35" si="58">O36-O37</f>
        <v>1356</v>
      </c>
      <c r="P35" s="41">
        <f t="shared" si="58"/>
        <v>1521</v>
      </c>
    </row>
    <row r="36" spans="1:16" x14ac:dyDescent="0.15">
      <c r="A36" s="33" t="s">
        <v>26</v>
      </c>
      <c r="B36" s="29"/>
      <c r="C36" s="37"/>
      <c r="D36" s="37"/>
      <c r="G36" s="60"/>
      <c r="H36" s="60"/>
      <c r="I36" s="37">
        <f>583+541+465</f>
        <v>1589</v>
      </c>
      <c r="J36" s="29">
        <f>522+567+481</f>
        <v>1570</v>
      </c>
      <c r="K36" s="37">
        <f>617+572+461</f>
        <v>1650</v>
      </c>
      <c r="L36" s="37">
        <f>612+558+565</f>
        <v>1735</v>
      </c>
      <c r="M36" s="37">
        <f>1047+492+537</f>
        <v>2076</v>
      </c>
      <c r="N36" s="29">
        <f>1962+522+529</f>
        <v>3013</v>
      </c>
      <c r="O36" s="37">
        <f>1973+714+447</f>
        <v>3134</v>
      </c>
      <c r="P36" s="37">
        <f>2119+762+399</f>
        <v>3280</v>
      </c>
    </row>
    <row r="37" spans="1:16" x14ac:dyDescent="0.15">
      <c r="A37" s="33" t="s">
        <v>27</v>
      </c>
      <c r="B37" s="29"/>
      <c r="C37" s="37"/>
      <c r="D37" s="37"/>
      <c r="G37" s="60"/>
      <c r="H37" s="60"/>
      <c r="I37" s="37">
        <v>900</v>
      </c>
      <c r="J37" s="29">
        <v>909</v>
      </c>
      <c r="K37" s="37">
        <v>919</v>
      </c>
      <c r="L37" s="37">
        <v>929</v>
      </c>
      <c r="M37" s="37">
        <v>939</v>
      </c>
      <c r="N37" s="29">
        <v>1761</v>
      </c>
      <c r="O37" s="37">
        <v>1778</v>
      </c>
      <c r="P37" s="37">
        <v>1759</v>
      </c>
    </row>
    <row r="38" spans="1:16" x14ac:dyDescent="0.15">
      <c r="B38" s="29"/>
      <c r="C38" s="37"/>
      <c r="D38" s="37"/>
      <c r="G38" s="60"/>
      <c r="H38" s="60"/>
      <c r="I38" s="37"/>
      <c r="J38" s="29"/>
      <c r="K38" s="37"/>
      <c r="L38" s="37"/>
      <c r="M38" s="37"/>
      <c r="N38" s="29"/>
      <c r="P38" s="37"/>
    </row>
    <row r="39" spans="1:16" x14ac:dyDescent="0.15">
      <c r="A39" s="33" t="s">
        <v>56</v>
      </c>
      <c r="B39" s="29"/>
      <c r="C39" s="37"/>
      <c r="D39" s="37"/>
      <c r="G39" s="60"/>
      <c r="H39" s="60"/>
      <c r="I39" s="37">
        <f>262+77</f>
        <v>339</v>
      </c>
      <c r="J39" s="29">
        <f>267+80</f>
        <v>347</v>
      </c>
      <c r="K39" s="37">
        <f>270+84</f>
        <v>354</v>
      </c>
      <c r="L39" s="37">
        <f>266+73</f>
        <v>339</v>
      </c>
      <c r="M39" s="37">
        <f>266+69</f>
        <v>335</v>
      </c>
      <c r="N39" s="29">
        <f>289+82</f>
        <v>371</v>
      </c>
      <c r="O39" s="33">
        <f>296+100</f>
        <v>396</v>
      </c>
      <c r="P39" s="37">
        <f>301+108</f>
        <v>409</v>
      </c>
    </row>
    <row r="40" spans="1:16" x14ac:dyDescent="0.15">
      <c r="A40" s="33" t="s">
        <v>57</v>
      </c>
      <c r="B40" s="29"/>
      <c r="C40" s="37"/>
      <c r="D40" s="37"/>
      <c r="G40" s="60"/>
      <c r="H40" s="60"/>
      <c r="I40" s="37">
        <v>3281</v>
      </c>
      <c r="J40" s="29">
        <v>4403</v>
      </c>
      <c r="K40" s="37">
        <v>4654</v>
      </c>
      <c r="L40" s="37">
        <v>4001</v>
      </c>
      <c r="M40" s="37">
        <v>4551</v>
      </c>
      <c r="N40" s="29">
        <v>6004</v>
      </c>
      <c r="O40" s="77">
        <v>7812</v>
      </c>
      <c r="P40" s="37">
        <v>8114</v>
      </c>
    </row>
    <row r="41" spans="1:16" x14ac:dyDescent="0.15">
      <c r="A41" s="33" t="s">
        <v>58</v>
      </c>
      <c r="B41" s="29"/>
      <c r="C41" s="37"/>
      <c r="D41" s="37"/>
      <c r="G41" s="60"/>
      <c r="H41" s="60"/>
      <c r="I41" s="37">
        <v>2161</v>
      </c>
      <c r="J41" s="29">
        <v>3281</v>
      </c>
      <c r="K41" s="37">
        <v>3470</v>
      </c>
      <c r="L41" s="37">
        <v>2751</v>
      </c>
      <c r="M41" s="37">
        <v>2836</v>
      </c>
      <c r="N41" s="29">
        <v>4196</v>
      </c>
      <c r="O41" s="77">
        <v>5886</v>
      </c>
      <c r="P41" s="37">
        <v>6051</v>
      </c>
    </row>
    <row r="42" spans="1:16" x14ac:dyDescent="0.15">
      <c r="B42" s="29"/>
      <c r="C42" s="37"/>
      <c r="D42" s="37"/>
      <c r="G42" s="60"/>
      <c r="H42" s="60"/>
      <c r="I42" s="37"/>
      <c r="J42" s="29"/>
      <c r="K42" s="37"/>
      <c r="L42" s="37"/>
      <c r="M42" s="37"/>
      <c r="N42" s="29"/>
      <c r="P42" s="37"/>
    </row>
    <row r="43" spans="1:16" x14ac:dyDescent="0.15">
      <c r="A43" s="33" t="s">
        <v>59</v>
      </c>
      <c r="B43" s="29"/>
      <c r="C43" s="37"/>
      <c r="D43" s="37"/>
      <c r="G43" s="60"/>
      <c r="H43" s="60"/>
      <c r="I43" s="43">
        <f t="shared" ref="I43:N43" si="59">I40-I39-I36</f>
        <v>1353</v>
      </c>
      <c r="J43" s="44">
        <f t="shared" si="59"/>
        <v>2486</v>
      </c>
      <c r="K43" s="43">
        <f t="shared" si="59"/>
        <v>2650</v>
      </c>
      <c r="L43" s="43">
        <f t="shared" si="59"/>
        <v>1927</v>
      </c>
      <c r="M43" s="43">
        <f t="shared" si="59"/>
        <v>2140</v>
      </c>
      <c r="N43" s="44">
        <f t="shared" si="59"/>
        <v>2620</v>
      </c>
      <c r="O43" s="43">
        <f t="shared" ref="O43:P43" si="60">O40-O39-O36</f>
        <v>4282</v>
      </c>
      <c r="P43" s="43">
        <f t="shared" si="60"/>
        <v>4425</v>
      </c>
    </row>
    <row r="44" spans="1:16" x14ac:dyDescent="0.15">
      <c r="A44" s="33" t="s">
        <v>60</v>
      </c>
      <c r="B44" s="29"/>
      <c r="C44" s="37"/>
      <c r="D44" s="37"/>
      <c r="G44" s="60"/>
      <c r="H44" s="60"/>
      <c r="I44" s="43">
        <f t="shared" ref="I44:N44" si="61">I40-I41</f>
        <v>1120</v>
      </c>
      <c r="J44" s="44">
        <f t="shared" si="61"/>
        <v>1122</v>
      </c>
      <c r="K44" s="43">
        <f t="shared" si="61"/>
        <v>1184</v>
      </c>
      <c r="L44" s="43">
        <f t="shared" si="61"/>
        <v>1250</v>
      </c>
      <c r="M44" s="43">
        <f t="shared" si="61"/>
        <v>1715</v>
      </c>
      <c r="N44" s="44">
        <f t="shared" si="61"/>
        <v>1808</v>
      </c>
      <c r="O44" s="43">
        <f t="shared" ref="O44:P44" si="62">O40-O41</f>
        <v>1926</v>
      </c>
      <c r="P44" s="43">
        <f t="shared" si="62"/>
        <v>2063</v>
      </c>
    </row>
    <row r="45" spans="1:16" x14ac:dyDescent="0.15">
      <c r="B45" s="29"/>
      <c r="C45" s="37"/>
      <c r="D45" s="37"/>
      <c r="G45" s="60"/>
      <c r="H45" s="60"/>
      <c r="I45" s="37"/>
      <c r="J45" s="29"/>
      <c r="K45" s="37"/>
      <c r="L45" s="37"/>
      <c r="M45" s="37"/>
      <c r="N45" s="29"/>
      <c r="P45" s="37"/>
    </row>
    <row r="46" spans="1:16" s="40" customFormat="1" x14ac:dyDescent="0.15">
      <c r="A46" s="40" t="s">
        <v>66</v>
      </c>
      <c r="B46" s="63"/>
      <c r="C46" s="62"/>
      <c r="D46" s="62"/>
      <c r="E46" s="27"/>
      <c r="F46" s="28"/>
      <c r="G46" s="60"/>
      <c r="H46" s="60"/>
      <c r="I46" s="41">
        <f t="shared" ref="I46:P46" si="63">SUM(F22:I22)</f>
        <v>-36</v>
      </c>
      <c r="J46" s="42">
        <f t="shared" si="63"/>
        <v>-51</v>
      </c>
      <c r="K46" s="41">
        <f t="shared" si="63"/>
        <v>-52</v>
      </c>
      <c r="L46" s="41">
        <f t="shared" si="63"/>
        <v>-43</v>
      </c>
      <c r="M46" s="41">
        <f t="shared" si="63"/>
        <v>371.83400000000006</v>
      </c>
      <c r="N46" s="42">
        <f t="shared" si="63"/>
        <v>303.94299999999998</v>
      </c>
      <c r="O46" s="41">
        <f t="shared" si="63"/>
        <v>299.7059999999999</v>
      </c>
      <c r="P46" s="41">
        <f t="shared" si="63"/>
        <v>307.16099999999983</v>
      </c>
    </row>
    <row r="47" spans="1:16" s="66" customFormat="1" x14ac:dyDescent="0.15">
      <c r="A47" s="64" t="s">
        <v>61</v>
      </c>
      <c r="B47" s="48"/>
      <c r="C47" s="47"/>
      <c r="D47" s="47"/>
      <c r="E47" s="27"/>
      <c r="F47" s="28"/>
      <c r="G47" s="60"/>
      <c r="H47" s="60"/>
      <c r="I47" s="47">
        <f t="shared" ref="I47:N47" si="64">I46/I44</f>
        <v>-3.214285714285714E-2</v>
      </c>
      <c r="J47" s="48">
        <f t="shared" si="64"/>
        <v>-4.5454545454545456E-2</v>
      </c>
      <c r="K47" s="47">
        <f t="shared" si="64"/>
        <v>-4.3918918918918921E-2</v>
      </c>
      <c r="L47" s="47">
        <f t="shared" si="64"/>
        <v>-3.44E-2</v>
      </c>
      <c r="M47" s="47">
        <f t="shared" si="64"/>
        <v>0.21681282798833823</v>
      </c>
      <c r="N47" s="48">
        <f t="shared" si="64"/>
        <v>0.16811006637168141</v>
      </c>
      <c r="O47" s="47">
        <f t="shared" ref="O47:P47" si="65">O46/O44</f>
        <v>0.15561059190031148</v>
      </c>
      <c r="P47" s="47">
        <f t="shared" si="65"/>
        <v>0.14889045079980603</v>
      </c>
    </row>
    <row r="48" spans="1:16" s="66" customFormat="1" x14ac:dyDescent="0.15">
      <c r="A48" s="64" t="s">
        <v>62</v>
      </c>
      <c r="B48" s="48"/>
      <c r="C48" s="47"/>
      <c r="D48" s="47"/>
      <c r="E48" s="27"/>
      <c r="F48" s="28"/>
      <c r="G48" s="60"/>
      <c r="H48" s="60"/>
      <c r="I48" s="47">
        <f t="shared" ref="I48:N48" si="66">I46/I40</f>
        <v>-1.0972264553489789E-2</v>
      </c>
      <c r="J48" s="48">
        <f t="shared" si="66"/>
        <v>-1.1583011583011582E-2</v>
      </c>
      <c r="K48" s="47">
        <f t="shared" si="66"/>
        <v>-1.11731843575419E-2</v>
      </c>
      <c r="L48" s="47">
        <f t="shared" si="66"/>
        <v>-1.0747313171707074E-2</v>
      </c>
      <c r="M48" s="47">
        <f t="shared" si="66"/>
        <v>8.1703801362337958E-2</v>
      </c>
      <c r="N48" s="48">
        <f t="shared" si="66"/>
        <v>5.0623417721518987E-2</v>
      </c>
      <c r="O48" s="47">
        <f t="shared" ref="O48:P48" si="67">O46/O40</f>
        <v>3.8364823348694302E-2</v>
      </c>
      <c r="P48" s="47">
        <f t="shared" si="67"/>
        <v>3.7855681538082303E-2</v>
      </c>
    </row>
    <row r="49" spans="1:16" s="66" customFormat="1" x14ac:dyDescent="0.15">
      <c r="A49" s="64" t="s">
        <v>63</v>
      </c>
      <c r="B49" s="48"/>
      <c r="C49" s="47"/>
      <c r="D49" s="47"/>
      <c r="E49" s="27"/>
      <c r="F49" s="28"/>
      <c r="G49" s="60"/>
      <c r="H49" s="60"/>
      <c r="I49" s="47">
        <f t="shared" ref="I49:N49" si="68">I46/(I44-I39)</f>
        <v>-4.6094750320102434E-2</v>
      </c>
      <c r="J49" s="48">
        <f t="shared" si="68"/>
        <v>-6.580645161290323E-2</v>
      </c>
      <c r="K49" s="47">
        <f t="shared" si="68"/>
        <v>-6.2650602409638559E-2</v>
      </c>
      <c r="L49" s="47">
        <f t="shared" si="68"/>
        <v>-4.7200878155872671E-2</v>
      </c>
      <c r="M49" s="47">
        <f t="shared" si="68"/>
        <v>0.26944492753623195</v>
      </c>
      <c r="N49" s="48">
        <f t="shared" si="68"/>
        <v>0.21151217814892134</v>
      </c>
      <c r="O49" s="47">
        <f t="shared" ref="O49:P49" si="69">O46/(O44-O39)</f>
        <v>0.19588627450980386</v>
      </c>
      <c r="P49" s="47">
        <f t="shared" si="69"/>
        <v>0.1857079806529624</v>
      </c>
    </row>
    <row r="50" spans="1:16" s="66" customFormat="1" x14ac:dyDescent="0.15">
      <c r="A50" s="64" t="s">
        <v>64</v>
      </c>
      <c r="B50" s="48"/>
      <c r="C50" s="47"/>
      <c r="D50" s="47"/>
      <c r="E50" s="27"/>
      <c r="F50" s="28"/>
      <c r="G50" s="60"/>
      <c r="H50" s="60"/>
      <c r="I50" s="47">
        <f t="shared" ref="I50:N50" si="70">I46/I43</f>
        <v>-2.6607538802660754E-2</v>
      </c>
      <c r="J50" s="48">
        <f t="shared" si="70"/>
        <v>-2.0514883346741754E-2</v>
      </c>
      <c r="K50" s="47">
        <f t="shared" si="70"/>
        <v>-1.9622641509433963E-2</v>
      </c>
      <c r="L50" s="47">
        <f t="shared" si="70"/>
        <v>-2.2314478463933574E-2</v>
      </c>
      <c r="M50" s="47">
        <f t="shared" si="70"/>
        <v>0.17375420560747667</v>
      </c>
      <c r="N50" s="48">
        <f t="shared" si="70"/>
        <v>0.1160087786259542</v>
      </c>
      <c r="O50" s="47">
        <f t="shared" ref="O50:P50" si="71">O46/O43</f>
        <v>6.9992059785147109E-2</v>
      </c>
      <c r="P50" s="47">
        <f t="shared" si="71"/>
        <v>6.941491525423725E-2</v>
      </c>
    </row>
    <row r="51" spans="1:16" x14ac:dyDescent="0.15">
      <c r="B51" s="29"/>
      <c r="C51" s="37"/>
      <c r="D51" s="37"/>
      <c r="F51" s="29"/>
      <c r="G51" s="37"/>
      <c r="H51" s="37"/>
      <c r="I51" s="37"/>
      <c r="J51" s="29"/>
      <c r="K51" s="37"/>
      <c r="L51" s="37"/>
      <c r="M51" s="37"/>
      <c r="N51" s="29"/>
      <c r="O51" s="37"/>
      <c r="P51" s="37"/>
    </row>
    <row r="52" spans="1:16" x14ac:dyDescent="0.15">
      <c r="A52" s="36" t="s">
        <v>81</v>
      </c>
      <c r="B52" s="29"/>
      <c r="C52" s="37"/>
      <c r="D52" s="37"/>
      <c r="F52" s="48">
        <f t="shared" ref="F52:I54" si="72">F3/B3-1</f>
        <v>0.29776674937965253</v>
      </c>
      <c r="G52" s="47">
        <f t="shared" si="72"/>
        <v>0.29668049792531126</v>
      </c>
      <c r="H52" s="47">
        <f t="shared" si="72"/>
        <v>0.28431372549019618</v>
      </c>
      <c r="I52" s="47">
        <f t="shared" si="72"/>
        <v>0.27238095238095239</v>
      </c>
      <c r="J52" s="48">
        <f t="shared" ref="J52:P55" si="73">J3/F3-1</f>
        <v>0.25621414913957929</v>
      </c>
      <c r="K52" s="47">
        <f t="shared" si="73"/>
        <v>0.24160000000000004</v>
      </c>
      <c r="L52" s="47">
        <f t="shared" si="73"/>
        <v>0.24732824427480926</v>
      </c>
      <c r="M52" s="47">
        <f t="shared" si="73"/>
        <v>0.24577844311377239</v>
      </c>
      <c r="N52" s="48">
        <f t="shared" si="73"/>
        <v>0.15388280060882797</v>
      </c>
      <c r="O52" s="47">
        <f t="shared" si="73"/>
        <v>-0.12039690721649488</v>
      </c>
      <c r="P52" s="47">
        <f t="shared" si="73"/>
        <v>0.13255079559363514</v>
      </c>
    </row>
    <row r="53" spans="1:16" x14ac:dyDescent="0.15">
      <c r="A53" s="36" t="s">
        <v>82</v>
      </c>
      <c r="B53" s="29"/>
      <c r="C53" s="37"/>
      <c r="D53" s="37"/>
      <c r="F53" s="48">
        <f t="shared" si="72"/>
        <v>0.97959183673469385</v>
      </c>
      <c r="G53" s="47">
        <f t="shared" si="72"/>
        <v>1.2711864406779663</v>
      </c>
      <c r="H53" s="47">
        <f t="shared" si="72"/>
        <v>1.5538461538461537</v>
      </c>
      <c r="I53" s="47">
        <f t="shared" si="72"/>
        <v>1.4556962025316458</v>
      </c>
      <c r="J53" s="48">
        <f t="shared" si="73"/>
        <v>1.2577319587628866</v>
      </c>
      <c r="K53" s="47">
        <f t="shared" si="73"/>
        <v>0.87313432835820892</v>
      </c>
      <c r="L53" s="47">
        <f t="shared" si="73"/>
        <v>0.68674698795180733</v>
      </c>
      <c r="M53" s="47">
        <f t="shared" si="73"/>
        <v>0.45059278350515464</v>
      </c>
      <c r="N53" s="48">
        <f t="shared" si="73"/>
        <v>0.35267123287671232</v>
      </c>
      <c r="O53" s="47">
        <f t="shared" si="73"/>
        <v>0.37958167330677273</v>
      </c>
      <c r="P53" s="47">
        <f t="shared" si="73"/>
        <v>0.59829285714285718</v>
      </c>
    </row>
    <row r="54" spans="1:16" x14ac:dyDescent="0.15">
      <c r="A54" s="36" t="s">
        <v>83</v>
      </c>
      <c r="B54" s="29"/>
      <c r="C54" s="37"/>
      <c r="D54" s="37"/>
      <c r="E54" s="47"/>
      <c r="F54" s="48">
        <f t="shared" si="72"/>
        <v>0.55555555555555558</v>
      </c>
      <c r="G54" s="47">
        <f t="shared" si="72"/>
        <v>0.8</v>
      </c>
      <c r="H54" s="47">
        <f t="shared" si="72"/>
        <v>0.8</v>
      </c>
      <c r="I54" s="47">
        <f t="shared" si="72"/>
        <v>0.5</v>
      </c>
      <c r="J54" s="48">
        <f t="shared" si="73"/>
        <v>0.28571428571428581</v>
      </c>
      <c r="K54" s="47">
        <f t="shared" si="73"/>
        <v>0.22222222222222232</v>
      </c>
      <c r="L54" s="47">
        <f t="shared" si="73"/>
        <v>0.22222222222222232</v>
      </c>
      <c r="M54" s="47">
        <f t="shared" si="73"/>
        <v>0.25372222222222218</v>
      </c>
      <c r="N54" s="48">
        <f t="shared" si="73"/>
        <v>0.14861111111111125</v>
      </c>
      <c r="O54" s="47">
        <f t="shared" si="73"/>
        <v>-0.1217272727272728</v>
      </c>
      <c r="P54" s="47">
        <f t="shared" si="73"/>
        <v>0.24063636363636376</v>
      </c>
    </row>
    <row r="55" spans="1:16" x14ac:dyDescent="0.15">
      <c r="A55" s="36" t="s">
        <v>84</v>
      </c>
      <c r="B55" s="29"/>
      <c r="C55" s="37"/>
      <c r="D55" s="37"/>
      <c r="E55" s="47"/>
      <c r="F55" s="48"/>
      <c r="G55" s="47"/>
      <c r="H55" s="47"/>
      <c r="I55" s="47"/>
      <c r="J55" s="48">
        <f t="shared" si="73"/>
        <v>0.94117647058823528</v>
      </c>
      <c r="K55" s="47">
        <f t="shared" si="73"/>
        <v>2.3783783783783785</v>
      </c>
      <c r="L55" s="47">
        <f t="shared" si="73"/>
        <v>2.441860465116279</v>
      </c>
      <c r="M55" s="47">
        <f t="shared" si="73"/>
        <v>2.4147500000000002</v>
      </c>
      <c r="N55" s="48">
        <f t="shared" si="73"/>
        <v>3.6378484848484849</v>
      </c>
      <c r="O55" s="47">
        <f t="shared" si="73"/>
        <v>6.0036480000000001</v>
      </c>
      <c r="P55" s="47">
        <f t="shared" si="73"/>
        <v>10.038945945945946</v>
      </c>
    </row>
    <row r="56" spans="1:16" x14ac:dyDescent="0.15">
      <c r="B56" s="29"/>
      <c r="C56" s="37"/>
      <c r="D56" s="37"/>
      <c r="E56" s="30"/>
      <c r="F56" s="29"/>
      <c r="G56" s="37"/>
      <c r="H56" s="37"/>
      <c r="I56" s="38"/>
      <c r="J56" s="29"/>
      <c r="K56" s="37"/>
      <c r="L56" s="37"/>
      <c r="M56" s="37"/>
      <c r="P56" s="37"/>
    </row>
    <row r="57" spans="1:16" x14ac:dyDescent="0.15">
      <c r="A57" s="33" t="s">
        <v>67</v>
      </c>
      <c r="B57" s="48"/>
      <c r="C57" s="47"/>
      <c r="D57" s="47"/>
      <c r="E57" s="47"/>
      <c r="F57" s="48"/>
      <c r="G57" s="47"/>
      <c r="H57" s="47"/>
      <c r="I57" s="37"/>
      <c r="J57" s="48"/>
      <c r="K57" s="47"/>
      <c r="L57" s="47"/>
      <c r="M57" s="47"/>
      <c r="P57" s="47"/>
    </row>
    <row r="58" spans="1:16" x14ac:dyDescent="0.15">
      <c r="A58" s="33" t="s">
        <v>65</v>
      </c>
      <c r="B58" s="48"/>
      <c r="C58" s="47"/>
      <c r="D58" s="47"/>
      <c r="E58" s="47"/>
      <c r="F58" s="48"/>
      <c r="G58" s="47"/>
      <c r="H58" s="47"/>
      <c r="I58" s="37"/>
      <c r="J58" s="48"/>
      <c r="K58" s="47"/>
      <c r="L58" s="47"/>
      <c r="M58" s="47"/>
      <c r="P58" s="47"/>
    </row>
    <row r="60" spans="1:16" s="36" customFormat="1" x14ac:dyDescent="0.15">
      <c r="A60" s="78" t="s">
        <v>101</v>
      </c>
      <c r="B60" s="29">
        <v>14</v>
      </c>
      <c r="C60" s="30">
        <v>16</v>
      </c>
      <c r="D60" s="30">
        <v>17</v>
      </c>
      <c r="E60" s="30">
        <v>18</v>
      </c>
      <c r="F60" s="29">
        <v>18</v>
      </c>
      <c r="G60" s="30">
        <v>21</v>
      </c>
      <c r="H60" s="30">
        <v>22</v>
      </c>
      <c r="I60" s="31">
        <v>23</v>
      </c>
      <c r="J60" s="72">
        <v>23</v>
      </c>
      <c r="K60" s="36">
        <v>27</v>
      </c>
      <c r="L60" s="36">
        <v>28</v>
      </c>
      <c r="M60" s="36">
        <v>28.638999999999999</v>
      </c>
      <c r="N60" s="72">
        <v>25.742999999999999</v>
      </c>
      <c r="O60" s="36">
        <v>23</v>
      </c>
      <c r="P60" s="36">
        <v>32</v>
      </c>
    </row>
    <row r="61" spans="1:16" x14ac:dyDescent="0.15">
      <c r="A61" s="69" t="s">
        <v>102</v>
      </c>
      <c r="B61" s="67"/>
      <c r="F61" s="65">
        <f t="shared" ref="F61:P61" si="74">F60/B60-1</f>
        <v>0.28571428571428581</v>
      </c>
      <c r="G61" s="66">
        <f t="shared" si="74"/>
        <v>0.3125</v>
      </c>
      <c r="H61" s="66">
        <f t="shared" si="74"/>
        <v>0.29411764705882359</v>
      </c>
      <c r="I61" s="66">
        <f t="shared" si="74"/>
        <v>0.27777777777777768</v>
      </c>
      <c r="J61" s="65">
        <f t="shared" si="74"/>
        <v>0.27777777777777768</v>
      </c>
      <c r="K61" s="66">
        <f t="shared" si="74"/>
        <v>0.28571428571428581</v>
      </c>
      <c r="L61" s="66">
        <f t="shared" si="74"/>
        <v>0.27272727272727271</v>
      </c>
      <c r="M61" s="66">
        <f t="shared" si="74"/>
        <v>0.24517391304347824</v>
      </c>
      <c r="N61" s="65">
        <f t="shared" si="74"/>
        <v>0.11926086956521731</v>
      </c>
      <c r="O61" s="66">
        <f t="shared" si="74"/>
        <v>-0.14814814814814814</v>
      </c>
      <c r="P61" s="66">
        <f t="shared" si="74"/>
        <v>0.14285714285714279</v>
      </c>
    </row>
  </sheetData>
  <hyperlinks>
    <hyperlink ref="A1" r:id="rId1" display="https://www.sec.gov/cgi-bin/browse-edgar?CIK=SQ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13"/>
  <sheetViews>
    <sheetView zoomScale="130" zoomScaleNormal="130" workbookViewId="0">
      <selection activeCell="C25" sqref="C25"/>
    </sheetView>
  </sheetViews>
  <sheetFormatPr baseColWidth="10" defaultRowHeight="13" x14ac:dyDescent="0.15"/>
  <cols>
    <col min="1" max="1" width="10.83203125" style="1"/>
    <col min="2" max="2" width="13" style="1" bestFit="1" customWidth="1"/>
    <col min="3" max="3" width="49.6640625" style="1" bestFit="1" customWidth="1"/>
    <col min="4" max="16384" width="10.83203125" style="1"/>
  </cols>
  <sheetData>
    <row r="4" spans="2:3" x14ac:dyDescent="0.15">
      <c r="B4" s="83" t="s">
        <v>103</v>
      </c>
    </row>
    <row r="6" spans="2:3" x14ac:dyDescent="0.15">
      <c r="B6" s="69" t="s">
        <v>88</v>
      </c>
      <c r="C6" s="69" t="s">
        <v>89</v>
      </c>
    </row>
    <row r="7" spans="2:3" x14ac:dyDescent="0.15">
      <c r="B7" s="69" t="s">
        <v>90</v>
      </c>
      <c r="C7" s="69" t="s">
        <v>91</v>
      </c>
    </row>
    <row r="8" spans="2:3" s="16" customFormat="1" x14ac:dyDescent="0.15">
      <c r="B8" s="16" t="s">
        <v>92</v>
      </c>
      <c r="C8" s="16" t="s">
        <v>105</v>
      </c>
    </row>
    <row r="9" spans="2:3" x14ac:dyDescent="0.15">
      <c r="B9" s="69"/>
      <c r="C9" s="69"/>
    </row>
    <row r="10" spans="2:3" x14ac:dyDescent="0.15">
      <c r="B10" s="83" t="s">
        <v>104</v>
      </c>
      <c r="C10" s="69"/>
    </row>
    <row r="11" spans="2:3" x14ac:dyDescent="0.15">
      <c r="B11" s="69"/>
      <c r="C11" s="69"/>
    </row>
    <row r="12" spans="2:3" x14ac:dyDescent="0.15">
      <c r="B12" s="69" t="s">
        <v>93</v>
      </c>
      <c r="C12" s="69" t="s">
        <v>94</v>
      </c>
    </row>
    <row r="13" spans="2:3" x14ac:dyDescent="0.15">
      <c r="B13" s="69" t="s">
        <v>95</v>
      </c>
      <c r="C13" s="69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2021-01-28T21:15:18Z</dcterms:modified>
</cp:coreProperties>
</file>