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1"/>
  <workbookPr/>
  <mc:AlternateContent xmlns:mc="http://schemas.openxmlformats.org/markup-compatibility/2006">
    <mc:Choice Requires="x15">
      <x15ac:absPath xmlns:x15ac="http://schemas.microsoft.com/office/spreadsheetml/2010/11/ac" url="/Users/michaelsjoeberg/Dropbox/_PROJECTS/_investing/stocks/"/>
    </mc:Choice>
  </mc:AlternateContent>
  <xr:revisionPtr revIDLastSave="0" documentId="13_ncr:1_{E4C72758-AD69-8748-97DF-19A62A953FF9}" xr6:coauthVersionLast="46" xr6:coauthVersionMax="46" xr10:uidLastSave="{00000000-0000-0000-0000-000000000000}"/>
  <bookViews>
    <workbookView xWindow="-56700" yWindow="-5940" windowWidth="28240" windowHeight="26740" tabRatio="500" xr2:uid="{00000000-000D-0000-FFFF-FFFF00000000}"/>
  </bookViews>
  <sheets>
    <sheet name="Main" sheetId="2" r:id="rId1"/>
    <sheet name="Reports" sheetId="1" r:id="rId2"/>
    <sheet name="Products" sheetId="3" r:id="rId3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" i="2" l="1"/>
  <c r="F22" i="2"/>
  <c r="G22" i="2" s="1"/>
  <c r="H22" i="2" s="1"/>
  <c r="E22" i="2"/>
  <c r="D18" i="2"/>
  <c r="M61" i="1"/>
  <c r="M64" i="1"/>
  <c r="M10" i="1"/>
  <c r="L23" i="1"/>
  <c r="L22" i="1"/>
  <c r="L21" i="1"/>
  <c r="L20" i="1"/>
  <c r="M19" i="1"/>
  <c r="L19" i="1"/>
  <c r="M17" i="1"/>
  <c r="M18" i="1" s="1"/>
  <c r="M27" i="1" s="1"/>
  <c r="L17" i="1"/>
  <c r="L18" i="1" s="1"/>
  <c r="L27" i="1" s="1"/>
  <c r="M26" i="1"/>
  <c r="L28" i="1"/>
  <c r="L26" i="1"/>
  <c r="L12" i="1"/>
  <c r="M13" i="1"/>
  <c r="M12" i="1" s="1"/>
  <c r="L13" i="1"/>
  <c r="K62" i="1"/>
  <c r="D23" i="2"/>
  <c r="E23" i="2" s="1"/>
  <c r="F23" i="2" s="1"/>
  <c r="G23" i="2" s="1"/>
  <c r="H23" i="2" s="1"/>
  <c r="I23" i="2" s="1"/>
  <c r="J23" i="2" s="1"/>
  <c r="K23" i="2" s="1"/>
  <c r="L23" i="2" s="1"/>
  <c r="M23" i="2" s="1"/>
  <c r="D22" i="2"/>
  <c r="D21" i="2"/>
  <c r="E21" i="2" s="1"/>
  <c r="F21" i="2" s="1"/>
  <c r="G21" i="2" s="1"/>
  <c r="H21" i="2" s="1"/>
  <c r="M16" i="1"/>
  <c r="L16" i="1"/>
  <c r="L33" i="1" s="1"/>
  <c r="M15" i="1"/>
  <c r="M32" i="1" s="1"/>
  <c r="L15" i="1"/>
  <c r="L32" i="1" s="1"/>
  <c r="L14" i="1"/>
  <c r="L34" i="1"/>
  <c r="M33" i="1"/>
  <c r="M31" i="1"/>
  <c r="L31" i="1"/>
  <c r="M14" i="1"/>
  <c r="D15" i="2"/>
  <c r="E15" i="2" s="1"/>
  <c r="F15" i="2" s="1"/>
  <c r="G15" i="2" s="1"/>
  <c r="H15" i="2" s="1"/>
  <c r="M30" i="1"/>
  <c r="L64" i="1"/>
  <c r="K30" i="1"/>
  <c r="L30" i="1"/>
  <c r="C5" i="2"/>
  <c r="C64" i="2"/>
  <c r="C62" i="2"/>
  <c r="B70" i="2"/>
  <c r="C16" i="2"/>
  <c r="D16" i="2" s="1"/>
  <c r="C15" i="2"/>
  <c r="B15" i="2"/>
  <c r="B16" i="2" s="1"/>
  <c r="I11" i="1"/>
  <c r="I9" i="1"/>
  <c r="E11" i="1"/>
  <c r="E9" i="1"/>
  <c r="C68" i="2"/>
  <c r="C13" i="2"/>
  <c r="C12" i="2"/>
  <c r="C61" i="2" s="1"/>
  <c r="C11" i="2"/>
  <c r="C60" i="2" s="1"/>
  <c r="C10" i="2"/>
  <c r="C59" i="2" s="1"/>
  <c r="B18" i="2"/>
  <c r="B28" i="2"/>
  <c r="B26" i="2"/>
  <c r="B23" i="2"/>
  <c r="B22" i="2"/>
  <c r="B21" i="2"/>
  <c r="B19" i="2"/>
  <c r="B13" i="2"/>
  <c r="B12" i="2"/>
  <c r="B11" i="2"/>
  <c r="B10" i="2"/>
  <c r="D67" i="2"/>
  <c r="E67" i="2" s="1"/>
  <c r="K64" i="1"/>
  <c r="J64" i="1"/>
  <c r="G64" i="1"/>
  <c r="F64" i="1"/>
  <c r="F55" i="1"/>
  <c r="F54" i="1"/>
  <c r="F53" i="1"/>
  <c r="G55" i="1"/>
  <c r="G54" i="1"/>
  <c r="G53" i="1"/>
  <c r="I56" i="1"/>
  <c r="I55" i="1"/>
  <c r="I54" i="1"/>
  <c r="I53" i="1"/>
  <c r="H56" i="1"/>
  <c r="H55" i="1"/>
  <c r="H54" i="1"/>
  <c r="H53" i="1"/>
  <c r="K58" i="1"/>
  <c r="K55" i="1"/>
  <c r="K54" i="1"/>
  <c r="K53" i="1"/>
  <c r="K42" i="1"/>
  <c r="K45" i="1" s="1"/>
  <c r="K38" i="1"/>
  <c r="K36" i="1"/>
  <c r="K37" i="1"/>
  <c r="K44" i="1" s="1"/>
  <c r="I42" i="1"/>
  <c r="I38" i="1"/>
  <c r="I37" i="1"/>
  <c r="K33" i="1"/>
  <c r="K32" i="1"/>
  <c r="K31" i="1"/>
  <c r="K19" i="1"/>
  <c r="K17" i="1"/>
  <c r="K12" i="1"/>
  <c r="K6" i="1"/>
  <c r="K56" i="1" s="1"/>
  <c r="G9" i="1"/>
  <c r="G11" i="1" s="1"/>
  <c r="G30" i="1" s="1"/>
  <c r="B12" i="1"/>
  <c r="C12" i="1"/>
  <c r="C11" i="1"/>
  <c r="D12" i="1"/>
  <c r="D11" i="1"/>
  <c r="E12" i="1"/>
  <c r="F12" i="1"/>
  <c r="G12" i="1"/>
  <c r="H12" i="1"/>
  <c r="I12" i="1"/>
  <c r="J12" i="1"/>
  <c r="J62" i="1"/>
  <c r="J58" i="1"/>
  <c r="J56" i="1"/>
  <c r="J55" i="1"/>
  <c r="J54" i="1"/>
  <c r="J53" i="1"/>
  <c r="F9" i="1"/>
  <c r="J9" i="1"/>
  <c r="J11" i="1" s="1"/>
  <c r="B6" i="1"/>
  <c r="B11" i="1" s="1"/>
  <c r="C6" i="1"/>
  <c r="D6" i="1"/>
  <c r="E6" i="1"/>
  <c r="F6" i="1"/>
  <c r="F56" i="1" s="1"/>
  <c r="G6" i="1"/>
  <c r="G56" i="1" s="1"/>
  <c r="H6" i="1"/>
  <c r="H11" i="1" s="1"/>
  <c r="H30" i="1" s="1"/>
  <c r="I6" i="1"/>
  <c r="J6" i="1"/>
  <c r="I22" i="2" l="1"/>
  <c r="J22" i="2" s="1"/>
  <c r="K22" i="2" s="1"/>
  <c r="L22" i="2" s="1"/>
  <c r="M22" i="2" s="1"/>
  <c r="N22" i="2" s="1"/>
  <c r="O22" i="2" s="1"/>
  <c r="P22" i="2" s="1"/>
  <c r="Q22" i="2" s="1"/>
  <c r="R22" i="2" s="1"/>
  <c r="D65" i="2"/>
  <c r="E16" i="2"/>
  <c r="C18" i="2"/>
  <c r="C70" i="2" s="1"/>
  <c r="M20" i="1"/>
  <c r="C65" i="2"/>
  <c r="M34" i="1"/>
  <c r="I21" i="2"/>
  <c r="J21" i="2" s="1"/>
  <c r="K21" i="2" s="1"/>
  <c r="L21" i="2" s="1"/>
  <c r="M21" i="2" s="1"/>
  <c r="N21" i="2" s="1"/>
  <c r="O21" i="2" s="1"/>
  <c r="P21" i="2" s="1"/>
  <c r="Q21" i="2" s="1"/>
  <c r="R21" i="2" s="1"/>
  <c r="D64" i="2"/>
  <c r="D37" i="2"/>
  <c r="D68" i="2"/>
  <c r="F64" i="2"/>
  <c r="E64" i="2"/>
  <c r="I30" i="1"/>
  <c r="K9" i="1"/>
  <c r="J59" i="1"/>
  <c r="F11" i="1"/>
  <c r="J30" i="1" s="1"/>
  <c r="M22" i="1" l="1"/>
  <c r="M23" i="1" s="1"/>
  <c r="M21" i="1"/>
  <c r="M28" i="1" s="1"/>
  <c r="F16" i="2"/>
  <c r="E18" i="2"/>
  <c r="E70" i="2" s="1"/>
  <c r="E65" i="2"/>
  <c r="D70" i="2"/>
  <c r="F67" i="2"/>
  <c r="E68" i="2"/>
  <c r="G64" i="2"/>
  <c r="H64" i="2"/>
  <c r="K59" i="1"/>
  <c r="K11" i="1"/>
  <c r="E37" i="2"/>
  <c r="G16" i="2" l="1"/>
  <c r="F18" i="2"/>
  <c r="F65" i="2"/>
  <c r="G67" i="2"/>
  <c r="H67" i="2" s="1"/>
  <c r="F70" i="2"/>
  <c r="F68" i="2"/>
  <c r="K13" i="1"/>
  <c r="C49" i="2"/>
  <c r="C48" i="2"/>
  <c r="C31" i="2"/>
  <c r="D31" i="2" s="1"/>
  <c r="C28" i="2"/>
  <c r="C26" i="2"/>
  <c r="C22" i="2"/>
  <c r="C21" i="2"/>
  <c r="C19" i="2"/>
  <c r="C44" i="2"/>
  <c r="I45" i="1"/>
  <c r="I32" i="1"/>
  <c r="I31" i="1"/>
  <c r="I17" i="1"/>
  <c r="H16" i="2" l="1"/>
  <c r="G65" i="2"/>
  <c r="G18" i="2"/>
  <c r="H68" i="2"/>
  <c r="G70" i="2"/>
  <c r="G68" i="2"/>
  <c r="K26" i="1"/>
  <c r="K18" i="1"/>
  <c r="D38" i="2"/>
  <c r="D39" i="2"/>
  <c r="C52" i="2"/>
  <c r="I36" i="1"/>
  <c r="I44" i="1"/>
  <c r="C45" i="2"/>
  <c r="C43" i="2" s="1"/>
  <c r="D26" i="2" s="1"/>
  <c r="I13" i="1"/>
  <c r="I26" i="1" s="1"/>
  <c r="C47" i="2"/>
  <c r="H65" i="2" l="1"/>
  <c r="H18" i="2"/>
  <c r="H70" i="2"/>
  <c r="J24" i="2"/>
  <c r="K27" i="1"/>
  <c r="K20" i="1"/>
  <c r="I18" i="1"/>
  <c r="C51" i="2"/>
  <c r="C20" i="2"/>
  <c r="I18" i="2" l="1"/>
  <c r="J18" i="2" s="1"/>
  <c r="K18" i="2" s="1"/>
  <c r="L18" i="2" s="1"/>
  <c r="M18" i="2" s="1"/>
  <c r="N18" i="2" s="1"/>
  <c r="O18" i="2" s="1"/>
  <c r="P18" i="2" s="1"/>
  <c r="Q18" i="2" s="1"/>
  <c r="R18" i="2" s="1"/>
  <c r="K24" i="2"/>
  <c r="K22" i="1"/>
  <c r="K23" i="1" s="1"/>
  <c r="K28" i="1"/>
  <c r="N39" i="2"/>
  <c r="I27" i="1"/>
  <c r="I20" i="1"/>
  <c r="L24" i="2" l="1"/>
  <c r="I22" i="1"/>
  <c r="I28" i="1"/>
  <c r="M24" i="2" l="1"/>
  <c r="O39" i="2"/>
  <c r="I23" i="1"/>
  <c r="J32" i="1"/>
  <c r="J31" i="1"/>
  <c r="J17" i="1"/>
  <c r="N38" i="2" l="1"/>
  <c r="P39" i="2"/>
  <c r="H13" i="1"/>
  <c r="H17" i="1"/>
  <c r="J13" i="1"/>
  <c r="C4" i="2"/>
  <c r="H31" i="1"/>
  <c r="H32" i="1"/>
  <c r="G32" i="1"/>
  <c r="G31" i="1"/>
  <c r="C17" i="1"/>
  <c r="D17" i="1"/>
  <c r="I33" i="1"/>
  <c r="D13" i="1"/>
  <c r="D26" i="1" s="1"/>
  <c r="C13" i="1"/>
  <c r="B17" i="1"/>
  <c r="F32" i="1"/>
  <c r="F31" i="1"/>
  <c r="B13" i="1"/>
  <c r="B26" i="1" s="1"/>
  <c r="F13" i="1"/>
  <c r="J33" i="1"/>
  <c r="B31" i="2"/>
  <c r="E31" i="2"/>
  <c r="F31" i="2" s="1"/>
  <c r="G31" i="2" s="1"/>
  <c r="H31" i="2" s="1"/>
  <c r="I31" i="2" s="1"/>
  <c r="J31" i="2" s="1"/>
  <c r="K31" i="2" s="1"/>
  <c r="L31" i="2" s="1"/>
  <c r="M31" i="2" s="1"/>
  <c r="C9" i="2"/>
  <c r="D9" i="2" s="1"/>
  <c r="E9" i="2" s="1"/>
  <c r="F9" i="2" s="1"/>
  <c r="G9" i="2" s="1"/>
  <c r="H9" i="2" s="1"/>
  <c r="I9" i="2" s="1"/>
  <c r="J9" i="2" s="1"/>
  <c r="K9" i="2" s="1"/>
  <c r="L9" i="2" s="1"/>
  <c r="M9" i="2" s="1"/>
  <c r="O38" i="2" l="1"/>
  <c r="N31" i="2"/>
  <c r="O31" i="2" s="1"/>
  <c r="P31" i="2" s="1"/>
  <c r="Q31" i="2" s="1"/>
  <c r="R31" i="2" s="1"/>
  <c r="N9" i="2"/>
  <c r="O9" i="2" s="1"/>
  <c r="P9" i="2" s="1"/>
  <c r="Q9" i="2" s="1"/>
  <c r="R9" i="2" s="1"/>
  <c r="Q39" i="2"/>
  <c r="F30" i="1"/>
  <c r="G13" i="1"/>
  <c r="G26" i="1" s="1"/>
  <c r="E13" i="1"/>
  <c r="E26" i="1" s="1"/>
  <c r="F17" i="1"/>
  <c r="J34" i="1" s="1"/>
  <c r="C23" i="2"/>
  <c r="E17" i="1"/>
  <c r="H18" i="1"/>
  <c r="H20" i="1" s="1"/>
  <c r="H22" i="1" s="1"/>
  <c r="J18" i="1"/>
  <c r="J26" i="1"/>
  <c r="C18" i="1"/>
  <c r="C20" i="1" s="1"/>
  <c r="C26" i="1"/>
  <c r="H33" i="1"/>
  <c r="D18" i="1"/>
  <c r="B18" i="1"/>
  <c r="G17" i="1"/>
  <c r="K34" i="1" s="1"/>
  <c r="F33" i="1"/>
  <c r="C6" i="2"/>
  <c r="C7" i="2" s="1"/>
  <c r="F26" i="1"/>
  <c r="G33" i="1"/>
  <c r="H34" i="1"/>
  <c r="P38" i="2" l="1"/>
  <c r="D40" i="2"/>
  <c r="D24" i="2"/>
  <c r="N23" i="2"/>
  <c r="R39" i="2"/>
  <c r="E18" i="1"/>
  <c r="E27" i="1" s="1"/>
  <c r="C27" i="1"/>
  <c r="C24" i="2"/>
  <c r="C25" i="2" s="1"/>
  <c r="C27" i="2" s="1"/>
  <c r="H23" i="1"/>
  <c r="F18" i="1"/>
  <c r="F20" i="1" s="1"/>
  <c r="F28" i="1" s="1"/>
  <c r="I34" i="1"/>
  <c r="F34" i="1"/>
  <c r="G34" i="1"/>
  <c r="J27" i="1"/>
  <c r="J20" i="1"/>
  <c r="C22" i="1"/>
  <c r="C28" i="1"/>
  <c r="B27" i="1"/>
  <c r="B20" i="1"/>
  <c r="C39" i="2"/>
  <c r="D20" i="1"/>
  <c r="D27" i="1"/>
  <c r="B20" i="2"/>
  <c r="G18" i="1"/>
  <c r="B24" i="2"/>
  <c r="R38" i="2" l="1"/>
  <c r="Q38" i="2"/>
  <c r="N40" i="2"/>
  <c r="N24" i="2"/>
  <c r="D41" i="2"/>
  <c r="E28" i="1"/>
  <c r="F22" i="1"/>
  <c r="F23" i="1" s="1"/>
  <c r="F27" i="1"/>
  <c r="J22" i="1"/>
  <c r="K47" i="1" s="1"/>
  <c r="J28" i="1"/>
  <c r="C38" i="2"/>
  <c r="G20" i="1"/>
  <c r="G27" i="1"/>
  <c r="D22" i="1"/>
  <c r="D28" i="1"/>
  <c r="H26" i="1"/>
  <c r="C40" i="2"/>
  <c r="B25" i="2"/>
  <c r="B33" i="2"/>
  <c r="B28" i="1"/>
  <c r="B22" i="1"/>
  <c r="C23" i="1"/>
  <c r="C41" i="2"/>
  <c r="K51" i="1" l="1"/>
  <c r="K48" i="1"/>
  <c r="K50" i="1"/>
  <c r="K49" i="1"/>
  <c r="E22" i="1"/>
  <c r="E23" i="1" s="1"/>
  <c r="J23" i="1"/>
  <c r="H27" i="1"/>
  <c r="E24" i="2"/>
  <c r="G28" i="1"/>
  <c r="G22" i="1"/>
  <c r="E39" i="2"/>
  <c r="C37" i="2"/>
  <c r="D23" i="1"/>
  <c r="B23" i="1"/>
  <c r="B34" i="2"/>
  <c r="B27" i="2"/>
  <c r="N41" i="2" l="1"/>
  <c r="G23" i="1"/>
  <c r="I47" i="1"/>
  <c r="E41" i="2"/>
  <c r="E38" i="2"/>
  <c r="C33" i="2"/>
  <c r="D20" i="2" s="1"/>
  <c r="E40" i="2"/>
  <c r="F39" i="2"/>
  <c r="B35" i="2"/>
  <c r="B29" i="2"/>
  <c r="D33" i="2" l="1"/>
  <c r="D19" i="2"/>
  <c r="D25" i="2"/>
  <c r="O23" i="2"/>
  <c r="I51" i="1"/>
  <c r="I49" i="1"/>
  <c r="I50" i="1"/>
  <c r="I48" i="1"/>
  <c r="F24" i="2"/>
  <c r="F41" i="2" s="1"/>
  <c r="F38" i="2"/>
  <c r="H28" i="1"/>
  <c r="B30" i="2"/>
  <c r="G39" i="2"/>
  <c r="C34" i="2"/>
  <c r="F40" i="2"/>
  <c r="D34" i="2" l="1"/>
  <c r="D27" i="2"/>
  <c r="O40" i="2"/>
  <c r="P23" i="2"/>
  <c r="O24" i="2"/>
  <c r="O41" i="2" s="1"/>
  <c r="E20" i="2"/>
  <c r="E19" i="2" s="1"/>
  <c r="G24" i="2"/>
  <c r="G41" i="2" s="1"/>
  <c r="G38" i="2"/>
  <c r="C35" i="2"/>
  <c r="F37" i="2"/>
  <c r="H39" i="2"/>
  <c r="G40" i="2"/>
  <c r="N37" i="2" l="1"/>
  <c r="D35" i="2"/>
  <c r="P40" i="2"/>
  <c r="P24" i="2"/>
  <c r="P41" i="2" s="1"/>
  <c r="Q23" i="2"/>
  <c r="E33" i="2"/>
  <c r="F20" i="2" s="1"/>
  <c r="F19" i="2" s="1"/>
  <c r="E25" i="2"/>
  <c r="E34" i="2" s="1"/>
  <c r="C29" i="2"/>
  <c r="H38" i="2"/>
  <c r="G37" i="2"/>
  <c r="H40" i="2"/>
  <c r="H24" i="2"/>
  <c r="H41" i="2" s="1"/>
  <c r="I39" i="2"/>
  <c r="D29" i="2" l="1"/>
  <c r="Q40" i="2"/>
  <c r="R23" i="2"/>
  <c r="Q24" i="2"/>
  <c r="Q41" i="2" s="1"/>
  <c r="F33" i="2"/>
  <c r="G20" i="2" s="1"/>
  <c r="G33" i="2" s="1"/>
  <c r="H20" i="2" s="1"/>
  <c r="H19" i="2" s="1"/>
  <c r="F25" i="2"/>
  <c r="F34" i="2" s="1"/>
  <c r="C30" i="2"/>
  <c r="C54" i="2"/>
  <c r="C56" i="2"/>
  <c r="C55" i="2"/>
  <c r="C57" i="2"/>
  <c r="I38" i="2"/>
  <c r="I40" i="2"/>
  <c r="H37" i="2"/>
  <c r="I24" i="2"/>
  <c r="I41" i="2" s="1"/>
  <c r="J39" i="2"/>
  <c r="D43" i="2" l="1"/>
  <c r="D30" i="2"/>
  <c r="G19" i="2"/>
  <c r="G25" i="2"/>
  <c r="G34" i="2" s="1"/>
  <c r="R40" i="2"/>
  <c r="R24" i="2"/>
  <c r="R41" i="2" s="1"/>
  <c r="J38" i="2"/>
  <c r="H25" i="2"/>
  <c r="H33" i="2"/>
  <c r="I20" i="2" s="1"/>
  <c r="I37" i="2"/>
  <c r="J41" i="2"/>
  <c r="K39" i="2"/>
  <c r="J40" i="2"/>
  <c r="K38" i="2" l="1"/>
  <c r="J37" i="2"/>
  <c r="L39" i="2"/>
  <c r="I25" i="2"/>
  <c r="I33" i="2"/>
  <c r="J20" i="2" s="1"/>
  <c r="H34" i="2"/>
  <c r="I19" i="2"/>
  <c r="K40" i="2"/>
  <c r="K41" i="2"/>
  <c r="L38" i="2" l="1"/>
  <c r="J25" i="2"/>
  <c r="J33" i="2"/>
  <c r="K20" i="2" s="1"/>
  <c r="J19" i="2"/>
  <c r="L40" i="2"/>
  <c r="I34" i="2"/>
  <c r="L41" i="2"/>
  <c r="M39" i="2"/>
  <c r="K37" i="2"/>
  <c r="M38" i="2" l="1"/>
  <c r="K33" i="2"/>
  <c r="L20" i="2" s="1"/>
  <c r="L19" i="2" s="1"/>
  <c r="K25" i="2"/>
  <c r="K19" i="2"/>
  <c r="L37" i="2"/>
  <c r="M41" i="2"/>
  <c r="E26" i="2"/>
  <c r="E27" i="2" s="1"/>
  <c r="M40" i="2"/>
  <c r="J34" i="2"/>
  <c r="E35" i="2" l="1"/>
  <c r="K34" i="2"/>
  <c r="M37" i="2"/>
  <c r="L25" i="2"/>
  <c r="L33" i="2"/>
  <c r="M20" i="2" s="1"/>
  <c r="O37" i="2" l="1"/>
  <c r="E29" i="2"/>
  <c r="M25" i="2"/>
  <c r="M33" i="2"/>
  <c r="N20" i="2" s="1"/>
  <c r="M19" i="2"/>
  <c r="L34" i="2"/>
  <c r="N33" i="2" l="1"/>
  <c r="N25" i="2"/>
  <c r="N34" i="2" s="1"/>
  <c r="N19" i="2"/>
  <c r="O20" i="2"/>
  <c r="P37" i="2"/>
  <c r="E30" i="2"/>
  <c r="E43" i="2"/>
  <c r="F26" i="2" s="1"/>
  <c r="F27" i="2" s="1"/>
  <c r="M34" i="2"/>
  <c r="Q37" i="2" l="1"/>
  <c r="O33" i="2"/>
  <c r="P20" i="2" s="1"/>
  <c r="O25" i="2"/>
  <c r="O19" i="2"/>
  <c r="F35" i="2"/>
  <c r="O34" i="2" l="1"/>
  <c r="P33" i="2"/>
  <c r="Q20" i="2" s="1"/>
  <c r="P25" i="2"/>
  <c r="P19" i="2"/>
  <c r="R37" i="2"/>
  <c r="F29" i="2"/>
  <c r="F43" i="2" l="1"/>
  <c r="P34" i="2"/>
  <c r="Q19" i="2"/>
  <c r="Q33" i="2"/>
  <c r="R20" i="2" s="1"/>
  <c r="Q25" i="2"/>
  <c r="F30" i="2"/>
  <c r="G26" i="2"/>
  <c r="G27" i="2" s="1"/>
  <c r="Q34" i="2" l="1"/>
  <c r="R33" i="2"/>
  <c r="R25" i="2"/>
  <c r="R19" i="2"/>
  <c r="G35" i="2"/>
  <c r="R34" i="2" l="1"/>
  <c r="G29" i="2"/>
  <c r="G30" i="2" l="1"/>
  <c r="G43" i="2"/>
  <c r="H26" i="2" s="1"/>
  <c r="H27" i="2" s="1"/>
  <c r="H28" i="2" s="1"/>
  <c r="H35" i="2" l="1"/>
  <c r="H29" i="2" l="1"/>
  <c r="H30" i="2" l="1"/>
  <c r="H43" i="2"/>
  <c r="I26" i="2" s="1"/>
  <c r="I27" i="2" s="1"/>
  <c r="I28" i="2" s="1"/>
  <c r="I35" i="2" l="1"/>
  <c r="I29" i="2" l="1"/>
  <c r="I30" i="2" l="1"/>
  <c r="I43" i="2"/>
  <c r="J26" i="2" s="1"/>
  <c r="J27" i="2" s="1"/>
  <c r="J28" i="2" s="1"/>
  <c r="J35" i="2" l="1"/>
  <c r="J29" i="2" l="1"/>
  <c r="J30" i="2" l="1"/>
  <c r="J43" i="2"/>
  <c r="K26" i="2" l="1"/>
  <c r="K27" i="2" s="1"/>
  <c r="K28" i="2" s="1"/>
  <c r="K35" i="2" l="1"/>
  <c r="K29" i="2" l="1"/>
  <c r="K30" i="2" s="1"/>
  <c r="K43" i="2"/>
  <c r="L26" i="2" l="1"/>
  <c r="L27" i="2" s="1"/>
  <c r="L28" i="2" s="1"/>
  <c r="L35" i="2" l="1"/>
  <c r="L29" i="2" l="1"/>
  <c r="L30" i="2" s="1"/>
  <c r="L43" i="2"/>
  <c r="M26" i="2" l="1"/>
  <c r="M27" i="2" s="1"/>
  <c r="M28" i="2" l="1"/>
  <c r="M35" i="2" s="1"/>
  <c r="M29" i="2" l="1"/>
  <c r="M30" i="2" l="1"/>
  <c r="M43" i="2"/>
  <c r="N26" i="2" l="1"/>
  <c r="N27" i="2" s="1"/>
  <c r="N28" i="2" l="1"/>
  <c r="N35" i="2" s="1"/>
  <c r="N29" i="2" l="1"/>
  <c r="N30" i="2" s="1"/>
  <c r="N43" i="2" l="1"/>
  <c r="O26" i="2" s="1"/>
  <c r="O27" i="2" s="1"/>
  <c r="O28" i="2" s="1"/>
  <c r="O35" i="2" s="1"/>
  <c r="O29" i="2" l="1"/>
  <c r="O30" i="2" s="1"/>
  <c r="O43" i="2"/>
  <c r="P26" i="2" s="1"/>
  <c r="P27" i="2" s="1"/>
  <c r="P28" i="2" s="1"/>
  <c r="P35" i="2" s="1"/>
  <c r="P29" i="2" l="1"/>
  <c r="P30" i="2" l="1"/>
  <c r="P43" i="2"/>
  <c r="Q26" i="2" l="1"/>
  <c r="Q27" i="2" s="1"/>
  <c r="Q28" i="2" l="1"/>
  <c r="Q35" i="2" s="1"/>
  <c r="Q29" i="2" l="1"/>
  <c r="Q30" i="2" s="1"/>
  <c r="Q43" i="2"/>
  <c r="R26" i="2" l="1"/>
  <c r="R27" i="2" s="1"/>
  <c r="R28" i="2" l="1"/>
  <c r="R35" i="2" s="1"/>
  <c r="R29" i="2" l="1"/>
  <c r="S29" i="2" s="1"/>
  <c r="R30" i="2" l="1"/>
  <c r="R43" i="2"/>
  <c r="T29" i="2" l="1"/>
  <c r="U29" i="2" l="1"/>
  <c r="V29" i="2" s="1"/>
  <c r="W29" i="2" s="1"/>
  <c r="X29" i="2" s="1"/>
  <c r="Y29" i="2" s="1"/>
  <c r="Z29" i="2" s="1"/>
  <c r="AA29" i="2" s="1"/>
  <c r="AB29" i="2" s="1"/>
  <c r="AC29" i="2" s="1"/>
  <c r="AD29" i="2" s="1"/>
  <c r="AE29" i="2" s="1"/>
  <c r="AF29" i="2" s="1"/>
  <c r="AG29" i="2" s="1"/>
  <c r="AH29" i="2" s="1"/>
  <c r="AI29" i="2" s="1"/>
  <c r="AJ29" i="2" s="1"/>
  <c r="AK29" i="2" s="1"/>
  <c r="AL29" i="2" s="1"/>
  <c r="AM29" i="2" s="1"/>
  <c r="AN29" i="2" s="1"/>
  <c r="AO29" i="2" s="1"/>
  <c r="AP29" i="2" s="1"/>
  <c r="AQ29" i="2" s="1"/>
  <c r="AR29" i="2" s="1"/>
  <c r="AS29" i="2" s="1"/>
  <c r="AT29" i="2" s="1"/>
  <c r="AU29" i="2" s="1"/>
  <c r="AV29" i="2" s="1"/>
  <c r="AW29" i="2" s="1"/>
  <c r="AX29" i="2" s="1"/>
  <c r="AY29" i="2" s="1"/>
  <c r="AZ29" i="2" s="1"/>
  <c r="BA29" i="2" s="1"/>
  <c r="BB29" i="2" s="1"/>
  <c r="BC29" i="2" s="1"/>
  <c r="BD29" i="2" s="1"/>
  <c r="BE29" i="2" s="1"/>
  <c r="BF29" i="2" s="1"/>
  <c r="BG29" i="2" s="1"/>
  <c r="BH29" i="2" s="1"/>
  <c r="BI29" i="2" s="1"/>
  <c r="BJ29" i="2" s="1"/>
  <c r="BK29" i="2" s="1"/>
  <c r="BL29" i="2" s="1"/>
  <c r="BM29" i="2" s="1"/>
  <c r="BN29" i="2" s="1"/>
  <c r="BO29" i="2" s="1"/>
  <c r="BP29" i="2" s="1"/>
  <c r="BQ29" i="2" s="1"/>
  <c r="BR29" i="2" s="1"/>
  <c r="BS29" i="2" s="1"/>
  <c r="BT29" i="2" s="1"/>
  <c r="BU29" i="2" s="1"/>
  <c r="BV29" i="2" s="1"/>
  <c r="BW29" i="2" s="1"/>
  <c r="BX29" i="2" s="1"/>
  <c r="BY29" i="2" s="1"/>
  <c r="BZ29" i="2" s="1"/>
  <c r="CA29" i="2" s="1"/>
  <c r="CB29" i="2" s="1"/>
  <c r="CC29" i="2" s="1"/>
  <c r="CD29" i="2" s="1"/>
  <c r="CE29" i="2" s="1"/>
  <c r="CF29" i="2" s="1"/>
  <c r="CG29" i="2" s="1"/>
  <c r="CH29" i="2" s="1"/>
  <c r="CI29" i="2" s="1"/>
  <c r="CJ29" i="2" s="1"/>
  <c r="CK29" i="2" s="1"/>
  <c r="CL29" i="2" s="1"/>
  <c r="CM29" i="2" s="1"/>
  <c r="CN29" i="2" s="1"/>
  <c r="CO29" i="2" s="1"/>
  <c r="CP29" i="2" s="1"/>
  <c r="CQ29" i="2" s="1"/>
  <c r="CR29" i="2" s="1"/>
  <c r="CS29" i="2" s="1"/>
  <c r="CT29" i="2" s="1"/>
  <c r="CU29" i="2" s="1"/>
  <c r="CV29" i="2" s="1"/>
  <c r="CW29" i="2" s="1"/>
  <c r="CX29" i="2" s="1"/>
  <c r="CY29" i="2" s="1"/>
  <c r="CZ29" i="2" s="1"/>
  <c r="DA29" i="2" s="1"/>
  <c r="DB29" i="2" s="1"/>
  <c r="DC29" i="2" s="1"/>
  <c r="DD29" i="2" s="1"/>
  <c r="DE29" i="2" s="1"/>
  <c r="DF29" i="2" s="1"/>
  <c r="DG29" i="2" s="1"/>
  <c r="DH29" i="2" s="1"/>
  <c r="DI29" i="2" s="1"/>
  <c r="DJ29" i="2" s="1"/>
  <c r="DK29" i="2" s="1"/>
  <c r="DL29" i="2" s="1"/>
  <c r="DM29" i="2" s="1"/>
  <c r="DN29" i="2" s="1"/>
  <c r="DO29" i="2" s="1"/>
  <c r="DP29" i="2" s="1"/>
  <c r="DQ29" i="2" s="1"/>
  <c r="DR29" i="2" s="1"/>
  <c r="DS29" i="2" s="1"/>
  <c r="DT29" i="2" s="1"/>
  <c r="DU29" i="2" s="1"/>
  <c r="DV29" i="2" s="1"/>
  <c r="DW29" i="2" s="1"/>
  <c r="DX29" i="2" s="1"/>
  <c r="DY29" i="2" s="1"/>
  <c r="DZ29" i="2" s="1"/>
  <c r="EA29" i="2" s="1"/>
  <c r="EB29" i="2" s="1"/>
  <c r="EC29" i="2" s="1"/>
  <c r="ED29" i="2" s="1"/>
  <c r="EE29" i="2" s="1"/>
  <c r="EF29" i="2" s="1"/>
  <c r="EG29" i="2" s="1"/>
  <c r="EH29" i="2" s="1"/>
  <c r="EI29" i="2" s="1"/>
  <c r="EJ29" i="2" s="1"/>
  <c r="EK29" i="2" s="1"/>
  <c r="EL29" i="2" s="1"/>
  <c r="EM29" i="2" s="1"/>
  <c r="EN29" i="2" s="1"/>
  <c r="EO29" i="2" s="1"/>
  <c r="EP29" i="2" s="1"/>
  <c r="EQ29" i="2" s="1"/>
  <c r="ER29" i="2" s="1"/>
  <c r="ES29" i="2" s="1"/>
  <c r="ET29" i="2" s="1"/>
  <c r="EU29" i="2" s="1"/>
  <c r="EV29" i="2" s="1"/>
  <c r="EW29" i="2" s="1"/>
  <c r="EX29" i="2" s="1"/>
  <c r="EY29" i="2" s="1"/>
  <c r="EZ29" i="2" s="1"/>
  <c r="FA29" i="2" s="1"/>
  <c r="FB29" i="2" s="1"/>
  <c r="FC29" i="2" s="1"/>
  <c r="FD29" i="2" s="1"/>
  <c r="FE29" i="2" s="1"/>
  <c r="FF29" i="2" s="1"/>
  <c r="FG29" i="2" s="1"/>
  <c r="FH29" i="2" s="1"/>
  <c r="FI29" i="2" s="1"/>
  <c r="FJ29" i="2" s="1"/>
  <c r="FK29" i="2" s="1"/>
  <c r="FL29" i="2" s="1"/>
  <c r="FM29" i="2" s="1"/>
  <c r="FN29" i="2" s="1"/>
  <c r="FO29" i="2" s="1"/>
  <c r="FP29" i="2" s="1"/>
  <c r="FQ29" i="2" s="1"/>
  <c r="FR29" i="2" s="1"/>
  <c r="FS29" i="2" s="1"/>
  <c r="FT29" i="2" s="1"/>
  <c r="FU29" i="2" s="1"/>
  <c r="FV29" i="2" s="1"/>
  <c r="FW29" i="2" s="1"/>
  <c r="FX29" i="2" s="1"/>
  <c r="FY29" i="2" s="1"/>
  <c r="FZ29" i="2" s="1"/>
  <c r="GA29" i="2" s="1"/>
  <c r="GB29" i="2" s="1"/>
  <c r="GC29" i="2" s="1"/>
  <c r="GD29" i="2" s="1"/>
  <c r="GE29" i="2" s="1"/>
  <c r="GF29" i="2" s="1"/>
  <c r="GG29" i="2" s="1"/>
  <c r="GH29" i="2" s="1"/>
  <c r="GI29" i="2" s="1"/>
  <c r="GJ29" i="2" s="1"/>
  <c r="GK29" i="2" s="1"/>
  <c r="GL29" i="2" s="1"/>
  <c r="GM29" i="2" s="1"/>
  <c r="GN29" i="2" s="1"/>
  <c r="F6" i="2" l="1"/>
  <c r="F7" i="2" s="1"/>
  <c r="G7" i="2" s="1"/>
</calcChain>
</file>

<file path=xl/sharedStrings.xml><?xml version="1.0" encoding="utf-8"?>
<sst xmlns="http://schemas.openxmlformats.org/spreadsheetml/2006/main" count="142" uniqueCount="88">
  <si>
    <t>Revenue</t>
  </si>
  <si>
    <t>COGS</t>
  </si>
  <si>
    <t>Gross Profit</t>
  </si>
  <si>
    <t>R&amp;D</t>
  </si>
  <si>
    <t>S&amp;M</t>
  </si>
  <si>
    <t>G&amp;A</t>
  </si>
  <si>
    <t>Operating Expenses</t>
  </si>
  <si>
    <t>Operating Income</t>
  </si>
  <si>
    <t>Interest Income</t>
  </si>
  <si>
    <t>Pretax Income</t>
  </si>
  <si>
    <t>Taxes</t>
  </si>
  <si>
    <t>Net Income</t>
  </si>
  <si>
    <t>EPS</t>
  </si>
  <si>
    <t>Shares</t>
  </si>
  <si>
    <t>Revenue y/y</t>
  </si>
  <si>
    <t>Gross Margin</t>
  </si>
  <si>
    <t>Operating Margin</t>
  </si>
  <si>
    <t>Tax Rate</t>
  </si>
  <si>
    <t>Net Cash</t>
  </si>
  <si>
    <t>Cash</t>
  </si>
  <si>
    <t>Debt</t>
  </si>
  <si>
    <t>Maturity</t>
  </si>
  <si>
    <t>ROIC</t>
  </si>
  <si>
    <t>Discount</t>
  </si>
  <si>
    <t>NPV</t>
  </si>
  <si>
    <t>Value</t>
  </si>
  <si>
    <t>R&amp;D y/y</t>
  </si>
  <si>
    <t>S&amp;M y/y</t>
  </si>
  <si>
    <t>G&amp;A y/y</t>
  </si>
  <si>
    <t>EDGAR</t>
  </si>
  <si>
    <t>CEO</t>
  </si>
  <si>
    <t>Founder</t>
  </si>
  <si>
    <t>Price</t>
  </si>
  <si>
    <t>Market Cap</t>
  </si>
  <si>
    <t>EV</t>
  </si>
  <si>
    <t>per share</t>
  </si>
  <si>
    <t>Q119</t>
  </si>
  <si>
    <t>Q219</t>
  </si>
  <si>
    <t>Q319</t>
  </si>
  <si>
    <t>Q419</t>
  </si>
  <si>
    <t>Intangibles</t>
  </si>
  <si>
    <t>Total assets</t>
  </si>
  <si>
    <t>Total liabilities</t>
  </si>
  <si>
    <t>TWC</t>
  </si>
  <si>
    <t>Equity</t>
  </si>
  <si>
    <t>NI 12M</t>
  </si>
  <si>
    <t>ROE</t>
  </si>
  <si>
    <t>ROA</t>
  </si>
  <si>
    <t>ROTB</t>
  </si>
  <si>
    <t>ROTWC</t>
  </si>
  <si>
    <t>Investor Relations</t>
  </si>
  <si>
    <t>Expected return on invested capital (innovation grade)</t>
  </si>
  <si>
    <t>Operating Expenses y/y</t>
  </si>
  <si>
    <t>Q120</t>
  </si>
  <si>
    <t>Q420</t>
  </si>
  <si>
    <t>Risk-free rate + market premium (opportunity cost)</t>
  </si>
  <si>
    <t>http://www.worldgovernmentbonds.com/country/united-states/</t>
  </si>
  <si>
    <t>Net present value on future net income (terminal value)</t>
  </si>
  <si>
    <t>Q220</t>
  </si>
  <si>
    <t>Q320</t>
  </si>
  <si>
    <t>PRODUCTS</t>
  </si>
  <si>
    <t>Q121</t>
  </si>
  <si>
    <t>Q221</t>
  </si>
  <si>
    <t>Q321</t>
  </si>
  <si>
    <t>Q421</t>
  </si>
  <si>
    <t>APRU y/y</t>
  </si>
  <si>
    <t>GMV</t>
  </si>
  <si>
    <t>GMV y/y</t>
  </si>
  <si>
    <t>R/GMV</t>
  </si>
  <si>
    <t>Affirm Holdings Inc (AFRM)</t>
  </si>
  <si>
    <t>Max Levchin</t>
  </si>
  <si>
    <t>Merchant</t>
  </si>
  <si>
    <t>Virtual card</t>
  </si>
  <si>
    <t>Interest</t>
  </si>
  <si>
    <t>Loans and servicing</t>
  </si>
  <si>
    <t>Merchant y/y</t>
  </si>
  <si>
    <t>Virtual card y/y</t>
  </si>
  <si>
    <t>Interest y/y</t>
  </si>
  <si>
    <t>Loans and servicing y/y</t>
  </si>
  <si>
    <t>Customers</t>
  </si>
  <si>
    <t>ARPC</t>
  </si>
  <si>
    <t>Customers y/y</t>
  </si>
  <si>
    <t>Consumer Platform</t>
  </si>
  <si>
    <t>Merchant Platform</t>
  </si>
  <si>
    <t>Buy now, pay later</t>
  </si>
  <si>
    <t>POS, analytics, promotions, ads</t>
  </si>
  <si>
    <t>POST IPO</t>
  </si>
  <si>
    <t>5% of US E-commerce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</si>
</sst>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_ ;[Red]\-#,##0\ "/>
    <numFmt numFmtId="165" formatCode="0.0%"/>
    <numFmt numFmtId="166" formatCode="#,##0.0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0"/>
      <color theme="1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i/>
      <sz val="10"/>
      <color theme="1"/>
      <name val="Arial"/>
      <family val="2"/>
    </font>
    <font>
      <b/>
      <u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84">
    <xf numFmtId="0" fontId="0" fillId="0" borderId="0" xfId="0"/>
    <xf numFmtId="0" fontId="5" fillId="0" borderId="0" xfId="0" applyFont="1"/>
    <xf numFmtId="0" fontId="6" fillId="0" borderId="0" xfId="0" applyFont="1"/>
    <xf numFmtId="4" fontId="6" fillId="0" borderId="0" xfId="0" applyNumberFormat="1" applyFont="1" applyBorder="1"/>
    <xf numFmtId="0" fontId="7" fillId="0" borderId="0" xfId="0" applyFont="1"/>
    <xf numFmtId="0" fontId="6" fillId="0" borderId="0" xfId="0" applyFont="1" applyBorder="1"/>
    <xf numFmtId="10" fontId="6" fillId="0" borderId="0" xfId="0" applyNumberFormat="1" applyFont="1"/>
    <xf numFmtId="3" fontId="6" fillId="0" borderId="0" xfId="0" applyNumberFormat="1" applyFont="1" applyBorder="1"/>
    <xf numFmtId="0" fontId="4" fillId="0" borderId="0" xfId="4" applyFont="1"/>
    <xf numFmtId="3" fontId="6" fillId="2" borderId="0" xfId="0" applyNumberFormat="1" applyFont="1" applyFill="1" applyBorder="1"/>
    <xf numFmtId="164" fontId="6" fillId="2" borderId="0" xfId="0" applyNumberFormat="1" applyFont="1" applyFill="1"/>
    <xf numFmtId="0" fontId="5" fillId="0" borderId="0" xfId="0" applyFont="1" applyBorder="1"/>
    <xf numFmtId="164" fontId="5" fillId="2" borderId="0" xfId="0" applyNumberFormat="1" applyFont="1" applyFill="1"/>
    <xf numFmtId="0" fontId="7" fillId="0" borderId="0" xfId="0" applyFont="1" applyBorder="1"/>
    <xf numFmtId="164" fontId="6" fillId="0" borderId="0" xfId="0" applyNumberFormat="1" applyFont="1"/>
    <xf numFmtId="3" fontId="6" fillId="0" borderId="0" xfId="0" applyNumberFormat="1" applyFont="1"/>
    <xf numFmtId="3" fontId="5" fillId="0" borderId="0" xfId="0" applyNumberFormat="1" applyFont="1" applyBorder="1"/>
    <xf numFmtId="0" fontId="6" fillId="0" borderId="0" xfId="0" applyFont="1" applyFill="1" applyBorder="1"/>
    <xf numFmtId="9" fontId="6" fillId="0" borderId="0" xfId="0" applyNumberFormat="1" applyFont="1"/>
    <xf numFmtId="0" fontId="6" fillId="0" borderId="0" xfId="0" applyFont="1" applyBorder="1" applyAlignment="1">
      <alignment horizontal="right"/>
    </xf>
    <xf numFmtId="0" fontId="6" fillId="0" borderId="1" xfId="0" applyFont="1" applyBorder="1" applyAlignment="1">
      <alignment horizontal="right"/>
    </xf>
    <xf numFmtId="3" fontId="6" fillId="0" borderId="1" xfId="0" applyNumberFormat="1" applyFont="1" applyBorder="1" applyAlignment="1">
      <alignment horizontal="right"/>
    </xf>
    <xf numFmtId="3" fontId="6" fillId="0" borderId="0" xfId="0" applyNumberFormat="1" applyFont="1" applyBorder="1" applyAlignment="1">
      <alignment horizontal="right"/>
    </xf>
    <xf numFmtId="3" fontId="5" fillId="2" borderId="0" xfId="0" applyNumberFormat="1" applyFont="1" applyFill="1" applyBorder="1" applyAlignment="1">
      <alignment horizontal="right"/>
    </xf>
    <xf numFmtId="3" fontId="5" fillId="2" borderId="1" xfId="0" applyNumberFormat="1" applyFont="1" applyFill="1" applyBorder="1" applyAlignment="1">
      <alignment horizontal="right"/>
    </xf>
    <xf numFmtId="3" fontId="6" fillId="2" borderId="0" xfId="0" applyNumberFormat="1" applyFont="1" applyFill="1" applyBorder="1" applyAlignment="1">
      <alignment horizontal="right"/>
    </xf>
    <xf numFmtId="3" fontId="6" fillId="2" borderId="1" xfId="0" applyNumberFormat="1" applyFont="1" applyFill="1" applyBorder="1" applyAlignment="1">
      <alignment horizontal="right"/>
    </xf>
    <xf numFmtId="2" fontId="6" fillId="2" borderId="0" xfId="0" applyNumberFormat="1" applyFont="1" applyFill="1" applyBorder="1" applyAlignment="1">
      <alignment horizontal="right"/>
    </xf>
    <xf numFmtId="9" fontId="5" fillId="0" borderId="0" xfId="1" applyNumberFormat="1" applyFont="1" applyBorder="1" applyAlignment="1">
      <alignment horizontal="right"/>
    </xf>
    <xf numFmtId="9" fontId="5" fillId="0" borderId="1" xfId="1" applyNumberFormat="1" applyFont="1" applyBorder="1" applyAlignment="1">
      <alignment horizontal="right"/>
    </xf>
    <xf numFmtId="9" fontId="6" fillId="0" borderId="0" xfId="1" applyNumberFormat="1" applyFont="1" applyBorder="1" applyAlignment="1">
      <alignment horizontal="right"/>
    </xf>
    <xf numFmtId="9" fontId="6" fillId="0" borderId="1" xfId="1" applyNumberFormat="1" applyFont="1" applyBorder="1" applyAlignment="1">
      <alignment horizontal="right"/>
    </xf>
    <xf numFmtId="9" fontId="6" fillId="0" borderId="0" xfId="0" applyNumberFormat="1" applyFont="1" applyBorder="1" applyAlignment="1">
      <alignment horizontal="right"/>
    </xf>
    <xf numFmtId="9" fontId="6" fillId="0" borderId="1" xfId="0" applyNumberFormat="1" applyFont="1" applyBorder="1" applyAlignment="1">
      <alignment horizontal="right"/>
    </xf>
    <xf numFmtId="9" fontId="6" fillId="0" borderId="0" xfId="1" applyFont="1" applyBorder="1" applyAlignment="1">
      <alignment horizontal="right"/>
    </xf>
    <xf numFmtId="9" fontId="6" fillId="0" borderId="1" xfId="1" applyFont="1" applyBorder="1" applyAlignment="1">
      <alignment horizontal="right"/>
    </xf>
    <xf numFmtId="3" fontId="6" fillId="0" borderId="0" xfId="0" applyNumberFormat="1" applyFont="1" applyAlignment="1">
      <alignment horizontal="right"/>
    </xf>
    <xf numFmtId="0" fontId="6" fillId="0" borderId="0" xfId="0" applyFont="1" applyAlignment="1">
      <alignment horizontal="right"/>
    </xf>
    <xf numFmtId="3" fontId="7" fillId="0" borderId="0" xfId="0" applyNumberFormat="1" applyFont="1" applyBorder="1" applyAlignment="1">
      <alignment horizontal="right"/>
    </xf>
    <xf numFmtId="0" fontId="7" fillId="0" borderId="0" xfId="0" applyFont="1" applyBorder="1" applyAlignment="1">
      <alignment horizontal="right"/>
    </xf>
    <xf numFmtId="4" fontId="6" fillId="2" borderId="0" xfId="0" applyNumberFormat="1" applyFont="1" applyFill="1"/>
    <xf numFmtId="4" fontId="6" fillId="2" borderId="0" xfId="0" applyNumberFormat="1" applyFont="1" applyFill="1" applyBorder="1"/>
    <xf numFmtId="9" fontId="7" fillId="0" borderId="0" xfId="0" applyNumberFormat="1" applyFont="1" applyBorder="1" applyAlignment="1">
      <alignment horizontal="right"/>
    </xf>
    <xf numFmtId="9" fontId="7" fillId="0" borderId="1" xfId="0" applyNumberFormat="1" applyFont="1" applyBorder="1" applyAlignment="1">
      <alignment horizontal="right"/>
    </xf>
    <xf numFmtId="3" fontId="5" fillId="0" borderId="0" xfId="0" applyNumberFormat="1" applyFont="1" applyBorder="1" applyAlignment="1">
      <alignment horizontal="right"/>
    </xf>
    <xf numFmtId="2" fontId="6" fillId="0" borderId="0" xfId="0" applyNumberFormat="1" applyFont="1" applyBorder="1" applyAlignment="1">
      <alignment horizontal="right"/>
    </xf>
    <xf numFmtId="9" fontId="5" fillId="0" borderId="0" xfId="1" applyFont="1" applyBorder="1" applyAlignment="1">
      <alignment horizontal="right"/>
    </xf>
    <xf numFmtId="3" fontId="5" fillId="0" borderId="0" xfId="0" applyNumberFormat="1" applyFont="1" applyFill="1" applyBorder="1" applyAlignment="1">
      <alignment horizontal="right"/>
    </xf>
    <xf numFmtId="3" fontId="6" fillId="0" borderId="0" xfId="0" applyNumberFormat="1" applyFont="1" applyFill="1" applyBorder="1" applyAlignment="1">
      <alignment horizontal="right"/>
    </xf>
    <xf numFmtId="165" fontId="6" fillId="0" borderId="0" xfId="0" applyNumberFormat="1" applyFont="1" applyFill="1" applyAlignment="1">
      <alignment horizontal="right"/>
    </xf>
    <xf numFmtId="3" fontId="6" fillId="0" borderId="0" xfId="0" applyNumberFormat="1" applyFont="1" applyFill="1" applyAlignment="1">
      <alignment horizontal="right"/>
    </xf>
    <xf numFmtId="3" fontId="6" fillId="2" borderId="0" xfId="0" applyNumberFormat="1" applyFont="1" applyFill="1" applyAlignment="1">
      <alignment horizontal="right"/>
    </xf>
    <xf numFmtId="9" fontId="6" fillId="0" borderId="0" xfId="0" applyNumberFormat="1" applyFont="1" applyAlignment="1">
      <alignment horizontal="right"/>
    </xf>
    <xf numFmtId="0" fontId="7" fillId="0" borderId="1" xfId="0" applyFont="1" applyBorder="1" applyAlignment="1">
      <alignment horizontal="right"/>
    </xf>
    <xf numFmtId="14" fontId="6" fillId="0" borderId="0" xfId="0" applyNumberFormat="1" applyFont="1" applyBorder="1" applyAlignment="1">
      <alignment horizontal="right"/>
    </xf>
    <xf numFmtId="14" fontId="6" fillId="0" borderId="1" xfId="0" applyNumberFormat="1" applyFont="1" applyBorder="1" applyAlignment="1">
      <alignment horizontal="right"/>
    </xf>
    <xf numFmtId="4" fontId="6" fillId="2" borderId="0" xfId="0" applyNumberFormat="1" applyFont="1" applyFill="1" applyBorder="1" applyAlignment="1">
      <alignment horizontal="right"/>
    </xf>
    <xf numFmtId="4" fontId="6" fillId="2" borderId="1" xfId="0" applyNumberFormat="1" applyFont="1" applyFill="1" applyBorder="1" applyAlignment="1">
      <alignment horizontal="right"/>
    </xf>
    <xf numFmtId="14" fontId="6" fillId="0" borderId="0" xfId="0" applyNumberFormat="1" applyFont="1" applyAlignment="1">
      <alignment horizontal="left"/>
    </xf>
    <xf numFmtId="0" fontId="6" fillId="0" borderId="0" xfId="0" applyFont="1" applyAlignment="1">
      <alignment horizontal="left"/>
    </xf>
    <xf numFmtId="0" fontId="8" fillId="0" borderId="0" xfId="0" applyFont="1"/>
    <xf numFmtId="0" fontId="4" fillId="0" borderId="0" xfId="4" applyFont="1" applyBorder="1" applyAlignment="1">
      <alignment horizontal="left"/>
    </xf>
    <xf numFmtId="3" fontId="6" fillId="0" borderId="0" xfId="0" applyNumberFormat="1" applyFont="1" applyBorder="1" applyAlignment="1">
      <alignment horizontal="left"/>
    </xf>
    <xf numFmtId="3" fontId="5" fillId="0" borderId="0" xfId="0" applyNumberFormat="1" applyFont="1" applyBorder="1" applyAlignment="1">
      <alignment horizontal="left"/>
    </xf>
    <xf numFmtId="4" fontId="6" fillId="0" borderId="0" xfId="0" applyNumberFormat="1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6" fillId="0" borderId="0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3" fontId="6" fillId="0" borderId="0" xfId="0" applyNumberFormat="1" applyFont="1" applyFill="1" applyBorder="1" applyAlignment="1">
      <alignment horizontal="left"/>
    </xf>
    <xf numFmtId="3" fontId="5" fillId="0" borderId="0" xfId="0" applyNumberFormat="1" applyFont="1" applyFill="1" applyBorder="1" applyAlignment="1">
      <alignment horizontal="left"/>
    </xf>
    <xf numFmtId="0" fontId="6" fillId="0" borderId="0" xfId="0" applyFont="1" applyFill="1" applyBorder="1" applyAlignment="1">
      <alignment horizontal="left"/>
    </xf>
    <xf numFmtId="0" fontId="4" fillId="0" borderId="0" xfId="4" applyBorder="1" applyAlignment="1">
      <alignment horizontal="left"/>
    </xf>
    <xf numFmtId="9" fontId="6" fillId="0" borderId="0" xfId="0" applyNumberFormat="1" applyFont="1" applyBorder="1" applyAlignment="1">
      <alignment horizontal="left"/>
    </xf>
    <xf numFmtId="9" fontId="6" fillId="0" borderId="0" xfId="0" applyNumberFormat="1" applyFont="1" applyBorder="1"/>
    <xf numFmtId="0" fontId="4" fillId="0" borderId="0" xfId="4" applyBorder="1"/>
    <xf numFmtId="0" fontId="4" fillId="0" borderId="0" xfId="4"/>
    <xf numFmtId="166" fontId="6" fillId="0" borderId="0" xfId="0" applyNumberFormat="1" applyFont="1" applyBorder="1" applyAlignment="1">
      <alignment horizontal="left"/>
    </xf>
    <xf numFmtId="166" fontId="6" fillId="0" borderId="0" xfId="0" applyNumberFormat="1" applyFont="1" applyBorder="1" applyAlignment="1">
      <alignment horizontal="right"/>
    </xf>
    <xf numFmtId="166" fontId="6" fillId="0" borderId="1" xfId="0" applyNumberFormat="1" applyFont="1" applyBorder="1" applyAlignment="1">
      <alignment horizontal="right"/>
    </xf>
    <xf numFmtId="166" fontId="6" fillId="0" borderId="0" xfId="0" applyNumberFormat="1" applyFont="1" applyBorder="1"/>
    <xf numFmtId="166" fontId="6" fillId="0" borderId="0" xfId="0" applyNumberFormat="1" applyFont="1" applyAlignment="1">
      <alignment horizontal="right"/>
    </xf>
    <xf numFmtId="166" fontId="6" fillId="0" borderId="0" xfId="0" applyNumberFormat="1" applyFont="1"/>
    <xf numFmtId="3" fontId="7" fillId="0" borderId="0" xfId="0" applyNumberFormat="1" applyFont="1" applyBorder="1" applyAlignment="1">
      <alignment horizontal="left"/>
    </xf>
    <xf numFmtId="3" fontId="7" fillId="0" borderId="0" xfId="0" applyNumberFormat="1" applyFont="1"/>
  </cellXfs>
  <cellStyles count="5">
    <cellStyle name="Followed Hyperlink" xfId="3" builtinId="9" hidden="1"/>
    <cellStyle name="Hyperlink" xfId="2" builtinId="8" hidden="1"/>
    <cellStyle name="Hyperlink" xfId="4" builtinId="8" customBuiltin="1"/>
    <cellStyle name="Normal" xfId="0" builtinId="0"/>
    <cellStyle name="Per 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205740</xdr:colOff>
      <xdr:row>7</xdr:row>
      <xdr:rowOff>152400</xdr:rowOff>
    </xdr:from>
    <xdr:to>
      <xdr:col>3</xdr:col>
      <xdr:colOff>205740</xdr:colOff>
      <xdr:row>70</xdr:row>
      <xdr:rowOff>142240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>
          <a:off x="3406140" y="1290320"/>
          <a:ext cx="0" cy="10231120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236220</xdr:colOff>
      <xdr:row>0</xdr:row>
      <xdr:rowOff>152400</xdr:rowOff>
    </xdr:from>
    <xdr:to>
      <xdr:col>11</xdr:col>
      <xdr:colOff>236220</xdr:colOff>
      <xdr:row>65</xdr:row>
      <xdr:rowOff>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CxnSpPr/>
      </xdr:nvCxnSpPr>
      <xdr:spPr>
        <a:xfrm>
          <a:off x="9979660" y="152400"/>
          <a:ext cx="0" cy="10414000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twitter.com/mlevchin" TargetMode="External"/><Relationship Id="rId2" Type="http://schemas.openxmlformats.org/officeDocument/2006/relationships/hyperlink" Target="http://www.worldgovernmentbonds.com/country/united-states/" TargetMode="External"/><Relationship Id="rId1" Type="http://schemas.openxmlformats.org/officeDocument/2006/relationships/hyperlink" Target="https://investors.affirm.com/investor-relations" TargetMode="External"/><Relationship Id="rId5" Type="http://schemas.openxmlformats.org/officeDocument/2006/relationships/drawing" Target="../drawings/drawing1.xml"/><Relationship Id="rId4" Type="http://schemas.openxmlformats.org/officeDocument/2006/relationships/hyperlink" Target="https://twitter.com/mlevchin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www.sec.gov/cgi-bin/browse-edgar?CIK=1820953&amp;owner=exclud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N70"/>
  <sheetViews>
    <sheetView tabSelected="1" zoomScale="130" zoomScaleNormal="130" workbookViewId="0">
      <pane xSplit="1" ySplit="9" topLeftCell="B10" activePane="bottomRight" state="frozen"/>
      <selection pane="topRight" activeCell="B1" sqref="B1"/>
      <selection pane="bottomLeft" activeCell="A11" sqref="A11"/>
      <selection pane="bottomRight" activeCell="I48" sqref="I48"/>
    </sheetView>
  </sheetViews>
  <sheetFormatPr baseColWidth="10" defaultRowHeight="13" x14ac:dyDescent="0.15"/>
  <cols>
    <col min="1" max="1" width="20.33203125" style="2" bestFit="1" customWidth="1"/>
    <col min="2" max="16384" width="10.83203125" style="2"/>
  </cols>
  <sheetData>
    <row r="1" spans="1:113" x14ac:dyDescent="0.15">
      <c r="A1" s="74" t="s">
        <v>50</v>
      </c>
      <c r="B1" s="1" t="s">
        <v>69</v>
      </c>
    </row>
    <row r="2" spans="1:113" x14ac:dyDescent="0.15">
      <c r="B2" s="2" t="s">
        <v>32</v>
      </c>
      <c r="C2" s="3">
        <v>105.7</v>
      </c>
      <c r="D2" s="58">
        <v>44245</v>
      </c>
      <c r="E2" s="5" t="s">
        <v>21</v>
      </c>
      <c r="F2" s="6">
        <v>0.01</v>
      </c>
      <c r="I2" s="15"/>
      <c r="L2" s="1"/>
    </row>
    <row r="3" spans="1:113" x14ac:dyDescent="0.15">
      <c r="A3" s="1" t="s">
        <v>30</v>
      </c>
      <c r="B3" s="2" t="s">
        <v>13</v>
      </c>
      <c r="C3" s="7">
        <v>121.34632999999999</v>
      </c>
      <c r="D3" s="59" t="s">
        <v>86</v>
      </c>
      <c r="E3" s="5" t="s">
        <v>22</v>
      </c>
      <c r="F3" s="6">
        <v>0.02</v>
      </c>
      <c r="G3" s="4" t="s">
        <v>51</v>
      </c>
      <c r="I3" s="15"/>
    </row>
    <row r="4" spans="1:113" x14ac:dyDescent="0.15">
      <c r="A4" s="75" t="s">
        <v>70</v>
      </c>
      <c r="B4" s="2" t="s">
        <v>33</v>
      </c>
      <c r="C4" s="9">
        <f>C2*C3</f>
        <v>12826.307080999999</v>
      </c>
      <c r="D4" s="59"/>
      <c r="E4" s="5" t="s">
        <v>23</v>
      </c>
      <c r="F4" s="6">
        <v>7.0000000000000007E-2</v>
      </c>
      <c r="G4" s="4" t="s">
        <v>55</v>
      </c>
      <c r="I4" s="18"/>
      <c r="L4" s="8" t="s">
        <v>56</v>
      </c>
    </row>
    <row r="5" spans="1:113" x14ac:dyDescent="0.15">
      <c r="B5" s="2" t="s">
        <v>18</v>
      </c>
      <c r="C5" s="7">
        <f>Reports!K36</f>
        <v>903</v>
      </c>
      <c r="D5" s="59" t="s">
        <v>62</v>
      </c>
      <c r="E5" s="5" t="s">
        <v>24</v>
      </c>
      <c r="F5" s="10">
        <f>NPV(F4,D29:GN29)</f>
        <v>25829.702286588988</v>
      </c>
      <c r="G5" s="4" t="s">
        <v>57</v>
      </c>
      <c r="I5" s="18"/>
    </row>
    <row r="6" spans="1:113" x14ac:dyDescent="0.15">
      <c r="A6" s="1" t="s">
        <v>31</v>
      </c>
      <c r="B6" s="2" t="s">
        <v>34</v>
      </c>
      <c r="C6" s="9">
        <f>C4-C5</f>
        <v>11923.307080999999</v>
      </c>
      <c r="D6" s="59"/>
      <c r="E6" s="11" t="s">
        <v>25</v>
      </c>
      <c r="F6" s="12">
        <f>F5+C5</f>
        <v>26732.702286588988</v>
      </c>
      <c r="I6" s="18"/>
    </row>
    <row r="7" spans="1:113" x14ac:dyDescent="0.15">
      <c r="A7" s="75" t="s">
        <v>70</v>
      </c>
      <c r="B7" s="4" t="s">
        <v>35</v>
      </c>
      <c r="C7" s="41">
        <f>C6/C3</f>
        <v>98.258489407961491</v>
      </c>
      <c r="D7" s="59"/>
      <c r="E7" s="13" t="s">
        <v>35</v>
      </c>
      <c r="F7" s="40">
        <f>F6/C3</f>
        <v>220.30087178235212</v>
      </c>
      <c r="G7" s="18">
        <f>F7/C2-1</f>
        <v>1.084208815348648</v>
      </c>
    </row>
    <row r="8" spans="1:113" x14ac:dyDescent="0.15">
      <c r="A8" s="75"/>
      <c r="B8" s="5"/>
      <c r="C8" s="14"/>
    </row>
    <row r="9" spans="1:113" x14ac:dyDescent="0.15">
      <c r="B9" s="37">
        <v>2019</v>
      </c>
      <c r="C9" s="37">
        <f t="shared" ref="C9:R9" si="0">B9+1</f>
        <v>2020</v>
      </c>
      <c r="D9" s="37">
        <f t="shared" si="0"/>
        <v>2021</v>
      </c>
      <c r="E9" s="37">
        <f t="shared" si="0"/>
        <v>2022</v>
      </c>
      <c r="F9" s="37">
        <f t="shared" si="0"/>
        <v>2023</v>
      </c>
      <c r="G9" s="37">
        <f t="shared" si="0"/>
        <v>2024</v>
      </c>
      <c r="H9" s="37">
        <f t="shared" si="0"/>
        <v>2025</v>
      </c>
      <c r="I9" s="37">
        <f t="shared" si="0"/>
        <v>2026</v>
      </c>
      <c r="J9" s="37">
        <f t="shared" si="0"/>
        <v>2027</v>
      </c>
      <c r="K9" s="37">
        <f t="shared" si="0"/>
        <v>2028</v>
      </c>
      <c r="L9" s="37">
        <f t="shared" si="0"/>
        <v>2029</v>
      </c>
      <c r="M9" s="37">
        <f t="shared" si="0"/>
        <v>2030</v>
      </c>
      <c r="N9" s="37">
        <f t="shared" si="0"/>
        <v>2031</v>
      </c>
      <c r="O9" s="37">
        <f t="shared" si="0"/>
        <v>2032</v>
      </c>
      <c r="P9" s="37">
        <f t="shared" si="0"/>
        <v>2033</v>
      </c>
      <c r="Q9" s="37">
        <f t="shared" si="0"/>
        <v>2034</v>
      </c>
      <c r="R9" s="37">
        <f t="shared" si="0"/>
        <v>2035</v>
      </c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7"/>
      <c r="BA9" s="37"/>
      <c r="BB9" s="37"/>
      <c r="BC9" s="37"/>
      <c r="BD9" s="37"/>
      <c r="BE9" s="37"/>
      <c r="BF9" s="37"/>
      <c r="BG9" s="37"/>
      <c r="BH9" s="37"/>
      <c r="BI9" s="37"/>
      <c r="BJ9" s="37"/>
      <c r="BK9" s="37"/>
      <c r="BL9" s="37"/>
      <c r="BM9" s="37"/>
      <c r="BN9" s="37"/>
      <c r="BO9" s="37"/>
      <c r="BP9" s="37"/>
      <c r="BQ9" s="37"/>
      <c r="BR9" s="37"/>
      <c r="BS9" s="37"/>
      <c r="BT9" s="37"/>
      <c r="BU9" s="37"/>
      <c r="BV9" s="37"/>
      <c r="BW9" s="37"/>
      <c r="BX9" s="37"/>
      <c r="BY9" s="37"/>
      <c r="BZ9" s="37"/>
      <c r="CA9" s="37"/>
      <c r="CB9" s="37"/>
      <c r="CC9" s="37"/>
      <c r="CD9" s="37"/>
      <c r="CE9" s="37"/>
      <c r="CF9" s="37"/>
      <c r="CG9" s="37"/>
      <c r="CH9" s="37"/>
      <c r="CI9" s="37"/>
      <c r="CJ9" s="37"/>
      <c r="CK9" s="37"/>
      <c r="CL9" s="37"/>
      <c r="CM9" s="37"/>
      <c r="CN9" s="37"/>
      <c r="CO9" s="37"/>
      <c r="CP9" s="37"/>
      <c r="CQ9" s="37"/>
      <c r="CR9" s="37"/>
      <c r="CS9" s="37"/>
      <c r="CT9" s="37"/>
      <c r="CU9" s="37"/>
      <c r="CV9" s="37"/>
      <c r="CW9" s="37"/>
      <c r="CX9" s="37"/>
      <c r="CY9" s="37"/>
      <c r="CZ9" s="37"/>
      <c r="DA9" s="37"/>
      <c r="DB9" s="37"/>
      <c r="DC9" s="37"/>
      <c r="DD9" s="37"/>
      <c r="DE9" s="37"/>
      <c r="DF9" s="37"/>
      <c r="DG9" s="37"/>
      <c r="DH9" s="37"/>
      <c r="DI9" s="37"/>
    </row>
    <row r="10" spans="1:113" x14ac:dyDescent="0.15">
      <c r="A10" s="62" t="s">
        <v>71</v>
      </c>
      <c r="B10" s="36">
        <f>SUM(Reports!B3:E3)</f>
        <v>132.363</v>
      </c>
      <c r="C10" s="36">
        <f>SUM(Reports!F3:I3)</f>
        <v>256.75199999999995</v>
      </c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/>
      <c r="AW10" s="37"/>
      <c r="AX10" s="37"/>
      <c r="AY10" s="37"/>
      <c r="AZ10" s="37"/>
      <c r="BA10" s="37"/>
      <c r="BB10" s="37"/>
      <c r="BC10" s="37"/>
      <c r="BD10" s="37"/>
      <c r="BE10" s="37"/>
      <c r="BF10" s="37"/>
      <c r="BG10" s="37"/>
      <c r="BH10" s="37"/>
      <c r="BI10" s="37"/>
      <c r="BJ10" s="37"/>
      <c r="BK10" s="37"/>
      <c r="BL10" s="37"/>
      <c r="BM10" s="37"/>
      <c r="BN10" s="37"/>
      <c r="BO10" s="37"/>
      <c r="BP10" s="37"/>
      <c r="BQ10" s="37"/>
      <c r="BR10" s="37"/>
      <c r="BS10" s="37"/>
      <c r="BT10" s="37"/>
      <c r="BU10" s="37"/>
      <c r="BV10" s="37"/>
      <c r="BW10" s="37"/>
      <c r="BX10" s="37"/>
      <c r="BY10" s="37"/>
      <c r="BZ10" s="37"/>
      <c r="CA10" s="37"/>
      <c r="CB10" s="37"/>
      <c r="CC10" s="37"/>
      <c r="CD10" s="37"/>
      <c r="CE10" s="37"/>
      <c r="CF10" s="37"/>
      <c r="CG10" s="37"/>
      <c r="CH10" s="37"/>
      <c r="CI10" s="37"/>
      <c r="CJ10" s="37"/>
      <c r="CK10" s="37"/>
      <c r="CL10" s="37"/>
      <c r="CM10" s="37"/>
      <c r="CN10" s="37"/>
      <c r="CO10" s="37"/>
      <c r="CP10" s="37"/>
      <c r="CQ10" s="37"/>
      <c r="CR10" s="37"/>
      <c r="CS10" s="37"/>
      <c r="CT10" s="37"/>
      <c r="CU10" s="37"/>
      <c r="CV10" s="37"/>
      <c r="CW10" s="37"/>
      <c r="CX10" s="37"/>
      <c r="CY10" s="37"/>
      <c r="CZ10" s="37"/>
      <c r="DA10" s="37"/>
      <c r="DB10" s="37"/>
      <c r="DC10" s="37"/>
      <c r="DD10" s="37"/>
      <c r="DE10" s="37"/>
      <c r="DF10" s="37"/>
      <c r="DG10" s="37"/>
      <c r="DH10" s="37"/>
      <c r="DI10" s="37"/>
    </row>
    <row r="11" spans="1:113" x14ac:dyDescent="0.15">
      <c r="A11" s="62" t="s">
        <v>72</v>
      </c>
      <c r="B11" s="36">
        <f>SUM(Reports!B4:E4)</f>
        <v>7.9110000000000005</v>
      </c>
      <c r="C11" s="36">
        <f>SUM(Reports!F4:I4)</f>
        <v>19.339999999999996</v>
      </c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37"/>
      <c r="BA11" s="37"/>
      <c r="BB11" s="37"/>
      <c r="BC11" s="37"/>
      <c r="BD11" s="37"/>
      <c r="BE11" s="37"/>
      <c r="BF11" s="37"/>
      <c r="BG11" s="37"/>
      <c r="BH11" s="37"/>
      <c r="BI11" s="37"/>
      <c r="BJ11" s="37"/>
      <c r="BK11" s="37"/>
      <c r="BL11" s="37"/>
      <c r="BM11" s="37"/>
      <c r="BN11" s="37"/>
      <c r="BO11" s="37"/>
      <c r="BP11" s="37"/>
      <c r="BQ11" s="37"/>
      <c r="BR11" s="37"/>
      <c r="BS11" s="37"/>
      <c r="BT11" s="37"/>
      <c r="BU11" s="37"/>
      <c r="BV11" s="37"/>
      <c r="BW11" s="37"/>
      <c r="BX11" s="37"/>
      <c r="BY11" s="37"/>
      <c r="BZ11" s="37"/>
      <c r="CA11" s="37"/>
      <c r="CB11" s="37"/>
      <c r="CC11" s="37"/>
      <c r="CD11" s="37"/>
      <c r="CE11" s="37"/>
      <c r="CF11" s="37"/>
      <c r="CG11" s="37"/>
      <c r="CH11" s="37"/>
      <c r="CI11" s="37"/>
      <c r="CJ11" s="37"/>
      <c r="CK11" s="37"/>
      <c r="CL11" s="37"/>
      <c r="CM11" s="37"/>
      <c r="CN11" s="37"/>
      <c r="CO11" s="37"/>
      <c r="CP11" s="37"/>
      <c r="CQ11" s="37"/>
      <c r="CR11" s="37"/>
      <c r="CS11" s="37"/>
      <c r="CT11" s="37"/>
      <c r="CU11" s="37"/>
      <c r="CV11" s="37"/>
      <c r="CW11" s="37"/>
      <c r="CX11" s="37"/>
      <c r="CY11" s="37"/>
      <c r="CZ11" s="37"/>
      <c r="DA11" s="37"/>
      <c r="DB11" s="37"/>
      <c r="DC11" s="37"/>
      <c r="DD11" s="37"/>
      <c r="DE11" s="37"/>
      <c r="DF11" s="37"/>
      <c r="DG11" s="37"/>
      <c r="DH11" s="37"/>
      <c r="DI11" s="37"/>
    </row>
    <row r="12" spans="1:113" x14ac:dyDescent="0.15">
      <c r="A12" s="62" t="s">
        <v>73</v>
      </c>
      <c r="B12" s="36">
        <f>SUM(Reports!B5:E5)</f>
        <v>119.404</v>
      </c>
      <c r="C12" s="36">
        <f>SUM(Reports!F5:I5)</f>
        <v>186.73</v>
      </c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37"/>
      <c r="AW12" s="37"/>
      <c r="AX12" s="37"/>
      <c r="AY12" s="37"/>
      <c r="AZ12" s="37"/>
      <c r="BA12" s="37"/>
      <c r="BB12" s="37"/>
      <c r="BC12" s="37"/>
      <c r="BD12" s="37"/>
      <c r="BE12" s="37"/>
      <c r="BF12" s="37"/>
      <c r="BG12" s="37"/>
      <c r="BH12" s="37"/>
      <c r="BI12" s="37"/>
      <c r="BJ12" s="37"/>
      <c r="BK12" s="37"/>
      <c r="BL12" s="37"/>
      <c r="BM12" s="37"/>
      <c r="BN12" s="37"/>
      <c r="BO12" s="37"/>
      <c r="BP12" s="37"/>
      <c r="BQ12" s="37"/>
      <c r="BR12" s="37"/>
      <c r="BS12" s="37"/>
      <c r="BT12" s="37"/>
      <c r="BU12" s="37"/>
      <c r="BV12" s="37"/>
      <c r="BW12" s="37"/>
      <c r="BX12" s="37"/>
      <c r="BY12" s="37"/>
      <c r="BZ12" s="37"/>
      <c r="CA12" s="37"/>
      <c r="CB12" s="37"/>
      <c r="CC12" s="37"/>
      <c r="CD12" s="37"/>
      <c r="CE12" s="37"/>
      <c r="CF12" s="37"/>
      <c r="CG12" s="37"/>
      <c r="CH12" s="37"/>
      <c r="CI12" s="37"/>
      <c r="CJ12" s="37"/>
      <c r="CK12" s="37"/>
      <c r="CL12" s="37"/>
      <c r="CM12" s="37"/>
      <c r="CN12" s="37"/>
      <c r="CO12" s="37"/>
      <c r="CP12" s="37"/>
      <c r="CQ12" s="37"/>
      <c r="CR12" s="37"/>
      <c r="CS12" s="37"/>
      <c r="CT12" s="37"/>
      <c r="CU12" s="37"/>
      <c r="CV12" s="37"/>
      <c r="CW12" s="37"/>
      <c r="CX12" s="37"/>
      <c r="CY12" s="37"/>
      <c r="CZ12" s="37"/>
      <c r="DA12" s="37"/>
      <c r="DB12" s="37"/>
      <c r="DC12" s="37"/>
      <c r="DD12" s="37"/>
      <c r="DE12" s="37"/>
      <c r="DF12" s="37"/>
      <c r="DG12" s="37"/>
      <c r="DH12" s="37"/>
      <c r="DI12" s="37"/>
    </row>
    <row r="13" spans="1:113" x14ac:dyDescent="0.15">
      <c r="A13" s="62" t="s">
        <v>74</v>
      </c>
      <c r="B13" s="36">
        <f>SUM(Reports!B6:E6)</f>
        <v>4.6890000000000001</v>
      </c>
      <c r="C13" s="36">
        <f>SUM(Reports!F6:I6)</f>
        <v>46.705999999999996</v>
      </c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  <c r="AJ13" s="36"/>
      <c r="AK13" s="36"/>
      <c r="AL13" s="36"/>
      <c r="AM13" s="36"/>
      <c r="AN13" s="36"/>
      <c r="AO13" s="36"/>
      <c r="AP13" s="36"/>
      <c r="AQ13" s="36"/>
      <c r="AR13" s="36"/>
      <c r="AS13" s="36"/>
      <c r="AT13" s="36"/>
      <c r="AU13" s="36"/>
      <c r="AV13" s="36"/>
      <c r="AW13" s="36"/>
      <c r="AX13" s="36"/>
      <c r="AY13" s="36"/>
      <c r="AZ13" s="36"/>
      <c r="BA13" s="36"/>
      <c r="BB13" s="36"/>
      <c r="BC13" s="36"/>
      <c r="BD13" s="36"/>
      <c r="BE13" s="36"/>
      <c r="BF13" s="36"/>
      <c r="BG13" s="36"/>
      <c r="BH13" s="36"/>
      <c r="BI13" s="36"/>
      <c r="BJ13" s="36"/>
      <c r="BK13" s="36"/>
      <c r="BL13" s="36"/>
      <c r="BM13" s="36"/>
      <c r="BN13" s="36"/>
      <c r="BO13" s="36"/>
      <c r="BP13" s="36"/>
      <c r="BQ13" s="36"/>
      <c r="BR13" s="36"/>
      <c r="BS13" s="36"/>
      <c r="BT13" s="36"/>
      <c r="BU13" s="36"/>
      <c r="BV13" s="36"/>
      <c r="BW13" s="36"/>
      <c r="BX13" s="36"/>
      <c r="BY13" s="36"/>
      <c r="BZ13" s="36"/>
      <c r="CA13" s="36"/>
      <c r="CB13" s="36"/>
      <c r="CC13" s="36"/>
      <c r="CD13" s="36"/>
      <c r="CE13" s="36"/>
      <c r="CF13" s="36"/>
      <c r="CG13" s="36"/>
      <c r="CH13" s="36"/>
      <c r="CI13" s="36"/>
      <c r="CJ13" s="36"/>
      <c r="CK13" s="36"/>
      <c r="CL13" s="36"/>
      <c r="CM13" s="36"/>
      <c r="CN13" s="36"/>
      <c r="CO13" s="36"/>
      <c r="CP13" s="36"/>
      <c r="CQ13" s="36"/>
      <c r="CR13" s="36"/>
      <c r="CS13" s="36"/>
      <c r="CT13" s="36"/>
      <c r="CU13" s="36"/>
      <c r="CV13" s="36"/>
      <c r="CW13" s="36"/>
      <c r="CX13" s="36"/>
      <c r="CY13" s="36"/>
      <c r="CZ13" s="36"/>
      <c r="DA13" s="36"/>
      <c r="DB13" s="36"/>
      <c r="DC13" s="36"/>
      <c r="DD13" s="36"/>
      <c r="DE13" s="36"/>
      <c r="DF13" s="36"/>
      <c r="DG13" s="36"/>
      <c r="DH13" s="36"/>
      <c r="DI13" s="36"/>
    </row>
    <row r="14" spans="1:113" x14ac:dyDescent="0.15">
      <c r="A14" s="62"/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36"/>
      <c r="AD14" s="36"/>
      <c r="AE14" s="36"/>
      <c r="AF14" s="36"/>
      <c r="AG14" s="36"/>
      <c r="AH14" s="36"/>
      <c r="AI14" s="36"/>
      <c r="AJ14" s="36"/>
      <c r="AK14" s="36"/>
      <c r="AL14" s="36"/>
      <c r="AM14" s="36"/>
      <c r="AN14" s="36"/>
      <c r="AO14" s="36"/>
      <c r="AP14" s="36"/>
      <c r="AQ14" s="36"/>
      <c r="AR14" s="36"/>
      <c r="AS14" s="36"/>
      <c r="AT14" s="36"/>
      <c r="AU14" s="36"/>
      <c r="AV14" s="36"/>
      <c r="AW14" s="36"/>
      <c r="AX14" s="36"/>
      <c r="AY14" s="36"/>
      <c r="AZ14" s="36"/>
      <c r="BA14" s="36"/>
      <c r="BB14" s="36"/>
      <c r="BC14" s="36"/>
      <c r="BD14" s="36"/>
      <c r="BE14" s="36"/>
      <c r="BF14" s="36"/>
      <c r="BG14" s="36"/>
      <c r="BH14" s="36"/>
      <c r="BI14" s="36"/>
      <c r="BJ14" s="36"/>
      <c r="BK14" s="36"/>
      <c r="BL14" s="36"/>
      <c r="BM14" s="36"/>
      <c r="BN14" s="36"/>
      <c r="BO14" s="36"/>
      <c r="BP14" s="36"/>
      <c r="BQ14" s="36"/>
      <c r="BR14" s="36"/>
      <c r="BS14" s="36"/>
      <c r="BT14" s="36"/>
      <c r="BU14" s="36"/>
      <c r="BV14" s="36"/>
      <c r="BW14" s="36"/>
      <c r="BX14" s="36"/>
      <c r="BY14" s="36"/>
      <c r="BZ14" s="36"/>
      <c r="CA14" s="36"/>
      <c r="CB14" s="36"/>
      <c r="CC14" s="36"/>
      <c r="CD14" s="36"/>
      <c r="CE14" s="36"/>
      <c r="CF14" s="36"/>
      <c r="CG14" s="36"/>
      <c r="CH14" s="36"/>
      <c r="CI14" s="36"/>
      <c r="CJ14" s="36"/>
      <c r="CK14" s="36"/>
      <c r="CL14" s="36"/>
      <c r="CM14" s="36"/>
      <c r="CN14" s="36"/>
      <c r="CO14" s="36"/>
      <c r="CP14" s="36"/>
      <c r="CQ14" s="36"/>
      <c r="CR14" s="36"/>
      <c r="CS14" s="36"/>
      <c r="CT14" s="36"/>
      <c r="CU14" s="36"/>
      <c r="CV14" s="36"/>
      <c r="CW14" s="36"/>
      <c r="CX14" s="36"/>
      <c r="CY14" s="36"/>
      <c r="CZ14" s="36"/>
      <c r="DA14" s="36"/>
      <c r="DB14" s="36"/>
      <c r="DC14" s="36"/>
      <c r="DD14" s="36"/>
      <c r="DE14" s="36"/>
      <c r="DF14" s="36"/>
      <c r="DG14" s="36"/>
      <c r="DH14" s="36"/>
      <c r="DI14" s="36"/>
    </row>
    <row r="15" spans="1:113" s="81" customFormat="1" x14ac:dyDescent="0.15">
      <c r="A15" s="76" t="s">
        <v>79</v>
      </c>
      <c r="B15" s="80">
        <f>Reports!E8</f>
        <v>2.0449999999999999</v>
      </c>
      <c r="C15" s="80">
        <f>Reports!I8</f>
        <v>3.6179999999999999</v>
      </c>
      <c r="D15" s="80">
        <f>C15*1.45</f>
        <v>5.2460999999999993</v>
      </c>
      <c r="E15" s="80">
        <f t="shared" ref="E15:H15" si="1">D15*1.45</f>
        <v>7.606844999999999</v>
      </c>
      <c r="F15" s="80">
        <f t="shared" si="1"/>
        <v>11.029925249999998</v>
      </c>
      <c r="G15" s="80">
        <f t="shared" si="1"/>
        <v>15.993391612499996</v>
      </c>
      <c r="H15" s="80">
        <f t="shared" si="1"/>
        <v>23.190417838124993</v>
      </c>
      <c r="I15" s="80"/>
      <c r="J15" s="80"/>
      <c r="K15" s="80"/>
      <c r="L15" s="80"/>
      <c r="M15" s="80"/>
      <c r="N15" s="80"/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80"/>
      <c r="Z15" s="80"/>
      <c r="AA15" s="80"/>
      <c r="AB15" s="80"/>
      <c r="AC15" s="80"/>
      <c r="AD15" s="80"/>
      <c r="AE15" s="80"/>
      <c r="AF15" s="80"/>
      <c r="AG15" s="80"/>
      <c r="AH15" s="80"/>
      <c r="AI15" s="80"/>
      <c r="AJ15" s="80"/>
      <c r="AK15" s="80"/>
      <c r="AL15" s="80"/>
      <c r="AM15" s="80"/>
      <c r="AN15" s="80"/>
      <c r="AO15" s="80"/>
      <c r="AP15" s="80"/>
      <c r="AQ15" s="80"/>
      <c r="AR15" s="80"/>
      <c r="AS15" s="80"/>
      <c r="AT15" s="80"/>
      <c r="AU15" s="80"/>
      <c r="AV15" s="80"/>
      <c r="AW15" s="80"/>
      <c r="AX15" s="80"/>
      <c r="AY15" s="80"/>
      <c r="AZ15" s="80"/>
      <c r="BA15" s="80"/>
      <c r="BB15" s="80"/>
      <c r="BC15" s="80"/>
      <c r="BD15" s="80"/>
      <c r="BE15" s="80"/>
      <c r="BF15" s="80"/>
      <c r="BG15" s="80"/>
      <c r="BH15" s="80"/>
      <c r="BI15" s="80"/>
      <c r="BJ15" s="80"/>
      <c r="BK15" s="80"/>
      <c r="BL15" s="80"/>
      <c r="BM15" s="80"/>
      <c r="BN15" s="80"/>
      <c r="BO15" s="80"/>
      <c r="BP15" s="80"/>
      <c r="BQ15" s="80"/>
      <c r="BR15" s="80"/>
      <c r="BS15" s="80"/>
      <c r="BT15" s="80"/>
      <c r="BU15" s="80"/>
      <c r="BV15" s="80"/>
      <c r="BW15" s="80"/>
      <c r="BX15" s="80"/>
      <c r="BY15" s="80"/>
      <c r="BZ15" s="80"/>
      <c r="CA15" s="80"/>
      <c r="CB15" s="80"/>
      <c r="CC15" s="80"/>
      <c r="CD15" s="80"/>
      <c r="CE15" s="80"/>
      <c r="CF15" s="80"/>
      <c r="CG15" s="80"/>
      <c r="CH15" s="80"/>
      <c r="CI15" s="80"/>
      <c r="CJ15" s="80"/>
      <c r="CK15" s="80"/>
      <c r="CL15" s="80"/>
      <c r="CM15" s="80"/>
      <c r="CN15" s="80"/>
      <c r="CO15" s="80"/>
      <c r="CP15" s="80"/>
      <c r="CQ15" s="80"/>
      <c r="CR15" s="80"/>
      <c r="CS15" s="80"/>
      <c r="CT15" s="80"/>
      <c r="CU15" s="80"/>
      <c r="CV15" s="80"/>
      <c r="CW15" s="80"/>
      <c r="CX15" s="80"/>
      <c r="CY15" s="80"/>
      <c r="CZ15" s="80"/>
      <c r="DA15" s="80"/>
      <c r="DB15" s="80"/>
      <c r="DC15" s="80"/>
      <c r="DD15" s="80"/>
      <c r="DE15" s="80"/>
      <c r="DF15" s="80"/>
      <c r="DG15" s="80"/>
      <c r="DH15" s="80"/>
      <c r="DI15" s="80"/>
    </row>
    <row r="16" spans="1:113" s="15" customFormat="1" x14ac:dyDescent="0.15">
      <c r="A16" s="62" t="s">
        <v>80</v>
      </c>
      <c r="B16" s="51">
        <f>SUM(B10:B13)/B15</f>
        <v>129.27481662591688</v>
      </c>
      <c r="C16" s="51">
        <f>SUM(C10:C13)/C15</f>
        <v>140.83139856274184</v>
      </c>
      <c r="D16" s="15">
        <f>C16*1.05</f>
        <v>147.87296849087895</v>
      </c>
      <c r="E16" s="15">
        <f t="shared" ref="E16:H16" si="2">D16*1.05</f>
        <v>155.2666169154229</v>
      </c>
      <c r="F16" s="15">
        <f t="shared" si="2"/>
        <v>163.02994776119405</v>
      </c>
      <c r="G16" s="15">
        <f t="shared" si="2"/>
        <v>171.18144514925376</v>
      </c>
      <c r="H16" s="15">
        <f t="shared" si="2"/>
        <v>179.74051740671646</v>
      </c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  <c r="AD16" s="36"/>
      <c r="AE16" s="36"/>
      <c r="AF16" s="36"/>
      <c r="AG16" s="36"/>
      <c r="AH16" s="36"/>
      <c r="AI16" s="36"/>
      <c r="AJ16" s="36"/>
      <c r="AK16" s="36"/>
      <c r="AL16" s="36"/>
      <c r="AM16" s="36"/>
      <c r="AN16" s="36"/>
      <c r="AO16" s="36"/>
      <c r="AP16" s="36"/>
      <c r="AQ16" s="36"/>
      <c r="AR16" s="36"/>
      <c r="AS16" s="36"/>
      <c r="AT16" s="36"/>
      <c r="AU16" s="36"/>
      <c r="AV16" s="36"/>
      <c r="AW16" s="36"/>
      <c r="AX16" s="36"/>
      <c r="AY16" s="36"/>
      <c r="AZ16" s="36"/>
      <c r="BA16" s="36"/>
      <c r="BB16" s="36"/>
      <c r="BC16" s="36"/>
      <c r="BD16" s="36"/>
      <c r="BE16" s="36"/>
      <c r="BF16" s="36"/>
      <c r="BG16" s="36"/>
      <c r="BH16" s="36"/>
      <c r="BI16" s="36"/>
      <c r="BJ16" s="36"/>
      <c r="BK16" s="36"/>
      <c r="BL16" s="36"/>
      <c r="BM16" s="36"/>
      <c r="BN16" s="36"/>
      <c r="BO16" s="36"/>
      <c r="BP16" s="36"/>
      <c r="BQ16" s="36"/>
      <c r="BR16" s="36"/>
      <c r="BS16" s="36"/>
      <c r="BT16" s="36"/>
      <c r="BU16" s="36"/>
      <c r="BV16" s="36"/>
      <c r="BW16" s="36"/>
      <c r="BX16" s="36"/>
      <c r="BY16" s="36"/>
      <c r="BZ16" s="36"/>
      <c r="CA16" s="36"/>
      <c r="CB16" s="36"/>
      <c r="CC16" s="36"/>
      <c r="CD16" s="36"/>
      <c r="CE16" s="36"/>
      <c r="CF16" s="36"/>
      <c r="CG16" s="36"/>
      <c r="CH16" s="36"/>
      <c r="CI16" s="36"/>
      <c r="CJ16" s="36"/>
      <c r="CK16" s="36"/>
      <c r="CL16" s="36"/>
      <c r="CM16" s="36"/>
      <c r="CN16" s="36"/>
      <c r="CO16" s="36"/>
      <c r="CP16" s="36"/>
      <c r="CQ16" s="36"/>
      <c r="CR16" s="36"/>
      <c r="CS16" s="36"/>
      <c r="CT16" s="36"/>
      <c r="CU16" s="36"/>
      <c r="CV16" s="36"/>
      <c r="CW16" s="36"/>
      <c r="CX16" s="36"/>
      <c r="CY16" s="36"/>
      <c r="CZ16" s="36"/>
      <c r="DA16" s="36"/>
      <c r="DB16" s="36"/>
      <c r="DC16" s="36"/>
      <c r="DD16" s="36"/>
      <c r="DE16" s="36"/>
      <c r="DF16" s="36"/>
      <c r="DG16" s="36"/>
      <c r="DH16" s="36"/>
      <c r="DI16" s="36"/>
    </row>
    <row r="17" spans="1:196" s="37" customFormat="1" x14ac:dyDescent="0.15">
      <c r="C17" s="36"/>
      <c r="D17" s="36">
        <v>760</v>
      </c>
      <c r="E17" s="36"/>
      <c r="F17" s="36"/>
    </row>
    <row r="18" spans="1:196" x14ac:dyDescent="0.15">
      <c r="A18" s="1" t="s">
        <v>0</v>
      </c>
      <c r="B18" s="23">
        <f>SUM(B10:B13)</f>
        <v>264.36700000000002</v>
      </c>
      <c r="C18" s="23">
        <f>SUM(C10:C13)</f>
        <v>509.52799999999991</v>
      </c>
      <c r="D18" s="44">
        <f>D16*D15</f>
        <v>775.75637999999992</v>
      </c>
      <c r="E18" s="44">
        <f>E16*E15</f>
        <v>1181.08908855</v>
      </c>
      <c r="F18" s="44">
        <f t="shared" ref="F18:G18" si="3">F16*F15</f>
        <v>1798.2081373173748</v>
      </c>
      <c r="G18" s="44">
        <f t="shared" si="3"/>
        <v>2737.7718890657034</v>
      </c>
      <c r="H18" s="44">
        <f>H16*H15</f>
        <v>4168.2577011025332</v>
      </c>
      <c r="I18" s="44">
        <f>H18*1.25</f>
        <v>5210.322126378167</v>
      </c>
      <c r="J18" s="44">
        <f t="shared" ref="J18:M18" si="4">I18*1.25</f>
        <v>6512.9026579727088</v>
      </c>
      <c r="K18" s="44">
        <f t="shared" si="4"/>
        <v>8141.1283224658855</v>
      </c>
      <c r="L18" s="44">
        <f t="shared" si="4"/>
        <v>10176.410403082356</v>
      </c>
      <c r="M18" s="44">
        <f t="shared" si="4"/>
        <v>12720.513003852946</v>
      </c>
      <c r="N18" s="44">
        <f>M18*1.1</f>
        <v>13992.564304238242</v>
      </c>
      <c r="O18" s="44">
        <f t="shared" ref="O18:R18" si="5">N18*1.1</f>
        <v>15391.820734662067</v>
      </c>
      <c r="P18" s="44">
        <f t="shared" si="5"/>
        <v>16931.002808128276</v>
      </c>
      <c r="Q18" s="44">
        <f t="shared" si="5"/>
        <v>18624.103088941105</v>
      </c>
      <c r="R18" s="44">
        <f t="shared" si="5"/>
        <v>20486.513397835217</v>
      </c>
      <c r="S18" s="37"/>
      <c r="T18" s="37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37"/>
      <c r="AG18" s="37"/>
      <c r="AH18" s="37"/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/>
      <c r="AW18" s="37"/>
      <c r="AX18" s="37"/>
      <c r="AY18" s="37"/>
      <c r="AZ18" s="37"/>
      <c r="BA18" s="37"/>
      <c r="BB18" s="37"/>
      <c r="BC18" s="37"/>
      <c r="BD18" s="37"/>
      <c r="BE18" s="37"/>
      <c r="BF18" s="37"/>
      <c r="BG18" s="37"/>
      <c r="BH18" s="37"/>
      <c r="BI18" s="37"/>
      <c r="BJ18" s="37"/>
      <c r="BK18" s="37"/>
      <c r="BL18" s="37"/>
      <c r="BM18" s="37"/>
      <c r="BN18" s="37"/>
      <c r="BO18" s="37"/>
      <c r="BP18" s="37"/>
      <c r="BQ18" s="37"/>
      <c r="BR18" s="37"/>
      <c r="BS18" s="37"/>
      <c r="BT18" s="37"/>
      <c r="BU18" s="37"/>
      <c r="BV18" s="37"/>
      <c r="BW18" s="37"/>
      <c r="BX18" s="37"/>
      <c r="BY18" s="37"/>
      <c r="BZ18" s="37"/>
      <c r="CA18" s="37"/>
      <c r="CB18" s="37"/>
      <c r="CC18" s="37"/>
      <c r="CD18" s="37"/>
      <c r="CE18" s="37"/>
      <c r="CF18" s="37"/>
      <c r="CG18" s="37"/>
      <c r="CH18" s="37"/>
      <c r="CI18" s="37"/>
      <c r="CJ18" s="37"/>
      <c r="CK18" s="37"/>
      <c r="CL18" s="37"/>
      <c r="CM18" s="37"/>
      <c r="CN18" s="37"/>
      <c r="CO18" s="37"/>
      <c r="CP18" s="37"/>
      <c r="CQ18" s="37"/>
      <c r="CR18" s="37"/>
      <c r="CS18" s="37"/>
      <c r="CT18" s="37"/>
      <c r="CU18" s="37"/>
      <c r="CV18" s="37"/>
      <c r="CW18" s="37"/>
      <c r="CX18" s="37"/>
      <c r="CY18" s="37"/>
      <c r="CZ18" s="37"/>
      <c r="DA18" s="37"/>
      <c r="DB18" s="37"/>
      <c r="DC18" s="37"/>
      <c r="DD18" s="37"/>
      <c r="DE18" s="37"/>
      <c r="DF18" s="37"/>
      <c r="DG18" s="37"/>
      <c r="DH18" s="37"/>
      <c r="DI18" s="37"/>
    </row>
    <row r="19" spans="1:196" x14ac:dyDescent="0.15">
      <c r="A19" s="2" t="s">
        <v>1</v>
      </c>
      <c r="B19" s="36">
        <f>SUM(Reports!B12:E12)</f>
        <v>209.97200000000001</v>
      </c>
      <c r="C19" s="36">
        <f>SUM(Reports!F12:I12)</f>
        <v>348.666</v>
      </c>
      <c r="D19" s="22">
        <f t="shared" ref="D19:E19" si="6">D18-D20</f>
        <v>530.84398500000009</v>
      </c>
      <c r="E19" s="22">
        <f t="shared" si="6"/>
        <v>808.20996716250022</v>
      </c>
      <c r="F19" s="22">
        <f t="shared" ref="F19:N19" si="7">F18-F20</f>
        <v>1230.4996750049063</v>
      </c>
      <c r="G19" s="22">
        <f t="shared" si="7"/>
        <v>1873.4357551949702</v>
      </c>
      <c r="H19" s="22">
        <f>H18-H20</f>
        <v>2852.3059372843418</v>
      </c>
      <c r="I19" s="22">
        <f t="shared" si="7"/>
        <v>3565.3824216054277</v>
      </c>
      <c r="J19" s="22">
        <f t="shared" si="7"/>
        <v>4456.728027006784</v>
      </c>
      <c r="K19" s="22">
        <f t="shared" si="7"/>
        <v>5570.9100337584805</v>
      </c>
      <c r="L19" s="22">
        <f t="shared" si="7"/>
        <v>6963.6375421981002</v>
      </c>
      <c r="M19" s="22">
        <f t="shared" si="7"/>
        <v>8704.5469277476259</v>
      </c>
      <c r="N19" s="22">
        <f t="shared" si="7"/>
        <v>9575.0016205223892</v>
      </c>
      <c r="O19" s="22">
        <f t="shared" ref="O19:R19" si="8">O18-O20</f>
        <v>10532.501782574629</v>
      </c>
      <c r="P19" s="22">
        <f t="shared" si="8"/>
        <v>11585.751960832094</v>
      </c>
      <c r="Q19" s="22">
        <f t="shared" si="8"/>
        <v>12744.327156915304</v>
      </c>
      <c r="R19" s="22">
        <f t="shared" si="8"/>
        <v>14018.759872606835</v>
      </c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7"/>
      <c r="AV19" s="37"/>
      <c r="AW19" s="37"/>
      <c r="AX19" s="37"/>
      <c r="AY19" s="37"/>
      <c r="AZ19" s="37"/>
      <c r="BA19" s="37"/>
      <c r="BB19" s="37"/>
      <c r="BC19" s="37"/>
      <c r="BD19" s="37"/>
      <c r="BE19" s="37"/>
      <c r="BF19" s="37"/>
      <c r="BG19" s="37"/>
      <c r="BH19" s="37"/>
      <c r="BI19" s="37"/>
      <c r="BJ19" s="37"/>
      <c r="BK19" s="37"/>
      <c r="BL19" s="37"/>
      <c r="BM19" s="37"/>
      <c r="BN19" s="37"/>
      <c r="BO19" s="37"/>
      <c r="BP19" s="37"/>
      <c r="BQ19" s="37"/>
      <c r="BR19" s="37"/>
      <c r="BS19" s="37"/>
      <c r="BT19" s="37"/>
      <c r="BU19" s="37"/>
      <c r="BV19" s="37"/>
      <c r="BW19" s="37"/>
      <c r="BX19" s="37"/>
      <c r="BY19" s="37"/>
      <c r="BZ19" s="37"/>
      <c r="CA19" s="37"/>
      <c r="CB19" s="37"/>
      <c r="CC19" s="37"/>
      <c r="CD19" s="37"/>
      <c r="CE19" s="37"/>
      <c r="CF19" s="37"/>
      <c r="CG19" s="37"/>
      <c r="CH19" s="37"/>
      <c r="CI19" s="37"/>
      <c r="CJ19" s="37"/>
      <c r="CK19" s="37"/>
      <c r="CL19" s="37"/>
      <c r="CM19" s="37"/>
      <c r="CN19" s="37"/>
      <c r="CO19" s="37"/>
      <c r="CP19" s="37"/>
      <c r="CQ19" s="37"/>
      <c r="CR19" s="37"/>
      <c r="CS19" s="37"/>
      <c r="CT19" s="37"/>
      <c r="CU19" s="37"/>
      <c r="CV19" s="37"/>
      <c r="CW19" s="37"/>
      <c r="CX19" s="37"/>
      <c r="CY19" s="37"/>
      <c r="CZ19" s="37"/>
      <c r="DA19" s="37"/>
      <c r="DB19" s="37"/>
      <c r="DC19" s="37"/>
      <c r="DD19" s="37"/>
      <c r="DE19" s="37"/>
      <c r="DF19" s="37"/>
      <c r="DG19" s="37"/>
      <c r="DH19" s="37"/>
      <c r="DI19" s="37"/>
    </row>
    <row r="20" spans="1:196" x14ac:dyDescent="0.15">
      <c r="A20" s="2" t="s">
        <v>2</v>
      </c>
      <c r="B20" s="25">
        <f t="shared" ref="B20:C20" si="9">B18-B19</f>
        <v>54.39500000000001</v>
      </c>
      <c r="C20" s="25">
        <f t="shared" si="9"/>
        <v>160.86199999999991</v>
      </c>
      <c r="D20" s="22">
        <f t="shared" ref="D20:R20" si="10">D18*C33</f>
        <v>244.91239499999986</v>
      </c>
      <c r="E20" s="22">
        <f t="shared" si="10"/>
        <v>372.87912138749982</v>
      </c>
      <c r="F20" s="22">
        <f t="shared" si="10"/>
        <v>567.70846231246844</v>
      </c>
      <c r="G20" s="22">
        <f t="shared" si="10"/>
        <v>864.33613387073331</v>
      </c>
      <c r="H20" s="22">
        <f>H18*G33</f>
        <v>1315.9517638181915</v>
      </c>
      <c r="I20" s="22">
        <f t="shared" si="10"/>
        <v>1644.9397047727393</v>
      </c>
      <c r="J20" s="22">
        <f t="shared" si="10"/>
        <v>2056.1746309659243</v>
      </c>
      <c r="K20" s="22">
        <f t="shared" si="10"/>
        <v>2570.218288707405</v>
      </c>
      <c r="L20" s="22">
        <f t="shared" si="10"/>
        <v>3212.7728608842563</v>
      </c>
      <c r="M20" s="22">
        <f t="shared" si="10"/>
        <v>4015.9660761053206</v>
      </c>
      <c r="N20" s="22">
        <f t="shared" si="10"/>
        <v>4417.5626837158525</v>
      </c>
      <c r="O20" s="22">
        <f t="shared" si="10"/>
        <v>4859.3189520874384</v>
      </c>
      <c r="P20" s="22">
        <f t="shared" si="10"/>
        <v>5345.2508472961827</v>
      </c>
      <c r="Q20" s="22">
        <f t="shared" si="10"/>
        <v>5879.7759320258019</v>
      </c>
      <c r="R20" s="22">
        <f t="shared" si="10"/>
        <v>6467.7535252283824</v>
      </c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7"/>
      <c r="AL20" s="37"/>
      <c r="AM20" s="37"/>
      <c r="AN20" s="37"/>
      <c r="AO20" s="37"/>
      <c r="AP20" s="37"/>
      <c r="AQ20" s="37"/>
      <c r="AR20" s="37"/>
      <c r="AS20" s="37"/>
      <c r="AT20" s="37"/>
      <c r="AU20" s="37"/>
      <c r="AV20" s="37"/>
      <c r="AW20" s="37"/>
      <c r="AX20" s="37"/>
      <c r="AY20" s="37"/>
      <c r="AZ20" s="37"/>
      <c r="BA20" s="37"/>
      <c r="BB20" s="37"/>
      <c r="BC20" s="37"/>
      <c r="BD20" s="37"/>
      <c r="BE20" s="37"/>
      <c r="BF20" s="37"/>
      <c r="BG20" s="37"/>
      <c r="BH20" s="37"/>
      <c r="BI20" s="37"/>
      <c r="BJ20" s="37"/>
      <c r="BK20" s="37"/>
      <c r="BL20" s="37"/>
      <c r="BM20" s="37"/>
      <c r="BN20" s="37"/>
      <c r="BO20" s="37"/>
      <c r="BP20" s="37"/>
      <c r="BQ20" s="37"/>
      <c r="BR20" s="37"/>
      <c r="BS20" s="37"/>
      <c r="BT20" s="37"/>
      <c r="BU20" s="37"/>
      <c r="BV20" s="37"/>
      <c r="BW20" s="37"/>
      <c r="BX20" s="37"/>
      <c r="BY20" s="37"/>
      <c r="BZ20" s="37"/>
      <c r="CA20" s="37"/>
      <c r="CB20" s="37"/>
      <c r="CC20" s="37"/>
      <c r="CD20" s="37"/>
      <c r="CE20" s="37"/>
      <c r="CF20" s="37"/>
      <c r="CG20" s="37"/>
      <c r="CH20" s="37"/>
      <c r="CI20" s="37"/>
      <c r="CJ20" s="37"/>
      <c r="CK20" s="37"/>
      <c r="CL20" s="37"/>
      <c r="CM20" s="37"/>
      <c r="CN20" s="37"/>
      <c r="CO20" s="37"/>
      <c r="CP20" s="37"/>
      <c r="CQ20" s="37"/>
      <c r="CR20" s="37"/>
      <c r="CS20" s="37"/>
      <c r="CT20" s="37"/>
      <c r="CU20" s="37"/>
      <c r="CV20" s="37"/>
      <c r="CW20" s="37"/>
      <c r="CX20" s="37"/>
      <c r="CY20" s="37"/>
      <c r="CZ20" s="37"/>
      <c r="DA20" s="37"/>
      <c r="DB20" s="37"/>
      <c r="DC20" s="37"/>
      <c r="DD20" s="37"/>
      <c r="DE20" s="37"/>
      <c r="DF20" s="37"/>
      <c r="DG20" s="37"/>
      <c r="DH20" s="37"/>
      <c r="DI20" s="37"/>
    </row>
    <row r="21" spans="1:196" x14ac:dyDescent="0.15">
      <c r="A21" s="2" t="s">
        <v>3</v>
      </c>
      <c r="B21" s="36">
        <f>SUM(Reports!B14:E14)</f>
        <v>76</v>
      </c>
      <c r="C21" s="36">
        <f>SUM(Reports!F14:I14)</f>
        <v>123</v>
      </c>
      <c r="D21" s="22">
        <f>SUM(Reports!J14:M14)</f>
        <v>161.80000000000001</v>
      </c>
      <c r="E21" s="22">
        <f>D21*1.3</f>
        <v>210.34000000000003</v>
      </c>
      <c r="F21" s="22">
        <f t="shared" ref="F21:H22" si="11">E21*1.3</f>
        <v>273.44200000000006</v>
      </c>
      <c r="G21" s="22">
        <f t="shared" si="11"/>
        <v>355.47460000000012</v>
      </c>
      <c r="H21" s="22">
        <f t="shared" si="11"/>
        <v>462.11698000000018</v>
      </c>
      <c r="I21" s="22">
        <f>H21*1.2</f>
        <v>554.54037600000015</v>
      </c>
      <c r="J21" s="22">
        <f t="shared" ref="J21:M21" si="12">I21*1.2</f>
        <v>665.44845120000014</v>
      </c>
      <c r="K21" s="22">
        <f t="shared" si="12"/>
        <v>798.53814144000012</v>
      </c>
      <c r="L21" s="22">
        <f t="shared" si="12"/>
        <v>958.24576972800014</v>
      </c>
      <c r="M21" s="22">
        <f t="shared" si="12"/>
        <v>1149.8949236736</v>
      </c>
      <c r="N21" s="22">
        <f>M21*1.05</f>
        <v>1207.3896698572801</v>
      </c>
      <c r="O21" s="22">
        <f>N21*1.05</f>
        <v>1267.7591533501441</v>
      </c>
      <c r="P21" s="22">
        <f t="shared" ref="P21:R21" si="13">O21*1.05</f>
        <v>1331.1471110176512</v>
      </c>
      <c r="Q21" s="22">
        <f t="shared" si="13"/>
        <v>1397.7044665685339</v>
      </c>
      <c r="R21" s="22">
        <f t="shared" si="13"/>
        <v>1467.5896898969606</v>
      </c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37"/>
      <c r="AW21" s="37"/>
      <c r="AX21" s="37"/>
      <c r="AY21" s="37"/>
      <c r="AZ21" s="37"/>
      <c r="BA21" s="37"/>
      <c r="BB21" s="37"/>
      <c r="BC21" s="37"/>
      <c r="BD21" s="37"/>
      <c r="BE21" s="37"/>
      <c r="BF21" s="37"/>
      <c r="BG21" s="37"/>
      <c r="BH21" s="37"/>
      <c r="BI21" s="37"/>
      <c r="BJ21" s="37"/>
      <c r="BK21" s="37"/>
      <c r="BL21" s="37"/>
      <c r="BM21" s="37"/>
      <c r="BN21" s="37"/>
      <c r="BO21" s="37"/>
      <c r="BP21" s="37"/>
      <c r="BQ21" s="37"/>
      <c r="BR21" s="37"/>
      <c r="BS21" s="37"/>
      <c r="BT21" s="37"/>
      <c r="BU21" s="37"/>
      <c r="BV21" s="37"/>
      <c r="BW21" s="37"/>
      <c r="BX21" s="37"/>
      <c r="BY21" s="37"/>
      <c r="BZ21" s="37"/>
      <c r="CA21" s="37"/>
      <c r="CB21" s="37"/>
      <c r="CC21" s="37"/>
      <c r="CD21" s="37"/>
      <c r="CE21" s="37"/>
      <c r="CF21" s="37"/>
      <c r="CG21" s="37"/>
      <c r="CH21" s="37"/>
      <c r="CI21" s="37"/>
      <c r="CJ21" s="37"/>
      <c r="CK21" s="37"/>
      <c r="CL21" s="37"/>
      <c r="CM21" s="37"/>
      <c r="CN21" s="37"/>
      <c r="CO21" s="37"/>
      <c r="CP21" s="37"/>
      <c r="CQ21" s="37"/>
      <c r="CR21" s="37"/>
      <c r="CS21" s="37"/>
      <c r="CT21" s="37"/>
      <c r="CU21" s="37"/>
      <c r="CV21" s="37"/>
      <c r="CW21" s="37"/>
      <c r="CX21" s="37"/>
      <c r="CY21" s="37"/>
      <c r="CZ21" s="37"/>
      <c r="DA21" s="37"/>
      <c r="DB21" s="37"/>
      <c r="DC21" s="37"/>
      <c r="DD21" s="37"/>
      <c r="DE21" s="37"/>
      <c r="DF21" s="37"/>
      <c r="DG21" s="37"/>
      <c r="DH21" s="37"/>
      <c r="DI21" s="37"/>
    </row>
    <row r="22" spans="1:196" x14ac:dyDescent="0.15">
      <c r="A22" s="2" t="s">
        <v>4</v>
      </c>
      <c r="B22" s="36">
        <f>SUM(Reports!B15:E15)</f>
        <v>16</v>
      </c>
      <c r="C22" s="36">
        <f>SUM(Reports!F15:I15)</f>
        <v>25</v>
      </c>
      <c r="D22" s="22">
        <f>SUM(Reports!J15:M15)</f>
        <v>105</v>
      </c>
      <c r="E22" s="22">
        <f>D22*1.25</f>
        <v>131.25</v>
      </c>
      <c r="F22" s="22">
        <f t="shared" ref="F22:H22" si="14">E22*1.25</f>
        <v>164.0625</v>
      </c>
      <c r="G22" s="22">
        <f t="shared" si="14"/>
        <v>205.078125</v>
      </c>
      <c r="H22" s="22">
        <f t="shared" si="14"/>
        <v>256.34765625</v>
      </c>
      <c r="I22" s="22">
        <f>H22*1.25</f>
        <v>320.4345703125</v>
      </c>
      <c r="J22" s="22">
        <f t="shared" ref="J22:M22" si="15">I22*1.25</f>
        <v>400.543212890625</v>
      </c>
      <c r="K22" s="22">
        <f t="shared" si="15"/>
        <v>500.67901611328125</v>
      </c>
      <c r="L22" s="22">
        <f t="shared" si="15"/>
        <v>625.84877014160156</v>
      </c>
      <c r="M22" s="22">
        <f t="shared" si="15"/>
        <v>782.31096267700195</v>
      </c>
      <c r="N22" s="22">
        <f>M22*1.1</f>
        <v>860.54205894470226</v>
      </c>
      <c r="O22" s="22">
        <f t="shared" ref="O22:R22" si="16">N22*1.1</f>
        <v>946.59626483917259</v>
      </c>
      <c r="P22" s="22">
        <f t="shared" si="16"/>
        <v>1041.2558913230898</v>
      </c>
      <c r="Q22" s="22">
        <f t="shared" si="16"/>
        <v>1145.381480455399</v>
      </c>
      <c r="R22" s="22">
        <f t="shared" si="16"/>
        <v>1259.9196285009391</v>
      </c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7"/>
      <c r="AW22" s="37"/>
      <c r="AX22" s="37"/>
      <c r="AY22" s="37"/>
      <c r="AZ22" s="37"/>
      <c r="BA22" s="37"/>
      <c r="BB22" s="37"/>
      <c r="BC22" s="37"/>
      <c r="BD22" s="37"/>
      <c r="BE22" s="37"/>
      <c r="BF22" s="37"/>
      <c r="BG22" s="37"/>
      <c r="BH22" s="37"/>
      <c r="BI22" s="37"/>
      <c r="BJ22" s="37"/>
      <c r="BK22" s="37"/>
      <c r="BL22" s="37"/>
      <c r="BM22" s="37"/>
      <c r="BN22" s="37"/>
      <c r="BO22" s="37"/>
      <c r="BP22" s="37"/>
      <c r="BQ22" s="37"/>
      <c r="BR22" s="37"/>
      <c r="BS22" s="37"/>
      <c r="BT22" s="37"/>
      <c r="BU22" s="37"/>
      <c r="BV22" s="37"/>
      <c r="BW22" s="37"/>
      <c r="BX22" s="37"/>
      <c r="BY22" s="37"/>
      <c r="BZ22" s="37"/>
      <c r="CA22" s="37"/>
      <c r="CB22" s="37"/>
      <c r="CC22" s="37"/>
      <c r="CD22" s="37"/>
      <c r="CE22" s="37"/>
      <c r="CF22" s="37"/>
      <c r="CG22" s="37"/>
      <c r="CH22" s="37"/>
      <c r="CI22" s="37"/>
      <c r="CJ22" s="37"/>
      <c r="CK22" s="37"/>
      <c r="CL22" s="37"/>
      <c r="CM22" s="37"/>
      <c r="CN22" s="37"/>
      <c r="CO22" s="37"/>
      <c r="CP22" s="37"/>
      <c r="CQ22" s="37"/>
      <c r="CR22" s="37"/>
      <c r="CS22" s="37"/>
      <c r="CT22" s="37"/>
      <c r="CU22" s="37"/>
      <c r="CV22" s="37"/>
      <c r="CW22" s="37"/>
      <c r="CX22" s="37"/>
      <c r="CY22" s="37"/>
      <c r="CZ22" s="37"/>
      <c r="DA22" s="37"/>
      <c r="DB22" s="37"/>
      <c r="DC22" s="37"/>
      <c r="DD22" s="37"/>
      <c r="DE22" s="37"/>
      <c r="DF22" s="37"/>
      <c r="DG22" s="37"/>
      <c r="DH22" s="37"/>
      <c r="DI22" s="37"/>
    </row>
    <row r="23" spans="1:196" x14ac:dyDescent="0.15">
      <c r="A23" s="2" t="s">
        <v>5</v>
      </c>
      <c r="B23" s="36">
        <f>SUM(Reports!B16:E16)</f>
        <v>89</v>
      </c>
      <c r="C23" s="36">
        <f>SUM(Reports!F16:I16)</f>
        <v>121</v>
      </c>
      <c r="D23" s="22">
        <f>SUM(Reports!J16:M16)</f>
        <v>150.5</v>
      </c>
      <c r="E23" s="22">
        <f>D23*1.25</f>
        <v>188.125</v>
      </c>
      <c r="F23" s="22">
        <f t="shared" ref="F23:H23" si="17">E23*1.25</f>
        <v>235.15625</v>
      </c>
      <c r="G23" s="22">
        <f t="shared" si="17"/>
        <v>293.9453125</v>
      </c>
      <c r="H23" s="22">
        <f t="shared" si="17"/>
        <v>367.431640625</v>
      </c>
      <c r="I23" s="22">
        <f>H23*1.1</f>
        <v>404.17480468750006</v>
      </c>
      <c r="J23" s="22">
        <f t="shared" ref="J23:M23" si="18">I23*1.1</f>
        <v>444.59228515625011</v>
      </c>
      <c r="K23" s="22">
        <f t="shared" si="18"/>
        <v>489.05151367187517</v>
      </c>
      <c r="L23" s="22">
        <f t="shared" si="18"/>
        <v>537.95666503906273</v>
      </c>
      <c r="M23" s="22">
        <f t="shared" si="18"/>
        <v>591.75233154296905</v>
      </c>
      <c r="N23" s="22">
        <f t="shared" ref="N23:R23" si="19">M23*0.98</f>
        <v>579.91728491210961</v>
      </c>
      <c r="O23" s="22">
        <f t="shared" si="19"/>
        <v>568.31893921386745</v>
      </c>
      <c r="P23" s="22">
        <f t="shared" si="19"/>
        <v>556.95256042959011</v>
      </c>
      <c r="Q23" s="22">
        <f t="shared" si="19"/>
        <v>545.8135092209983</v>
      </c>
      <c r="R23" s="22">
        <f t="shared" si="19"/>
        <v>534.8972390365783</v>
      </c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/>
      <c r="AW23" s="37"/>
      <c r="AX23" s="37"/>
      <c r="AY23" s="37"/>
      <c r="AZ23" s="37"/>
      <c r="BA23" s="37"/>
      <c r="BB23" s="37"/>
      <c r="BC23" s="37"/>
      <c r="BD23" s="37"/>
      <c r="BE23" s="37"/>
      <c r="BF23" s="37"/>
      <c r="BG23" s="37"/>
      <c r="BH23" s="37"/>
      <c r="BI23" s="37"/>
      <c r="BJ23" s="37"/>
      <c r="BK23" s="37"/>
      <c r="BL23" s="37"/>
      <c r="BM23" s="37"/>
      <c r="BN23" s="37"/>
      <c r="BO23" s="37"/>
      <c r="BP23" s="37"/>
      <c r="BQ23" s="37"/>
      <c r="BR23" s="37"/>
      <c r="BS23" s="37"/>
      <c r="BT23" s="37"/>
      <c r="BU23" s="37"/>
      <c r="BV23" s="37"/>
      <c r="BW23" s="37"/>
      <c r="BX23" s="37"/>
      <c r="BY23" s="37"/>
      <c r="BZ23" s="37"/>
      <c r="CA23" s="37"/>
      <c r="CB23" s="37"/>
      <c r="CC23" s="37"/>
      <c r="CD23" s="37"/>
      <c r="CE23" s="37"/>
      <c r="CF23" s="37"/>
      <c r="CG23" s="37"/>
      <c r="CH23" s="37"/>
      <c r="CI23" s="37"/>
      <c r="CJ23" s="37"/>
      <c r="CK23" s="37"/>
      <c r="CL23" s="37"/>
      <c r="CM23" s="37"/>
      <c r="CN23" s="37"/>
      <c r="CO23" s="37"/>
      <c r="CP23" s="37"/>
      <c r="CQ23" s="37"/>
      <c r="CR23" s="37"/>
      <c r="CS23" s="37"/>
      <c r="CT23" s="37"/>
      <c r="CU23" s="37"/>
      <c r="CV23" s="37"/>
      <c r="CW23" s="37"/>
      <c r="CX23" s="37"/>
      <c r="CY23" s="37"/>
      <c r="CZ23" s="37"/>
      <c r="DA23" s="37"/>
      <c r="DB23" s="37"/>
      <c r="DC23" s="37"/>
      <c r="DD23" s="37"/>
      <c r="DE23" s="37"/>
      <c r="DF23" s="37"/>
      <c r="DG23" s="37"/>
      <c r="DH23" s="37"/>
      <c r="DI23" s="37"/>
    </row>
    <row r="24" spans="1:196" x14ac:dyDescent="0.15">
      <c r="A24" s="2" t="s">
        <v>6</v>
      </c>
      <c r="B24" s="25">
        <f t="shared" ref="B24:C24" si="20">SUM(B21:B23)</f>
        <v>181</v>
      </c>
      <c r="C24" s="25">
        <f t="shared" si="20"/>
        <v>269</v>
      </c>
      <c r="D24" s="22">
        <f t="shared" ref="D24:E24" si="21">SUM(D21:D23)</f>
        <v>417.3</v>
      </c>
      <c r="E24" s="22">
        <f t="shared" si="21"/>
        <v>529.71500000000003</v>
      </c>
      <c r="F24" s="22">
        <f t="shared" ref="F24:I24" si="22">SUM(F21:F23)</f>
        <v>672.66075000000001</v>
      </c>
      <c r="G24" s="22">
        <f t="shared" si="22"/>
        <v>854.49803750000012</v>
      </c>
      <c r="H24" s="22">
        <f t="shared" si="22"/>
        <v>1085.8962768750002</v>
      </c>
      <c r="I24" s="22">
        <f t="shared" si="22"/>
        <v>1279.1497510000002</v>
      </c>
      <c r="J24" s="22">
        <f t="shared" ref="J24:M24" si="23">SUM(J21:J23)</f>
        <v>1510.5839492468754</v>
      </c>
      <c r="K24" s="22">
        <f t="shared" si="23"/>
        <v>1788.2686712251566</v>
      </c>
      <c r="L24" s="22">
        <f t="shared" si="23"/>
        <v>2122.0512049086647</v>
      </c>
      <c r="M24" s="22">
        <f t="shared" si="23"/>
        <v>2523.9582178935711</v>
      </c>
      <c r="N24" s="22">
        <f t="shared" ref="N24" si="24">SUM(N21:N23)</f>
        <v>2647.8490137140921</v>
      </c>
      <c r="O24" s="22">
        <f t="shared" ref="O24:R24" si="25">SUM(O21:O23)</f>
        <v>2782.6743574031843</v>
      </c>
      <c r="P24" s="22">
        <f t="shared" si="25"/>
        <v>2929.3555627703313</v>
      </c>
      <c r="Q24" s="22">
        <f t="shared" si="25"/>
        <v>3088.8994562449311</v>
      </c>
      <c r="R24" s="22">
        <f t="shared" si="25"/>
        <v>3262.4065574344781</v>
      </c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37"/>
      <c r="AW24" s="37"/>
      <c r="AX24" s="37"/>
      <c r="AY24" s="37"/>
      <c r="AZ24" s="37"/>
      <c r="BA24" s="37"/>
      <c r="BB24" s="37"/>
      <c r="BC24" s="37"/>
      <c r="BD24" s="37"/>
      <c r="BE24" s="37"/>
      <c r="BF24" s="37"/>
      <c r="BG24" s="37"/>
      <c r="BH24" s="37"/>
      <c r="BI24" s="37"/>
      <c r="BJ24" s="37"/>
      <c r="BK24" s="37"/>
      <c r="BL24" s="37"/>
      <c r="BM24" s="37"/>
      <c r="BN24" s="37"/>
      <c r="BO24" s="37"/>
      <c r="BP24" s="37"/>
      <c r="BQ24" s="37"/>
      <c r="BR24" s="37"/>
      <c r="BS24" s="37"/>
      <c r="BT24" s="37"/>
      <c r="BU24" s="37"/>
      <c r="BV24" s="37"/>
      <c r="BW24" s="37"/>
      <c r="BX24" s="37"/>
      <c r="BY24" s="37"/>
      <c r="BZ24" s="37"/>
      <c r="CA24" s="37"/>
      <c r="CB24" s="37"/>
      <c r="CC24" s="37"/>
      <c r="CD24" s="37"/>
      <c r="CE24" s="37"/>
      <c r="CF24" s="37"/>
      <c r="CG24" s="37"/>
      <c r="CH24" s="37"/>
      <c r="CI24" s="37"/>
      <c r="CJ24" s="37"/>
      <c r="CK24" s="37"/>
      <c r="CL24" s="37"/>
      <c r="CM24" s="37"/>
      <c r="CN24" s="37"/>
      <c r="CO24" s="37"/>
      <c r="CP24" s="37"/>
      <c r="CQ24" s="37"/>
      <c r="CR24" s="37"/>
      <c r="CS24" s="37"/>
      <c r="CT24" s="37"/>
      <c r="CU24" s="37"/>
      <c r="CV24" s="37"/>
      <c r="CW24" s="37"/>
      <c r="CX24" s="37"/>
      <c r="CY24" s="37"/>
      <c r="CZ24" s="37"/>
      <c r="DA24" s="37"/>
      <c r="DB24" s="37"/>
      <c r="DC24" s="37"/>
      <c r="DD24" s="37"/>
      <c r="DE24" s="37"/>
      <c r="DF24" s="37"/>
      <c r="DG24" s="37"/>
      <c r="DH24" s="37"/>
      <c r="DI24" s="37"/>
    </row>
    <row r="25" spans="1:196" x14ac:dyDescent="0.15">
      <c r="A25" s="2" t="s">
        <v>7</v>
      </c>
      <c r="B25" s="25">
        <f t="shared" ref="B25:C25" si="26">B20-B24</f>
        <v>-126.60499999999999</v>
      </c>
      <c r="C25" s="25">
        <f t="shared" si="26"/>
        <v>-108.13800000000009</v>
      </c>
      <c r="D25" s="22">
        <f t="shared" ref="D25:E25" si="27">D20-D24</f>
        <v>-172.38760500000015</v>
      </c>
      <c r="E25" s="22">
        <f t="shared" si="27"/>
        <v>-156.83587861250021</v>
      </c>
      <c r="F25" s="22">
        <f t="shared" ref="F25:N25" si="28">F20-F24</f>
        <v>-104.95228768753157</v>
      </c>
      <c r="G25" s="22">
        <f t="shared" si="28"/>
        <v>9.838096370733183</v>
      </c>
      <c r="H25" s="22">
        <f t="shared" si="28"/>
        <v>230.05548694319123</v>
      </c>
      <c r="I25" s="22">
        <f t="shared" si="28"/>
        <v>365.78995377273918</v>
      </c>
      <c r="J25" s="22">
        <f t="shared" si="28"/>
        <v>545.59068171904892</v>
      </c>
      <c r="K25" s="22">
        <f t="shared" si="28"/>
        <v>781.94961748224841</v>
      </c>
      <c r="L25" s="22">
        <f t="shared" si="28"/>
        <v>1090.7216559755916</v>
      </c>
      <c r="M25" s="22">
        <f t="shared" si="28"/>
        <v>1492.0078582117494</v>
      </c>
      <c r="N25" s="22">
        <f t="shared" si="28"/>
        <v>1769.7136700017604</v>
      </c>
      <c r="O25" s="22">
        <f t="shared" ref="O25:R25" si="29">O20-O24</f>
        <v>2076.6445946842541</v>
      </c>
      <c r="P25" s="22">
        <f t="shared" si="29"/>
        <v>2415.8952845258514</v>
      </c>
      <c r="Q25" s="22">
        <f t="shared" si="29"/>
        <v>2790.8764757808708</v>
      </c>
      <c r="R25" s="22">
        <f t="shared" si="29"/>
        <v>3205.3469677939042</v>
      </c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AK25" s="37"/>
      <c r="AL25" s="37"/>
      <c r="AM25" s="37"/>
      <c r="AN25" s="37"/>
      <c r="AO25" s="37"/>
      <c r="AP25" s="37"/>
      <c r="AQ25" s="37"/>
      <c r="AR25" s="37"/>
      <c r="AS25" s="37"/>
      <c r="AT25" s="37"/>
      <c r="AU25" s="37"/>
      <c r="AV25" s="37"/>
      <c r="AW25" s="37"/>
      <c r="AX25" s="37"/>
      <c r="AY25" s="37"/>
      <c r="AZ25" s="37"/>
      <c r="BA25" s="37"/>
      <c r="BB25" s="37"/>
      <c r="BC25" s="37"/>
      <c r="BD25" s="37"/>
      <c r="BE25" s="37"/>
      <c r="BF25" s="37"/>
      <c r="BG25" s="37"/>
      <c r="BH25" s="37"/>
      <c r="BI25" s="37"/>
      <c r="BJ25" s="37"/>
      <c r="BK25" s="37"/>
      <c r="BL25" s="37"/>
      <c r="BM25" s="37"/>
      <c r="BN25" s="37"/>
      <c r="BO25" s="37"/>
      <c r="BP25" s="37"/>
      <c r="BQ25" s="37"/>
      <c r="BR25" s="37"/>
      <c r="BS25" s="37"/>
      <c r="BT25" s="37"/>
      <c r="BU25" s="37"/>
      <c r="BV25" s="37"/>
      <c r="BW25" s="37"/>
      <c r="BX25" s="37"/>
      <c r="BY25" s="37"/>
      <c r="BZ25" s="37"/>
      <c r="CA25" s="37"/>
      <c r="CB25" s="37"/>
      <c r="CC25" s="37"/>
      <c r="CD25" s="37"/>
      <c r="CE25" s="37"/>
      <c r="CF25" s="37"/>
      <c r="CG25" s="37"/>
      <c r="CH25" s="37"/>
      <c r="CI25" s="37"/>
      <c r="CJ25" s="37"/>
      <c r="CK25" s="37"/>
      <c r="CL25" s="37"/>
      <c r="CM25" s="37"/>
      <c r="CN25" s="37"/>
      <c r="CO25" s="37"/>
      <c r="CP25" s="37"/>
      <c r="CQ25" s="37"/>
      <c r="CR25" s="37"/>
      <c r="CS25" s="37"/>
      <c r="CT25" s="37"/>
      <c r="CU25" s="37"/>
      <c r="CV25" s="37"/>
      <c r="CW25" s="37"/>
      <c r="CX25" s="37"/>
      <c r="CY25" s="37"/>
      <c r="CZ25" s="37"/>
      <c r="DA25" s="37"/>
      <c r="DB25" s="37"/>
      <c r="DC25" s="37"/>
      <c r="DD25" s="37"/>
      <c r="DE25" s="37"/>
      <c r="DF25" s="37"/>
      <c r="DG25" s="37"/>
      <c r="DH25" s="37"/>
      <c r="DI25" s="37"/>
    </row>
    <row r="26" spans="1:196" x14ac:dyDescent="0.15">
      <c r="A26" s="2" t="s">
        <v>8</v>
      </c>
      <c r="B26" s="36">
        <f>SUM(Reports!B19:E19)</f>
        <v>7</v>
      </c>
      <c r="C26" s="36">
        <f>SUM(Reports!F19:I19)</f>
        <v>-4</v>
      </c>
      <c r="D26" s="22">
        <f t="shared" ref="D26:R26" si="30">C43*$F$3</f>
        <v>9.4</v>
      </c>
      <c r="E26" s="22">
        <f t="shared" si="30"/>
        <v>6.1402478999999976</v>
      </c>
      <c r="F26" s="22">
        <f t="shared" si="30"/>
        <v>3.1263352857499926</v>
      </c>
      <c r="G26" s="22">
        <f t="shared" si="30"/>
        <v>1.0898162377143612</v>
      </c>
      <c r="H26" s="22">
        <f t="shared" si="30"/>
        <v>1.3083744898833121</v>
      </c>
      <c r="I26" s="22">
        <f t="shared" si="30"/>
        <v>5.472923995678654</v>
      </c>
      <c r="J26" s="22">
        <f t="shared" si="30"/>
        <v>12.155655795510174</v>
      </c>
      <c r="K26" s="22">
        <f t="shared" si="30"/>
        <v>22.195089870772236</v>
      </c>
      <c r="L26" s="22">
        <f t="shared" si="30"/>
        <v>36.669694603126608</v>
      </c>
      <c r="M26" s="22">
        <f t="shared" si="30"/>
        <v>56.962738913543539</v>
      </c>
      <c r="N26" s="22">
        <f t="shared" si="30"/>
        <v>84.844209661798814</v>
      </c>
      <c r="O26" s="22">
        <f t="shared" si="30"/>
        <v>118.22625149574287</v>
      </c>
      <c r="P26" s="22">
        <f t="shared" si="30"/>
        <v>157.73392672698284</v>
      </c>
      <c r="Q26" s="22">
        <f t="shared" si="30"/>
        <v>204.05925252953384</v>
      </c>
      <c r="R26" s="22">
        <f t="shared" si="30"/>
        <v>257.96809563912115</v>
      </c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I26" s="37"/>
      <c r="AJ26" s="37"/>
      <c r="AK26" s="37"/>
      <c r="AL26" s="37"/>
      <c r="AM26" s="37"/>
      <c r="AN26" s="37"/>
      <c r="AO26" s="37"/>
      <c r="AP26" s="37"/>
      <c r="AQ26" s="37"/>
      <c r="AR26" s="37"/>
      <c r="AS26" s="37"/>
      <c r="AT26" s="37"/>
      <c r="AU26" s="37"/>
      <c r="AV26" s="37"/>
      <c r="AW26" s="37"/>
      <c r="AX26" s="37"/>
      <c r="AY26" s="37"/>
      <c r="AZ26" s="37"/>
      <c r="BA26" s="37"/>
      <c r="BB26" s="37"/>
      <c r="BC26" s="37"/>
      <c r="BD26" s="37"/>
      <c r="BE26" s="37"/>
      <c r="BF26" s="37"/>
      <c r="BG26" s="37"/>
      <c r="BH26" s="37"/>
      <c r="BI26" s="37"/>
      <c r="BJ26" s="37"/>
      <c r="BK26" s="37"/>
      <c r="BL26" s="37"/>
      <c r="BM26" s="37"/>
      <c r="BN26" s="37"/>
      <c r="BO26" s="37"/>
      <c r="BP26" s="37"/>
      <c r="BQ26" s="37"/>
      <c r="BR26" s="37"/>
      <c r="BS26" s="37"/>
      <c r="BT26" s="37"/>
      <c r="BU26" s="37"/>
      <c r="BV26" s="37"/>
      <c r="BW26" s="37"/>
      <c r="BX26" s="37"/>
      <c r="BY26" s="37"/>
      <c r="BZ26" s="37"/>
      <c r="CA26" s="37"/>
      <c r="CB26" s="37"/>
      <c r="CC26" s="37"/>
      <c r="CD26" s="37"/>
      <c r="CE26" s="37"/>
      <c r="CF26" s="37"/>
      <c r="CG26" s="37"/>
      <c r="CH26" s="37"/>
      <c r="CI26" s="37"/>
      <c r="CJ26" s="37"/>
      <c r="CK26" s="37"/>
      <c r="CL26" s="37"/>
      <c r="CM26" s="37"/>
      <c r="CN26" s="37"/>
      <c r="CO26" s="37"/>
      <c r="CP26" s="37"/>
      <c r="CQ26" s="37"/>
      <c r="CR26" s="37"/>
      <c r="CS26" s="37"/>
      <c r="CT26" s="37"/>
      <c r="CU26" s="37"/>
      <c r="CV26" s="37"/>
      <c r="CW26" s="37"/>
      <c r="CX26" s="37"/>
      <c r="CY26" s="37"/>
      <c r="CZ26" s="37"/>
      <c r="DA26" s="37"/>
      <c r="DB26" s="37"/>
      <c r="DC26" s="37"/>
      <c r="DD26" s="37"/>
      <c r="DE26" s="37"/>
      <c r="DF26" s="37"/>
      <c r="DG26" s="37"/>
      <c r="DH26" s="37"/>
      <c r="DI26" s="37"/>
    </row>
    <row r="27" spans="1:196" x14ac:dyDescent="0.15">
      <c r="A27" s="2" t="s">
        <v>9</v>
      </c>
      <c r="B27" s="25">
        <f t="shared" ref="B27:C27" si="31">B25+B26</f>
        <v>-119.60499999999999</v>
      </c>
      <c r="C27" s="25">
        <f t="shared" si="31"/>
        <v>-112.13800000000009</v>
      </c>
      <c r="D27" s="22">
        <f t="shared" ref="D27:E27" si="32">D25+D26</f>
        <v>-162.98760500000014</v>
      </c>
      <c r="E27" s="22">
        <f t="shared" si="32"/>
        <v>-150.69563071250022</v>
      </c>
      <c r="F27" s="22">
        <f t="shared" ref="F27" si="33">F25+F26</f>
        <v>-101.82595240178158</v>
      </c>
      <c r="G27" s="22">
        <f t="shared" ref="G27" si="34">G25+G26</f>
        <v>10.927912608447544</v>
      </c>
      <c r="H27" s="22">
        <f t="shared" ref="H27" si="35">H25+H26</f>
        <v>231.36386143307453</v>
      </c>
      <c r="I27" s="22">
        <f t="shared" ref="I27" si="36">I25+I26</f>
        <v>371.26287776841781</v>
      </c>
      <c r="J27" s="22">
        <f t="shared" ref="J27" si="37">J25+J26</f>
        <v>557.74633751455906</v>
      </c>
      <c r="K27" s="22">
        <f t="shared" ref="K27" si="38">K25+K26</f>
        <v>804.14470735302064</v>
      </c>
      <c r="L27" s="22">
        <f t="shared" ref="L27" si="39">L25+L26</f>
        <v>1127.3913505787182</v>
      </c>
      <c r="M27" s="22">
        <f t="shared" ref="M27:N27" si="40">M25+M26</f>
        <v>1548.9705971252929</v>
      </c>
      <c r="N27" s="22">
        <f t="shared" si="40"/>
        <v>1854.5578796635593</v>
      </c>
      <c r="O27" s="22">
        <f t="shared" ref="O27:R27" si="41">O25+O26</f>
        <v>2194.870846179997</v>
      </c>
      <c r="P27" s="22">
        <f t="shared" si="41"/>
        <v>2573.629211252834</v>
      </c>
      <c r="Q27" s="22">
        <f t="shared" si="41"/>
        <v>2994.9357283104046</v>
      </c>
      <c r="R27" s="22">
        <f t="shared" si="41"/>
        <v>3463.3150634330254</v>
      </c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37"/>
      <c r="AL27" s="37"/>
      <c r="AM27" s="37"/>
      <c r="AN27" s="37"/>
      <c r="AO27" s="37"/>
      <c r="AP27" s="37"/>
      <c r="AQ27" s="37"/>
      <c r="AR27" s="37"/>
      <c r="AS27" s="37"/>
      <c r="AT27" s="37"/>
      <c r="AU27" s="37"/>
      <c r="AV27" s="37"/>
      <c r="AW27" s="37"/>
      <c r="AX27" s="37"/>
      <c r="AY27" s="37"/>
      <c r="AZ27" s="37"/>
      <c r="BA27" s="37"/>
      <c r="BB27" s="37"/>
      <c r="BC27" s="37"/>
      <c r="BD27" s="37"/>
      <c r="BE27" s="37"/>
      <c r="BF27" s="37"/>
      <c r="BG27" s="37"/>
      <c r="BH27" s="37"/>
      <c r="BI27" s="37"/>
      <c r="BJ27" s="37"/>
      <c r="BK27" s="37"/>
      <c r="BL27" s="37"/>
      <c r="BM27" s="37"/>
      <c r="BN27" s="37"/>
      <c r="BO27" s="37"/>
      <c r="BP27" s="37"/>
      <c r="BQ27" s="37"/>
      <c r="BR27" s="37"/>
      <c r="BS27" s="37"/>
      <c r="BT27" s="37"/>
      <c r="BU27" s="37"/>
      <c r="BV27" s="37"/>
      <c r="BW27" s="37"/>
      <c r="BX27" s="37"/>
      <c r="BY27" s="37"/>
      <c r="BZ27" s="37"/>
      <c r="CA27" s="37"/>
      <c r="CB27" s="37"/>
      <c r="CC27" s="37"/>
      <c r="CD27" s="37"/>
      <c r="CE27" s="37"/>
      <c r="CF27" s="37"/>
      <c r="CG27" s="37"/>
      <c r="CH27" s="37"/>
      <c r="CI27" s="37"/>
      <c r="CJ27" s="37"/>
      <c r="CK27" s="37"/>
      <c r="CL27" s="37"/>
      <c r="CM27" s="37"/>
      <c r="CN27" s="37"/>
      <c r="CO27" s="37"/>
      <c r="CP27" s="37"/>
      <c r="CQ27" s="37"/>
      <c r="CR27" s="37"/>
      <c r="CS27" s="37"/>
      <c r="CT27" s="37"/>
      <c r="CU27" s="37"/>
      <c r="CV27" s="37"/>
      <c r="CW27" s="37"/>
      <c r="CX27" s="37"/>
      <c r="CY27" s="37"/>
      <c r="CZ27" s="37"/>
      <c r="DA27" s="37"/>
      <c r="DB27" s="37"/>
      <c r="DC27" s="37"/>
      <c r="DD27" s="37"/>
      <c r="DE27" s="37"/>
      <c r="DF27" s="37"/>
      <c r="DG27" s="37"/>
      <c r="DH27" s="37"/>
      <c r="DI27" s="37"/>
    </row>
    <row r="28" spans="1:196" x14ac:dyDescent="0.15">
      <c r="A28" s="2" t="s">
        <v>10</v>
      </c>
      <c r="B28" s="36">
        <f>SUM(Reports!B21:E21)</f>
        <v>0</v>
      </c>
      <c r="C28" s="36">
        <f>SUM(Reports!F21:I21)</f>
        <v>0</v>
      </c>
      <c r="D28" s="22">
        <v>0</v>
      </c>
      <c r="E28" s="22">
        <v>0</v>
      </c>
      <c r="F28" s="22">
        <v>0</v>
      </c>
      <c r="G28" s="22">
        <v>0</v>
      </c>
      <c r="H28" s="22">
        <f t="shared" ref="H28:N28" si="42">H27*0.1</f>
        <v>23.136386143307455</v>
      </c>
      <c r="I28" s="22">
        <f t="shared" si="42"/>
        <v>37.126287776841785</v>
      </c>
      <c r="J28" s="22">
        <f t="shared" si="42"/>
        <v>55.774633751455909</v>
      </c>
      <c r="K28" s="22">
        <f t="shared" si="42"/>
        <v>80.414470735302075</v>
      </c>
      <c r="L28" s="22">
        <f t="shared" si="42"/>
        <v>112.73913505787182</v>
      </c>
      <c r="M28" s="22">
        <f t="shared" si="42"/>
        <v>154.89705971252931</v>
      </c>
      <c r="N28" s="22">
        <f t="shared" si="42"/>
        <v>185.45578796635596</v>
      </c>
      <c r="O28" s="22">
        <f t="shared" ref="O28:R28" si="43">O27*0.1</f>
        <v>219.4870846179997</v>
      </c>
      <c r="P28" s="22">
        <f t="shared" si="43"/>
        <v>257.36292112528344</v>
      </c>
      <c r="Q28" s="22">
        <f t="shared" si="43"/>
        <v>299.49357283104047</v>
      </c>
      <c r="R28" s="22">
        <f t="shared" si="43"/>
        <v>346.33150634330258</v>
      </c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7"/>
      <c r="AL28" s="37"/>
      <c r="AM28" s="37"/>
      <c r="AN28" s="37"/>
      <c r="AO28" s="37"/>
      <c r="AP28" s="37"/>
      <c r="AQ28" s="37"/>
      <c r="AR28" s="37"/>
      <c r="AS28" s="37"/>
      <c r="AT28" s="37"/>
      <c r="AU28" s="37"/>
      <c r="AV28" s="37"/>
      <c r="AW28" s="37"/>
      <c r="AX28" s="37"/>
      <c r="AY28" s="37"/>
      <c r="AZ28" s="37"/>
      <c r="BA28" s="37"/>
      <c r="BB28" s="37"/>
      <c r="BC28" s="37"/>
      <c r="BD28" s="37"/>
      <c r="BE28" s="37"/>
      <c r="BF28" s="37"/>
      <c r="BG28" s="37"/>
      <c r="BH28" s="37"/>
      <c r="BI28" s="37"/>
      <c r="BJ28" s="37"/>
      <c r="BK28" s="37"/>
      <c r="BL28" s="37"/>
      <c r="BM28" s="37"/>
      <c r="BN28" s="37"/>
      <c r="BO28" s="37"/>
      <c r="BP28" s="37"/>
      <c r="BQ28" s="37"/>
      <c r="BR28" s="37"/>
      <c r="BS28" s="37"/>
      <c r="BT28" s="37"/>
      <c r="BU28" s="37"/>
      <c r="BV28" s="37"/>
      <c r="BW28" s="37"/>
      <c r="BX28" s="37"/>
      <c r="BY28" s="37"/>
      <c r="BZ28" s="37"/>
      <c r="CA28" s="37"/>
      <c r="CB28" s="37"/>
      <c r="CC28" s="37"/>
      <c r="CD28" s="37"/>
      <c r="CE28" s="37"/>
      <c r="CF28" s="37"/>
      <c r="CG28" s="37"/>
      <c r="CH28" s="37"/>
      <c r="CI28" s="37"/>
      <c r="CJ28" s="37"/>
      <c r="CK28" s="37"/>
      <c r="CL28" s="37"/>
      <c r="CM28" s="37"/>
      <c r="CN28" s="37"/>
      <c r="CO28" s="37"/>
      <c r="CP28" s="37"/>
      <c r="CQ28" s="37"/>
      <c r="CR28" s="37"/>
      <c r="CS28" s="37"/>
      <c r="CT28" s="37"/>
      <c r="CU28" s="37"/>
      <c r="CV28" s="37"/>
      <c r="CW28" s="37"/>
      <c r="CX28" s="37"/>
      <c r="CY28" s="37"/>
      <c r="CZ28" s="37"/>
      <c r="DA28" s="37"/>
      <c r="DB28" s="37"/>
      <c r="DC28" s="37"/>
      <c r="DD28" s="37"/>
      <c r="DE28" s="37"/>
      <c r="DF28" s="37"/>
      <c r="DG28" s="37"/>
      <c r="DH28" s="37"/>
      <c r="DI28" s="37"/>
    </row>
    <row r="29" spans="1:196" s="1" customFormat="1" x14ac:dyDescent="0.15">
      <c r="A29" s="1" t="s">
        <v>11</v>
      </c>
      <c r="B29" s="23">
        <f>B27-B28</f>
        <v>-119.60499999999999</v>
      </c>
      <c r="C29" s="23">
        <f t="shared" ref="C29:E29" si="44">C27-C28</f>
        <v>-112.13800000000009</v>
      </c>
      <c r="D29" s="23">
        <f t="shared" ref="D29" si="45">D27-D28</f>
        <v>-162.98760500000014</v>
      </c>
      <c r="E29" s="23">
        <f t="shared" si="44"/>
        <v>-150.69563071250022</v>
      </c>
      <c r="F29" s="23">
        <f t="shared" ref="F29:N29" si="46">F27-F28</f>
        <v>-101.82595240178158</v>
      </c>
      <c r="G29" s="23">
        <f t="shared" si="46"/>
        <v>10.927912608447544</v>
      </c>
      <c r="H29" s="23">
        <f t="shared" si="46"/>
        <v>208.22747528976709</v>
      </c>
      <c r="I29" s="23">
        <f t="shared" si="46"/>
        <v>334.13658999157605</v>
      </c>
      <c r="J29" s="23">
        <f t="shared" si="46"/>
        <v>501.97170376310316</v>
      </c>
      <c r="K29" s="23">
        <f t="shared" si="46"/>
        <v>723.73023661771856</v>
      </c>
      <c r="L29" s="23">
        <f t="shared" si="46"/>
        <v>1014.6522155208463</v>
      </c>
      <c r="M29" s="23">
        <f t="shared" si="46"/>
        <v>1394.0735374127635</v>
      </c>
      <c r="N29" s="23">
        <f t="shared" si="46"/>
        <v>1669.1020916972034</v>
      </c>
      <c r="O29" s="23">
        <f t="shared" ref="O29:R29" si="47">O27-O28</f>
        <v>1975.3837615619973</v>
      </c>
      <c r="P29" s="23">
        <f t="shared" si="47"/>
        <v>2316.2662901275507</v>
      </c>
      <c r="Q29" s="23">
        <f t="shared" si="47"/>
        <v>2695.4421554793639</v>
      </c>
      <c r="R29" s="23">
        <f t="shared" si="47"/>
        <v>3116.983557089723</v>
      </c>
      <c r="S29" s="23">
        <f t="shared" ref="S29:AX29" si="48">R29*($F$2+1)</f>
        <v>3148.1533926606203</v>
      </c>
      <c r="T29" s="23">
        <f t="shared" si="48"/>
        <v>3179.6349265872263</v>
      </c>
      <c r="U29" s="23">
        <f t="shared" si="48"/>
        <v>3211.4312758530987</v>
      </c>
      <c r="V29" s="23">
        <f t="shared" si="48"/>
        <v>3243.5455886116297</v>
      </c>
      <c r="W29" s="23">
        <f t="shared" si="48"/>
        <v>3275.9810444977461</v>
      </c>
      <c r="X29" s="23">
        <f t="shared" si="48"/>
        <v>3308.7408549427237</v>
      </c>
      <c r="Y29" s="23">
        <f t="shared" si="48"/>
        <v>3341.8282634921511</v>
      </c>
      <c r="Z29" s="23">
        <f t="shared" si="48"/>
        <v>3375.2465461270726</v>
      </c>
      <c r="AA29" s="23">
        <f t="shared" si="48"/>
        <v>3408.9990115883434</v>
      </c>
      <c r="AB29" s="23">
        <f t="shared" si="48"/>
        <v>3443.089001704227</v>
      </c>
      <c r="AC29" s="23">
        <f t="shared" si="48"/>
        <v>3477.5198917212692</v>
      </c>
      <c r="AD29" s="23">
        <f t="shared" si="48"/>
        <v>3512.2950906384822</v>
      </c>
      <c r="AE29" s="23">
        <f t="shared" si="48"/>
        <v>3547.4180415448668</v>
      </c>
      <c r="AF29" s="23">
        <f t="shared" si="48"/>
        <v>3582.8922219603155</v>
      </c>
      <c r="AG29" s="23">
        <f t="shared" si="48"/>
        <v>3618.7211441799186</v>
      </c>
      <c r="AH29" s="23">
        <f t="shared" si="48"/>
        <v>3654.9083556217179</v>
      </c>
      <c r="AI29" s="23">
        <f t="shared" si="48"/>
        <v>3691.4574391779352</v>
      </c>
      <c r="AJ29" s="23">
        <f t="shared" si="48"/>
        <v>3728.3720135697145</v>
      </c>
      <c r="AK29" s="23">
        <f t="shared" si="48"/>
        <v>3765.6557337054114</v>
      </c>
      <c r="AL29" s="23">
        <f t="shared" si="48"/>
        <v>3803.3122910424654</v>
      </c>
      <c r="AM29" s="23">
        <f t="shared" si="48"/>
        <v>3841.3454139528899</v>
      </c>
      <c r="AN29" s="23">
        <f t="shared" si="48"/>
        <v>3879.7588680924187</v>
      </c>
      <c r="AO29" s="23">
        <f t="shared" si="48"/>
        <v>3918.5564567733427</v>
      </c>
      <c r="AP29" s="23">
        <f t="shared" si="48"/>
        <v>3957.742021341076</v>
      </c>
      <c r="AQ29" s="23">
        <f t="shared" si="48"/>
        <v>3997.3194415544867</v>
      </c>
      <c r="AR29" s="23">
        <f t="shared" si="48"/>
        <v>4037.2926359700318</v>
      </c>
      <c r="AS29" s="23">
        <f t="shared" si="48"/>
        <v>4077.665562329732</v>
      </c>
      <c r="AT29" s="23">
        <f t="shared" si="48"/>
        <v>4118.4422179530293</v>
      </c>
      <c r="AU29" s="23">
        <f t="shared" si="48"/>
        <v>4159.6266401325593</v>
      </c>
      <c r="AV29" s="23">
        <f t="shared" si="48"/>
        <v>4201.2229065338852</v>
      </c>
      <c r="AW29" s="23">
        <f t="shared" si="48"/>
        <v>4243.2351355992241</v>
      </c>
      <c r="AX29" s="23">
        <f t="shared" si="48"/>
        <v>4285.6674869552162</v>
      </c>
      <c r="AY29" s="23">
        <f t="shared" ref="AY29:CD29" si="49">AX29*($F$2+1)</f>
        <v>4328.5241618247683</v>
      </c>
      <c r="AZ29" s="23">
        <f t="shared" si="49"/>
        <v>4371.809403443016</v>
      </c>
      <c r="BA29" s="23">
        <f t="shared" si="49"/>
        <v>4415.5274974774466</v>
      </c>
      <c r="BB29" s="23">
        <f t="shared" si="49"/>
        <v>4459.6827724522209</v>
      </c>
      <c r="BC29" s="23">
        <f t="shared" si="49"/>
        <v>4504.2796001767429</v>
      </c>
      <c r="BD29" s="23">
        <f t="shared" si="49"/>
        <v>4549.3223961785106</v>
      </c>
      <c r="BE29" s="23">
        <f t="shared" si="49"/>
        <v>4594.8156201402962</v>
      </c>
      <c r="BF29" s="23">
        <f t="shared" si="49"/>
        <v>4640.7637763416997</v>
      </c>
      <c r="BG29" s="23">
        <f t="shared" si="49"/>
        <v>4687.171414105117</v>
      </c>
      <c r="BH29" s="23">
        <f t="shared" si="49"/>
        <v>4734.0431282461686</v>
      </c>
      <c r="BI29" s="23">
        <f t="shared" si="49"/>
        <v>4781.38355952863</v>
      </c>
      <c r="BJ29" s="23">
        <f t="shared" si="49"/>
        <v>4829.1973951239161</v>
      </c>
      <c r="BK29" s="23">
        <f t="shared" si="49"/>
        <v>4877.4893690751551</v>
      </c>
      <c r="BL29" s="23">
        <f t="shared" si="49"/>
        <v>4926.264262765907</v>
      </c>
      <c r="BM29" s="23">
        <f t="shared" si="49"/>
        <v>4975.5269053935663</v>
      </c>
      <c r="BN29" s="23">
        <f t="shared" si="49"/>
        <v>5025.2821744475023</v>
      </c>
      <c r="BO29" s="23">
        <f t="shared" si="49"/>
        <v>5075.5349961919774</v>
      </c>
      <c r="BP29" s="23">
        <f t="shared" si="49"/>
        <v>5126.2903461538972</v>
      </c>
      <c r="BQ29" s="23">
        <f t="shared" si="49"/>
        <v>5177.5532496154365</v>
      </c>
      <c r="BR29" s="23">
        <f t="shared" si="49"/>
        <v>5229.328782111591</v>
      </c>
      <c r="BS29" s="23">
        <f t="shared" si="49"/>
        <v>5281.6220699327068</v>
      </c>
      <c r="BT29" s="23">
        <f t="shared" si="49"/>
        <v>5334.4382906320343</v>
      </c>
      <c r="BU29" s="23">
        <f t="shared" si="49"/>
        <v>5387.7826735383551</v>
      </c>
      <c r="BV29" s="23">
        <f t="shared" si="49"/>
        <v>5441.6605002737388</v>
      </c>
      <c r="BW29" s="23">
        <f t="shared" si="49"/>
        <v>5496.0771052764758</v>
      </c>
      <c r="BX29" s="23">
        <f t="shared" si="49"/>
        <v>5551.0378763292401</v>
      </c>
      <c r="BY29" s="23">
        <f t="shared" si="49"/>
        <v>5606.5482550925326</v>
      </c>
      <c r="BZ29" s="23">
        <f t="shared" si="49"/>
        <v>5662.6137376434581</v>
      </c>
      <c r="CA29" s="23">
        <f t="shared" si="49"/>
        <v>5719.2398750198927</v>
      </c>
      <c r="CB29" s="23">
        <f t="shared" si="49"/>
        <v>5776.4322737700913</v>
      </c>
      <c r="CC29" s="23">
        <f t="shared" si="49"/>
        <v>5834.1965965077925</v>
      </c>
      <c r="CD29" s="23">
        <f t="shared" si="49"/>
        <v>5892.5385624728706</v>
      </c>
      <c r="CE29" s="23">
        <f t="shared" ref="CE29:DJ29" si="50">CD29*($F$2+1)</f>
        <v>5951.4639480975993</v>
      </c>
      <c r="CF29" s="23">
        <f t="shared" si="50"/>
        <v>6010.9785875785756</v>
      </c>
      <c r="CG29" s="23">
        <f t="shared" si="50"/>
        <v>6071.0883734543613</v>
      </c>
      <c r="CH29" s="23">
        <f t="shared" si="50"/>
        <v>6131.7992571889054</v>
      </c>
      <c r="CI29" s="23">
        <f t="shared" si="50"/>
        <v>6193.117249760794</v>
      </c>
      <c r="CJ29" s="23">
        <f t="shared" si="50"/>
        <v>6255.0484222584018</v>
      </c>
      <c r="CK29" s="23">
        <f t="shared" si="50"/>
        <v>6317.5989064809855</v>
      </c>
      <c r="CL29" s="23">
        <f t="shared" si="50"/>
        <v>6380.7748955457955</v>
      </c>
      <c r="CM29" s="23">
        <f t="shared" si="50"/>
        <v>6444.5826445012535</v>
      </c>
      <c r="CN29" s="23">
        <f t="shared" si="50"/>
        <v>6509.0284709462658</v>
      </c>
      <c r="CO29" s="23">
        <f t="shared" si="50"/>
        <v>6574.1187556557288</v>
      </c>
      <c r="CP29" s="23">
        <f t="shared" si="50"/>
        <v>6639.8599432122865</v>
      </c>
      <c r="CQ29" s="23">
        <f t="shared" si="50"/>
        <v>6706.2585426444093</v>
      </c>
      <c r="CR29" s="23">
        <f t="shared" si="50"/>
        <v>6773.3211280708538</v>
      </c>
      <c r="CS29" s="23">
        <f t="shared" si="50"/>
        <v>6841.0543393515627</v>
      </c>
      <c r="CT29" s="23">
        <f t="shared" si="50"/>
        <v>6909.4648827450783</v>
      </c>
      <c r="CU29" s="23">
        <f t="shared" si="50"/>
        <v>6978.5595315725295</v>
      </c>
      <c r="CV29" s="23">
        <f t="shared" si="50"/>
        <v>7048.3451268882545</v>
      </c>
      <c r="CW29" s="23">
        <f t="shared" si="50"/>
        <v>7118.8285781571367</v>
      </c>
      <c r="CX29" s="23">
        <f t="shared" si="50"/>
        <v>7190.0168639387084</v>
      </c>
      <c r="CY29" s="23">
        <f t="shared" si="50"/>
        <v>7261.9170325780951</v>
      </c>
      <c r="CZ29" s="23">
        <f t="shared" si="50"/>
        <v>7334.5362029038761</v>
      </c>
      <c r="DA29" s="23">
        <f t="shared" si="50"/>
        <v>7407.8815649329154</v>
      </c>
      <c r="DB29" s="23">
        <f t="shared" si="50"/>
        <v>7481.9603805822444</v>
      </c>
      <c r="DC29" s="23">
        <f t="shared" si="50"/>
        <v>7556.7799843880666</v>
      </c>
      <c r="DD29" s="23">
        <f t="shared" si="50"/>
        <v>7632.3477842319471</v>
      </c>
      <c r="DE29" s="23">
        <f t="shared" si="50"/>
        <v>7708.6712620742665</v>
      </c>
      <c r="DF29" s="23">
        <f t="shared" si="50"/>
        <v>7785.7579746950096</v>
      </c>
      <c r="DG29" s="23">
        <f t="shared" si="50"/>
        <v>7863.6155544419598</v>
      </c>
      <c r="DH29" s="23">
        <f t="shared" si="50"/>
        <v>7942.2517099863799</v>
      </c>
      <c r="DI29" s="23">
        <f t="shared" si="50"/>
        <v>8021.6742270862442</v>
      </c>
      <c r="DJ29" s="23">
        <f t="shared" si="50"/>
        <v>8101.8909693571068</v>
      </c>
      <c r="DK29" s="23">
        <f t="shared" ref="DK29:EP29" si="51">DJ29*($F$2+1)</f>
        <v>8182.9098790506778</v>
      </c>
      <c r="DL29" s="23">
        <f t="shared" si="51"/>
        <v>8264.7389778411853</v>
      </c>
      <c r="DM29" s="23">
        <f t="shared" si="51"/>
        <v>8347.3863676195979</v>
      </c>
      <c r="DN29" s="23">
        <f t="shared" si="51"/>
        <v>8430.8602312957937</v>
      </c>
      <c r="DO29" s="23">
        <f t="shared" si="51"/>
        <v>8515.1688336087518</v>
      </c>
      <c r="DP29" s="23">
        <f t="shared" si="51"/>
        <v>8600.3205219448391</v>
      </c>
      <c r="DQ29" s="23">
        <f t="shared" si="51"/>
        <v>8686.3237271642884</v>
      </c>
      <c r="DR29" s="23">
        <f t="shared" si="51"/>
        <v>8773.1869644359322</v>
      </c>
      <c r="DS29" s="23">
        <f t="shared" si="51"/>
        <v>8860.9188340802921</v>
      </c>
      <c r="DT29" s="23">
        <f t="shared" si="51"/>
        <v>8949.5280224210946</v>
      </c>
      <c r="DU29" s="23">
        <f t="shared" si="51"/>
        <v>9039.0233026453061</v>
      </c>
      <c r="DV29" s="23">
        <f t="shared" si="51"/>
        <v>9129.4135356717597</v>
      </c>
      <c r="DW29" s="23">
        <f t="shared" si="51"/>
        <v>9220.7076710284782</v>
      </c>
      <c r="DX29" s="23">
        <f t="shared" si="51"/>
        <v>9312.9147477387633</v>
      </c>
      <c r="DY29" s="23">
        <f t="shared" si="51"/>
        <v>9406.0438952161512</v>
      </c>
      <c r="DZ29" s="23">
        <f t="shared" si="51"/>
        <v>9500.1043341683126</v>
      </c>
      <c r="EA29" s="23">
        <f t="shared" si="51"/>
        <v>9595.1053775099954</v>
      </c>
      <c r="EB29" s="23">
        <f t="shared" si="51"/>
        <v>9691.0564312850947</v>
      </c>
      <c r="EC29" s="23">
        <f t="shared" si="51"/>
        <v>9787.9669955979462</v>
      </c>
      <c r="ED29" s="23">
        <f t="shared" si="51"/>
        <v>9885.846665553925</v>
      </c>
      <c r="EE29" s="23">
        <f t="shared" si="51"/>
        <v>9984.7051322094649</v>
      </c>
      <c r="EF29" s="23">
        <f t="shared" si="51"/>
        <v>10084.552183531559</v>
      </c>
      <c r="EG29" s="23">
        <f t="shared" si="51"/>
        <v>10185.397705366875</v>
      </c>
      <c r="EH29" s="23">
        <f t="shared" si="51"/>
        <v>10287.251682420543</v>
      </c>
      <c r="EI29" s="23">
        <f t="shared" si="51"/>
        <v>10390.124199244749</v>
      </c>
      <c r="EJ29" s="23">
        <f t="shared" si="51"/>
        <v>10494.025441237196</v>
      </c>
      <c r="EK29" s="23">
        <f t="shared" si="51"/>
        <v>10598.965695649567</v>
      </c>
      <c r="EL29" s="23">
        <f t="shared" si="51"/>
        <v>10704.955352606063</v>
      </c>
      <c r="EM29" s="23">
        <f t="shared" si="51"/>
        <v>10812.004906132124</v>
      </c>
      <c r="EN29" s="23">
        <f t="shared" si="51"/>
        <v>10920.124955193445</v>
      </c>
      <c r="EO29" s="23">
        <f t="shared" si="51"/>
        <v>11029.326204745379</v>
      </c>
      <c r="EP29" s="23">
        <f t="shared" si="51"/>
        <v>11139.619466792832</v>
      </c>
      <c r="EQ29" s="23">
        <f t="shared" ref="EQ29:FV29" si="52">EP29*($F$2+1)</f>
        <v>11251.01566146076</v>
      </c>
      <c r="ER29" s="23">
        <f t="shared" si="52"/>
        <v>11363.525818075368</v>
      </c>
      <c r="ES29" s="23">
        <f t="shared" si="52"/>
        <v>11477.161076256121</v>
      </c>
      <c r="ET29" s="23">
        <f t="shared" si="52"/>
        <v>11591.932687018683</v>
      </c>
      <c r="EU29" s="23">
        <f t="shared" si="52"/>
        <v>11707.852013888871</v>
      </c>
      <c r="EV29" s="23">
        <f t="shared" si="52"/>
        <v>11824.930534027759</v>
      </c>
      <c r="EW29" s="23">
        <f t="shared" si="52"/>
        <v>11943.179839368036</v>
      </c>
      <c r="EX29" s="23">
        <f t="shared" si="52"/>
        <v>12062.611637761716</v>
      </c>
      <c r="EY29" s="23">
        <f t="shared" si="52"/>
        <v>12183.237754139334</v>
      </c>
      <c r="EZ29" s="23">
        <f t="shared" si="52"/>
        <v>12305.070131680728</v>
      </c>
      <c r="FA29" s="23">
        <f t="shared" si="52"/>
        <v>12428.120832997536</v>
      </c>
      <c r="FB29" s="23">
        <f t="shared" si="52"/>
        <v>12552.402041327512</v>
      </c>
      <c r="FC29" s="23">
        <f t="shared" si="52"/>
        <v>12677.926061740787</v>
      </c>
      <c r="FD29" s="23">
        <f t="shared" si="52"/>
        <v>12804.705322358195</v>
      </c>
      <c r="FE29" s="23">
        <f t="shared" si="52"/>
        <v>12932.752375581777</v>
      </c>
      <c r="FF29" s="23">
        <f t="shared" si="52"/>
        <v>13062.079899337594</v>
      </c>
      <c r="FG29" s="23">
        <f t="shared" si="52"/>
        <v>13192.700698330969</v>
      </c>
      <c r="FH29" s="23">
        <f t="shared" si="52"/>
        <v>13324.627705314279</v>
      </c>
      <c r="FI29" s="23">
        <f t="shared" si="52"/>
        <v>13457.873982367422</v>
      </c>
      <c r="FJ29" s="23">
        <f t="shared" si="52"/>
        <v>13592.452722191096</v>
      </c>
      <c r="FK29" s="23">
        <f t="shared" si="52"/>
        <v>13728.377249413006</v>
      </c>
      <c r="FL29" s="23">
        <f t="shared" si="52"/>
        <v>13865.661021907137</v>
      </c>
      <c r="FM29" s="23">
        <f t="shared" si="52"/>
        <v>14004.317632126209</v>
      </c>
      <c r="FN29" s="23">
        <f t="shared" si="52"/>
        <v>14144.360808447471</v>
      </c>
      <c r="FO29" s="23">
        <f t="shared" si="52"/>
        <v>14285.804416531946</v>
      </c>
      <c r="FP29" s="23">
        <f t="shared" si="52"/>
        <v>14428.662460697265</v>
      </c>
      <c r="FQ29" s="23">
        <f t="shared" si="52"/>
        <v>14572.949085304239</v>
      </c>
      <c r="FR29" s="23">
        <f t="shared" si="52"/>
        <v>14718.678576157281</v>
      </c>
      <c r="FS29" s="23">
        <f t="shared" si="52"/>
        <v>14865.865361918854</v>
      </c>
      <c r="FT29" s="23">
        <f t="shared" si="52"/>
        <v>15014.524015538042</v>
      </c>
      <c r="FU29" s="23">
        <f t="shared" si="52"/>
        <v>15164.669255693421</v>
      </c>
      <c r="FV29" s="23">
        <f t="shared" si="52"/>
        <v>15316.315948250356</v>
      </c>
      <c r="FW29" s="23">
        <f t="shared" ref="FW29:GN29" si="53">FV29*($F$2+1)</f>
        <v>15469.479107732859</v>
      </c>
      <c r="FX29" s="23">
        <f t="shared" si="53"/>
        <v>15624.173898810188</v>
      </c>
      <c r="FY29" s="23">
        <f t="shared" si="53"/>
        <v>15780.415637798289</v>
      </c>
      <c r="FZ29" s="23">
        <f t="shared" si="53"/>
        <v>15938.219794176272</v>
      </c>
      <c r="GA29" s="23">
        <f t="shared" si="53"/>
        <v>16097.601992118034</v>
      </c>
      <c r="GB29" s="23">
        <f t="shared" si="53"/>
        <v>16258.578012039214</v>
      </c>
      <c r="GC29" s="23">
        <f t="shared" si="53"/>
        <v>16421.163792159605</v>
      </c>
      <c r="GD29" s="23">
        <f t="shared" si="53"/>
        <v>16585.3754300812</v>
      </c>
      <c r="GE29" s="23">
        <f t="shared" si="53"/>
        <v>16751.229184382013</v>
      </c>
      <c r="GF29" s="23">
        <f t="shared" si="53"/>
        <v>16918.741476225834</v>
      </c>
      <c r="GG29" s="23">
        <f t="shared" si="53"/>
        <v>17087.928890988092</v>
      </c>
      <c r="GH29" s="23">
        <f t="shared" si="53"/>
        <v>17258.808179897973</v>
      </c>
      <c r="GI29" s="23">
        <f t="shared" si="53"/>
        <v>17431.396261696951</v>
      </c>
      <c r="GJ29" s="23">
        <f t="shared" si="53"/>
        <v>17605.71022431392</v>
      </c>
      <c r="GK29" s="23">
        <f t="shared" si="53"/>
        <v>17781.767326557059</v>
      </c>
      <c r="GL29" s="23">
        <f t="shared" si="53"/>
        <v>17959.584999822629</v>
      </c>
      <c r="GM29" s="23">
        <f t="shared" si="53"/>
        <v>18139.180849820856</v>
      </c>
      <c r="GN29" s="23">
        <f t="shared" si="53"/>
        <v>18320.572658319063</v>
      </c>
    </row>
    <row r="30" spans="1:196" x14ac:dyDescent="0.15">
      <c r="A30" s="2" t="s">
        <v>12</v>
      </c>
      <c r="B30" s="27">
        <f t="shared" ref="B30:C30" si="54">B29/B31</f>
        <v>-2.526226030158667</v>
      </c>
      <c r="C30" s="27">
        <f t="shared" si="54"/>
        <v>-2.3432027936724475</v>
      </c>
      <c r="D30" s="45">
        <f t="shared" ref="D30:E30" si="55">D29/D31</f>
        <v>-3.405741241773363</v>
      </c>
      <c r="E30" s="45">
        <f t="shared" si="55"/>
        <v>-3.1488917483793335</v>
      </c>
      <c r="F30" s="45">
        <f t="shared" ref="F30:N30" si="56">F29/F31</f>
        <v>-2.1277252682963139</v>
      </c>
      <c r="G30" s="45">
        <f t="shared" si="56"/>
        <v>0.22834646019299992</v>
      </c>
      <c r="H30" s="45">
        <f t="shared" si="56"/>
        <v>4.3510603169161417</v>
      </c>
      <c r="I30" s="45">
        <f t="shared" si="56"/>
        <v>6.9820202887196618</v>
      </c>
      <c r="J30" s="45">
        <f t="shared" si="56"/>
        <v>10.489053653553841</v>
      </c>
      <c r="K30" s="45">
        <f t="shared" si="56"/>
        <v>15.122854984999359</v>
      </c>
      <c r="L30" s="45">
        <f t="shared" si="56"/>
        <v>21.201875421484093</v>
      </c>
      <c r="M30" s="45">
        <f t="shared" si="56"/>
        <v>29.130152200417484</v>
      </c>
      <c r="N30" s="45">
        <f t="shared" si="56"/>
        <v>34.877068292544983</v>
      </c>
      <c r="O30" s="45">
        <f t="shared" ref="O30:R30" si="57">O29/O31</f>
        <v>41.277040331263763</v>
      </c>
      <c r="P30" s="45">
        <f t="shared" si="57"/>
        <v>48.400021775991974</v>
      </c>
      <c r="Q30" s="45">
        <f t="shared" si="57"/>
        <v>56.323169566977505</v>
      </c>
      <c r="R30" s="45">
        <f t="shared" si="57"/>
        <v>65.131575191315306</v>
      </c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37"/>
      <c r="AH30" s="37"/>
      <c r="AI30" s="37"/>
      <c r="AJ30" s="37"/>
      <c r="AK30" s="37"/>
      <c r="AL30" s="37"/>
      <c r="AM30" s="37"/>
      <c r="AN30" s="37"/>
      <c r="AO30" s="37"/>
      <c r="AP30" s="37"/>
      <c r="AQ30" s="37"/>
      <c r="AR30" s="37"/>
      <c r="AS30" s="37"/>
      <c r="AT30" s="37"/>
      <c r="AU30" s="37"/>
      <c r="AV30" s="37"/>
      <c r="AW30" s="37"/>
      <c r="AX30" s="37"/>
      <c r="AY30" s="37"/>
      <c r="AZ30" s="37"/>
      <c r="BA30" s="37"/>
      <c r="BB30" s="37"/>
      <c r="BC30" s="37"/>
      <c r="BD30" s="37"/>
      <c r="BE30" s="37"/>
      <c r="BF30" s="37"/>
      <c r="BG30" s="37"/>
      <c r="BH30" s="37"/>
      <c r="BI30" s="37"/>
      <c r="BJ30" s="37"/>
      <c r="BK30" s="37"/>
      <c r="BL30" s="37"/>
      <c r="BM30" s="37"/>
      <c r="BN30" s="37"/>
      <c r="BO30" s="37"/>
      <c r="BP30" s="37"/>
      <c r="BQ30" s="37"/>
      <c r="BR30" s="37"/>
      <c r="BS30" s="37"/>
      <c r="BT30" s="37"/>
      <c r="BU30" s="37"/>
      <c r="BV30" s="37"/>
      <c r="BW30" s="37"/>
      <c r="BX30" s="37"/>
      <c r="BY30" s="37"/>
      <c r="BZ30" s="37"/>
      <c r="CA30" s="37"/>
      <c r="CB30" s="37"/>
      <c r="CC30" s="37"/>
      <c r="CD30" s="37"/>
      <c r="CE30" s="37"/>
      <c r="CF30" s="37"/>
      <c r="CG30" s="37"/>
      <c r="CH30" s="37"/>
      <c r="CI30" s="37"/>
      <c r="CJ30" s="37"/>
      <c r="CK30" s="37"/>
      <c r="CL30" s="37"/>
      <c r="CM30" s="37"/>
      <c r="CN30" s="37"/>
      <c r="CO30" s="37"/>
      <c r="CP30" s="37"/>
      <c r="CQ30" s="37"/>
      <c r="CR30" s="37"/>
      <c r="CS30" s="37"/>
      <c r="CT30" s="37"/>
      <c r="CU30" s="37"/>
      <c r="CV30" s="37"/>
      <c r="CW30" s="37"/>
      <c r="CX30" s="37"/>
      <c r="CY30" s="37"/>
      <c r="CZ30" s="37"/>
      <c r="DA30" s="37"/>
      <c r="DB30" s="37"/>
      <c r="DC30" s="37"/>
      <c r="DD30" s="37"/>
      <c r="DE30" s="37"/>
      <c r="DF30" s="37"/>
      <c r="DG30" s="37"/>
      <c r="DH30" s="37"/>
      <c r="DI30" s="37"/>
    </row>
    <row r="31" spans="1:196" s="15" customFormat="1" x14ac:dyDescent="0.15">
      <c r="A31" s="15" t="s">
        <v>13</v>
      </c>
      <c r="B31" s="22">
        <f>Reports!E24</f>
        <v>47.345328000000002</v>
      </c>
      <c r="C31" s="22">
        <f>Reports!I24</f>
        <v>47.856720000000003</v>
      </c>
      <c r="D31" s="22">
        <f t="shared" ref="D31:E31" si="58">C31</f>
        <v>47.856720000000003</v>
      </c>
      <c r="E31" s="22">
        <f t="shared" si="58"/>
        <v>47.856720000000003</v>
      </c>
      <c r="F31" s="22">
        <f t="shared" ref="F31" si="59">E31</f>
        <v>47.856720000000003</v>
      </c>
      <c r="G31" s="22">
        <f t="shared" ref="G31" si="60">F31</f>
        <v>47.856720000000003</v>
      </c>
      <c r="H31" s="22">
        <f t="shared" ref="H31" si="61">G31</f>
        <v>47.856720000000003</v>
      </c>
      <c r="I31" s="22">
        <f t="shared" ref="I31" si="62">H31</f>
        <v>47.856720000000003</v>
      </c>
      <c r="J31" s="22">
        <f t="shared" ref="J31" si="63">I31</f>
        <v>47.856720000000003</v>
      </c>
      <c r="K31" s="22">
        <f t="shared" ref="K31" si="64">J31</f>
        <v>47.856720000000003</v>
      </c>
      <c r="L31" s="22">
        <f t="shared" ref="L31" si="65">K31</f>
        <v>47.856720000000003</v>
      </c>
      <c r="M31" s="22">
        <f t="shared" ref="M31:R31" si="66">L31</f>
        <v>47.856720000000003</v>
      </c>
      <c r="N31" s="22">
        <f t="shared" si="66"/>
        <v>47.856720000000003</v>
      </c>
      <c r="O31" s="22">
        <f t="shared" si="66"/>
        <v>47.856720000000003</v>
      </c>
      <c r="P31" s="22">
        <f t="shared" si="66"/>
        <v>47.856720000000003</v>
      </c>
      <c r="Q31" s="22">
        <f t="shared" si="66"/>
        <v>47.856720000000003</v>
      </c>
      <c r="R31" s="22">
        <f t="shared" si="66"/>
        <v>47.856720000000003</v>
      </c>
      <c r="S31" s="36"/>
      <c r="T31" s="36"/>
      <c r="U31" s="36"/>
      <c r="V31" s="36"/>
      <c r="W31" s="36"/>
      <c r="X31" s="36"/>
      <c r="Y31" s="36"/>
      <c r="Z31" s="36"/>
      <c r="AA31" s="36"/>
      <c r="AB31" s="36"/>
      <c r="AC31" s="36"/>
      <c r="AD31" s="36"/>
      <c r="AE31" s="36"/>
      <c r="AF31" s="36"/>
      <c r="AG31" s="36"/>
      <c r="AH31" s="36"/>
      <c r="AI31" s="36"/>
      <c r="AJ31" s="36"/>
      <c r="AK31" s="36"/>
      <c r="AL31" s="36"/>
      <c r="AM31" s="36"/>
      <c r="AN31" s="36"/>
      <c r="AO31" s="36"/>
      <c r="AP31" s="36"/>
      <c r="AQ31" s="36"/>
      <c r="AR31" s="36"/>
      <c r="AS31" s="36"/>
      <c r="AT31" s="36"/>
      <c r="AU31" s="36"/>
      <c r="AV31" s="36"/>
      <c r="AW31" s="36"/>
      <c r="AX31" s="36"/>
      <c r="AY31" s="36"/>
      <c r="AZ31" s="36"/>
      <c r="BA31" s="36"/>
      <c r="BB31" s="36"/>
      <c r="BC31" s="36"/>
      <c r="BD31" s="36"/>
      <c r="BE31" s="36"/>
      <c r="BF31" s="36"/>
      <c r="BG31" s="36"/>
      <c r="BH31" s="36"/>
      <c r="BI31" s="36"/>
      <c r="BJ31" s="36"/>
      <c r="BK31" s="36"/>
      <c r="BL31" s="36"/>
      <c r="BM31" s="36"/>
      <c r="BN31" s="36"/>
      <c r="BO31" s="36"/>
      <c r="BP31" s="36"/>
      <c r="BQ31" s="36"/>
      <c r="BR31" s="36"/>
      <c r="BS31" s="36"/>
      <c r="BT31" s="36"/>
      <c r="BU31" s="36"/>
      <c r="BV31" s="36"/>
      <c r="BW31" s="36"/>
      <c r="BX31" s="36"/>
      <c r="BY31" s="36"/>
      <c r="BZ31" s="36"/>
      <c r="CA31" s="36"/>
      <c r="CB31" s="36"/>
      <c r="CC31" s="36"/>
      <c r="CD31" s="36"/>
      <c r="CE31" s="36"/>
      <c r="CF31" s="36"/>
      <c r="CG31" s="36"/>
      <c r="CH31" s="36"/>
      <c r="CI31" s="36"/>
      <c r="CJ31" s="36"/>
      <c r="CK31" s="36"/>
      <c r="CL31" s="36"/>
      <c r="CM31" s="36"/>
      <c r="CN31" s="36"/>
      <c r="CO31" s="36"/>
      <c r="CP31" s="36"/>
      <c r="CQ31" s="36"/>
      <c r="CR31" s="36"/>
      <c r="CS31" s="36"/>
      <c r="CT31" s="36"/>
      <c r="CU31" s="36"/>
      <c r="CV31" s="36"/>
      <c r="CW31" s="36"/>
      <c r="CX31" s="36"/>
      <c r="CY31" s="36"/>
      <c r="CZ31" s="36"/>
      <c r="DA31" s="36"/>
      <c r="DB31" s="36"/>
      <c r="DC31" s="36"/>
      <c r="DD31" s="36"/>
      <c r="DE31" s="36"/>
      <c r="DF31" s="36"/>
      <c r="DG31" s="36"/>
      <c r="DH31" s="36"/>
      <c r="DI31" s="36"/>
    </row>
    <row r="32" spans="1:196" x14ac:dyDescent="0.15"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37"/>
      <c r="T32" s="37"/>
      <c r="U32" s="37"/>
      <c r="V32" s="37"/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37"/>
      <c r="AM32" s="37"/>
      <c r="AN32" s="37"/>
      <c r="AO32" s="37"/>
      <c r="AP32" s="37"/>
      <c r="AQ32" s="37"/>
      <c r="AR32" s="37"/>
      <c r="AS32" s="37"/>
      <c r="AT32" s="37"/>
      <c r="AU32" s="37"/>
      <c r="AV32" s="37"/>
      <c r="AW32" s="37"/>
      <c r="AX32" s="37"/>
      <c r="AY32" s="37"/>
      <c r="AZ32" s="37"/>
      <c r="BA32" s="37"/>
      <c r="BB32" s="37"/>
      <c r="BC32" s="37"/>
      <c r="BD32" s="37"/>
      <c r="BE32" s="37"/>
      <c r="BF32" s="37"/>
      <c r="BG32" s="37"/>
      <c r="BH32" s="37"/>
      <c r="BI32" s="37"/>
      <c r="BJ32" s="37"/>
      <c r="BK32" s="37"/>
      <c r="BL32" s="37"/>
      <c r="BM32" s="37"/>
      <c r="BN32" s="37"/>
      <c r="BO32" s="37"/>
      <c r="BP32" s="37"/>
      <c r="BQ32" s="37"/>
      <c r="BR32" s="37"/>
      <c r="BS32" s="37"/>
      <c r="BT32" s="37"/>
      <c r="BU32" s="37"/>
      <c r="BV32" s="37"/>
      <c r="BW32" s="37"/>
      <c r="BX32" s="37"/>
      <c r="BY32" s="37"/>
      <c r="BZ32" s="37"/>
      <c r="CA32" s="37"/>
      <c r="CB32" s="37"/>
      <c r="CC32" s="37"/>
      <c r="CD32" s="37"/>
      <c r="CE32" s="37"/>
      <c r="CF32" s="37"/>
      <c r="CG32" s="37"/>
      <c r="CH32" s="37"/>
      <c r="CI32" s="37"/>
      <c r="CJ32" s="37"/>
      <c r="CK32" s="37"/>
      <c r="CL32" s="37"/>
      <c r="CM32" s="37"/>
      <c r="CN32" s="37"/>
      <c r="CO32" s="37"/>
      <c r="CP32" s="37"/>
      <c r="CQ32" s="37"/>
      <c r="CR32" s="37"/>
      <c r="CS32" s="37"/>
      <c r="CT32" s="37"/>
      <c r="CU32" s="37"/>
      <c r="CV32" s="37"/>
      <c r="CW32" s="37"/>
      <c r="CX32" s="37"/>
      <c r="CY32" s="37"/>
      <c r="CZ32" s="37"/>
      <c r="DA32" s="37"/>
      <c r="DB32" s="37"/>
      <c r="DC32" s="37"/>
      <c r="DD32" s="37"/>
      <c r="DE32" s="37"/>
      <c r="DF32" s="37"/>
      <c r="DG32" s="37"/>
      <c r="DH32" s="37"/>
      <c r="DI32" s="37"/>
    </row>
    <row r="33" spans="1:113" x14ac:dyDescent="0.15">
      <c r="A33" s="2" t="s">
        <v>15</v>
      </c>
      <c r="B33" s="32">
        <f>IFERROR(B20/B18,0)</f>
        <v>0.20575563515869985</v>
      </c>
      <c r="C33" s="32">
        <f t="shared" ref="C33:N33" si="67">IFERROR(C20/C18,0)</f>
        <v>0.31570787081377261</v>
      </c>
      <c r="D33" s="32">
        <f>IFERROR(D20/D18,0)</f>
        <v>0.31570787081377261</v>
      </c>
      <c r="E33" s="32">
        <f>IFERROR(E20/E18,0)</f>
        <v>0.31570787081377261</v>
      </c>
      <c r="F33" s="32">
        <f t="shared" si="67"/>
        <v>0.31570787081377261</v>
      </c>
      <c r="G33" s="32">
        <f t="shared" si="67"/>
        <v>0.31570787081377261</v>
      </c>
      <c r="H33" s="32">
        <f t="shared" si="67"/>
        <v>0.31570787081377261</v>
      </c>
      <c r="I33" s="32">
        <f t="shared" si="67"/>
        <v>0.31570787081377261</v>
      </c>
      <c r="J33" s="32">
        <f t="shared" si="67"/>
        <v>0.31570787081377261</v>
      </c>
      <c r="K33" s="32">
        <f t="shared" si="67"/>
        <v>0.31570787081377261</v>
      </c>
      <c r="L33" s="32">
        <f t="shared" si="67"/>
        <v>0.31570787081377261</v>
      </c>
      <c r="M33" s="32">
        <f t="shared" si="67"/>
        <v>0.31570787081377261</v>
      </c>
      <c r="N33" s="32">
        <f t="shared" si="67"/>
        <v>0.31570787081377261</v>
      </c>
      <c r="O33" s="32">
        <f t="shared" ref="O33:R33" si="68">IFERROR(O20/O18,0)</f>
        <v>0.31570787081377261</v>
      </c>
      <c r="P33" s="32">
        <f t="shared" si="68"/>
        <v>0.31570787081377261</v>
      </c>
      <c r="Q33" s="32">
        <f t="shared" si="68"/>
        <v>0.31570787081377261</v>
      </c>
      <c r="R33" s="32">
        <f t="shared" si="68"/>
        <v>0.31570787081377261</v>
      </c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37"/>
      <c r="AH33" s="37"/>
      <c r="AI33" s="37"/>
      <c r="AJ33" s="37"/>
      <c r="AK33" s="37"/>
      <c r="AL33" s="37"/>
      <c r="AM33" s="37"/>
      <c r="AN33" s="37"/>
      <c r="AO33" s="37"/>
      <c r="AP33" s="37"/>
      <c r="AQ33" s="37"/>
      <c r="AR33" s="37"/>
      <c r="AS33" s="37"/>
      <c r="AT33" s="37"/>
      <c r="AU33" s="37"/>
      <c r="AV33" s="37"/>
      <c r="AW33" s="37"/>
      <c r="AX33" s="37"/>
      <c r="AY33" s="37"/>
      <c r="AZ33" s="37"/>
      <c r="BA33" s="37"/>
      <c r="BB33" s="37"/>
      <c r="BC33" s="37"/>
      <c r="BD33" s="37"/>
      <c r="BE33" s="37"/>
      <c r="BF33" s="37"/>
      <c r="BG33" s="37"/>
      <c r="BH33" s="37"/>
      <c r="BI33" s="37"/>
      <c r="BJ33" s="37"/>
      <c r="BK33" s="37"/>
      <c r="BL33" s="37"/>
      <c r="BM33" s="37"/>
      <c r="BN33" s="37"/>
      <c r="BO33" s="37"/>
      <c r="BP33" s="37"/>
      <c r="BQ33" s="37"/>
      <c r="BR33" s="37"/>
      <c r="BS33" s="37"/>
      <c r="BT33" s="37"/>
      <c r="BU33" s="37"/>
      <c r="BV33" s="37"/>
      <c r="BW33" s="37"/>
      <c r="BX33" s="37"/>
      <c r="BY33" s="37"/>
      <c r="BZ33" s="37"/>
      <c r="CA33" s="37"/>
      <c r="CB33" s="37"/>
      <c r="CC33" s="37"/>
      <c r="CD33" s="37"/>
      <c r="CE33" s="37"/>
      <c r="CF33" s="37"/>
      <c r="CG33" s="37"/>
      <c r="CH33" s="37"/>
      <c r="CI33" s="37"/>
      <c r="CJ33" s="37"/>
      <c r="CK33" s="37"/>
      <c r="CL33" s="37"/>
      <c r="CM33" s="37"/>
      <c r="CN33" s="37"/>
      <c r="CO33" s="37"/>
      <c r="CP33" s="37"/>
      <c r="CQ33" s="37"/>
      <c r="CR33" s="37"/>
      <c r="CS33" s="37"/>
      <c r="CT33" s="37"/>
      <c r="CU33" s="37"/>
      <c r="CV33" s="37"/>
      <c r="CW33" s="37"/>
      <c r="CX33" s="37"/>
      <c r="CY33" s="37"/>
      <c r="CZ33" s="37"/>
      <c r="DA33" s="37"/>
      <c r="DB33" s="37"/>
      <c r="DC33" s="37"/>
      <c r="DD33" s="37"/>
      <c r="DE33" s="37"/>
      <c r="DF33" s="37"/>
      <c r="DG33" s="37"/>
      <c r="DH33" s="37"/>
      <c r="DI33" s="37"/>
    </row>
    <row r="34" spans="1:113" x14ac:dyDescent="0.15">
      <c r="A34" s="2" t="s">
        <v>16</v>
      </c>
      <c r="B34" s="34">
        <f>IFERROR(B25/B18,0)</f>
        <v>-0.47889865225236122</v>
      </c>
      <c r="C34" s="34">
        <f t="shared" ref="C34:N34" si="69">IFERROR(C25/C18,0)</f>
        <v>-0.2122317124868508</v>
      </c>
      <c r="D34" s="34">
        <f t="shared" ref="D34" si="70">IFERROR(D25/D18,0)</f>
        <v>-0.22221873959966681</v>
      </c>
      <c r="E34" s="34">
        <f t="shared" si="69"/>
        <v>-0.1327892028915825</v>
      </c>
      <c r="F34" s="34">
        <f t="shared" si="69"/>
        <v>-5.8364927568453108E-2</v>
      </c>
      <c r="G34" s="34">
        <f t="shared" si="69"/>
        <v>3.593468254249096E-3</v>
      </c>
      <c r="H34" s="34">
        <f t="shared" si="69"/>
        <v>5.5192241804612976E-2</v>
      </c>
      <c r="I34" s="34">
        <f t="shared" si="69"/>
        <v>7.0204863519064117E-2</v>
      </c>
      <c r="J34" s="34">
        <f t="shared" si="69"/>
        <v>8.3770740999970145E-2</v>
      </c>
      <c r="K34" s="34">
        <f t="shared" si="69"/>
        <v>9.6049292740468917E-2</v>
      </c>
      <c r="L34" s="34">
        <f t="shared" si="69"/>
        <v>0.10718137464711726</v>
      </c>
      <c r="M34" s="34">
        <f t="shared" si="69"/>
        <v>0.1172914848449769</v>
      </c>
      <c r="N34" s="34">
        <f t="shared" si="69"/>
        <v>0.12647529298584159</v>
      </c>
      <c r="O34" s="34">
        <f t="shared" ref="O34:R34" si="71">IFERROR(O25/O18,0)</f>
        <v>0.1349187097799088</v>
      </c>
      <c r="P34" s="34">
        <f t="shared" si="71"/>
        <v>0.14269061979991066</v>
      </c>
      <c r="Q34" s="34">
        <f t="shared" si="71"/>
        <v>0.14985293318302553</v>
      </c>
      <c r="R34" s="34">
        <f t="shared" si="71"/>
        <v>0.15646132192179704</v>
      </c>
      <c r="S34" s="37"/>
      <c r="T34" s="37"/>
      <c r="U34" s="37"/>
      <c r="V34" s="37"/>
      <c r="W34" s="37"/>
      <c r="X34" s="37"/>
      <c r="Y34" s="37"/>
      <c r="Z34" s="37"/>
      <c r="AA34" s="37"/>
      <c r="AB34" s="37"/>
      <c r="AC34" s="37"/>
      <c r="AD34" s="37"/>
      <c r="AE34" s="37"/>
      <c r="AF34" s="37"/>
      <c r="AG34" s="37"/>
      <c r="AH34" s="37"/>
      <c r="AI34" s="37"/>
      <c r="AJ34" s="37"/>
      <c r="AK34" s="37"/>
      <c r="AL34" s="37"/>
      <c r="AM34" s="37"/>
      <c r="AN34" s="37"/>
      <c r="AO34" s="37"/>
      <c r="AP34" s="37"/>
      <c r="AQ34" s="37"/>
      <c r="AR34" s="37"/>
      <c r="AS34" s="37"/>
      <c r="AT34" s="37"/>
      <c r="AU34" s="37"/>
      <c r="AV34" s="37"/>
      <c r="AW34" s="37"/>
      <c r="AX34" s="37"/>
      <c r="AY34" s="37"/>
      <c r="AZ34" s="37"/>
      <c r="BA34" s="37"/>
      <c r="BB34" s="37"/>
      <c r="BC34" s="37"/>
      <c r="BD34" s="37"/>
      <c r="BE34" s="37"/>
      <c r="BF34" s="37"/>
      <c r="BG34" s="37"/>
      <c r="BH34" s="37"/>
      <c r="BI34" s="37"/>
      <c r="BJ34" s="37"/>
      <c r="BK34" s="37"/>
      <c r="BL34" s="37"/>
      <c r="BM34" s="37"/>
      <c r="BN34" s="37"/>
      <c r="BO34" s="37"/>
      <c r="BP34" s="37"/>
      <c r="BQ34" s="37"/>
      <c r="BR34" s="37"/>
      <c r="BS34" s="37"/>
      <c r="BT34" s="37"/>
      <c r="BU34" s="37"/>
      <c r="BV34" s="37"/>
      <c r="BW34" s="37"/>
      <c r="BX34" s="37"/>
      <c r="BY34" s="37"/>
      <c r="BZ34" s="37"/>
      <c r="CA34" s="37"/>
      <c r="CB34" s="37"/>
      <c r="CC34" s="37"/>
      <c r="CD34" s="37"/>
      <c r="CE34" s="37"/>
      <c r="CF34" s="37"/>
      <c r="CG34" s="37"/>
      <c r="CH34" s="37"/>
      <c r="CI34" s="37"/>
      <c r="CJ34" s="37"/>
      <c r="CK34" s="37"/>
      <c r="CL34" s="37"/>
      <c r="CM34" s="37"/>
      <c r="CN34" s="37"/>
      <c r="CO34" s="37"/>
      <c r="CP34" s="37"/>
      <c r="CQ34" s="37"/>
      <c r="CR34" s="37"/>
      <c r="CS34" s="37"/>
      <c r="CT34" s="37"/>
      <c r="CU34" s="37"/>
      <c r="CV34" s="37"/>
      <c r="CW34" s="37"/>
      <c r="CX34" s="37"/>
      <c r="CY34" s="37"/>
      <c r="CZ34" s="37"/>
      <c r="DA34" s="37"/>
      <c r="DB34" s="37"/>
      <c r="DC34" s="37"/>
      <c r="DD34" s="37"/>
      <c r="DE34" s="37"/>
      <c r="DF34" s="37"/>
      <c r="DG34" s="37"/>
      <c r="DH34" s="37"/>
      <c r="DI34" s="37"/>
    </row>
    <row r="35" spans="1:113" x14ac:dyDescent="0.15">
      <c r="A35" s="2" t="s">
        <v>17</v>
      </c>
      <c r="B35" s="34">
        <f>IFERROR(B28/B27,0)</f>
        <v>0</v>
      </c>
      <c r="C35" s="34">
        <f t="shared" ref="C35:N35" si="72">IFERROR(C28/C27,0)</f>
        <v>0</v>
      </c>
      <c r="D35" s="34">
        <f t="shared" ref="D35" si="73">IFERROR(D28/D27,0)</f>
        <v>0</v>
      </c>
      <c r="E35" s="34">
        <f t="shared" si="72"/>
        <v>0</v>
      </c>
      <c r="F35" s="34">
        <f t="shared" si="72"/>
        <v>0</v>
      </c>
      <c r="G35" s="34">
        <f t="shared" si="72"/>
        <v>0</v>
      </c>
      <c r="H35" s="34">
        <f t="shared" si="72"/>
        <v>0.1</v>
      </c>
      <c r="I35" s="34">
        <f t="shared" si="72"/>
        <v>0.1</v>
      </c>
      <c r="J35" s="34">
        <f t="shared" si="72"/>
        <v>0.1</v>
      </c>
      <c r="K35" s="34">
        <f t="shared" si="72"/>
        <v>0.10000000000000002</v>
      </c>
      <c r="L35" s="34">
        <f t="shared" si="72"/>
        <v>0.1</v>
      </c>
      <c r="M35" s="34">
        <f t="shared" si="72"/>
        <v>0.10000000000000002</v>
      </c>
      <c r="N35" s="34">
        <f t="shared" si="72"/>
        <v>0.1</v>
      </c>
      <c r="O35" s="34">
        <f t="shared" ref="O35:R35" si="74">IFERROR(O28/O27,0)</f>
        <v>0.1</v>
      </c>
      <c r="P35" s="34">
        <f t="shared" si="74"/>
        <v>0.10000000000000002</v>
      </c>
      <c r="Q35" s="34">
        <f t="shared" si="74"/>
        <v>0.1</v>
      </c>
      <c r="R35" s="34">
        <f t="shared" si="74"/>
        <v>0.1</v>
      </c>
      <c r="S35" s="37"/>
      <c r="T35" s="37"/>
      <c r="U35" s="37"/>
      <c r="V35" s="37"/>
      <c r="W35" s="37"/>
      <c r="X35" s="37"/>
      <c r="Y35" s="37"/>
      <c r="Z35" s="37"/>
      <c r="AA35" s="37"/>
      <c r="AB35" s="37"/>
      <c r="AC35" s="37"/>
      <c r="AD35" s="37"/>
      <c r="AE35" s="37"/>
      <c r="AF35" s="37"/>
      <c r="AG35" s="37"/>
      <c r="AH35" s="37"/>
      <c r="AI35" s="37"/>
      <c r="AJ35" s="37"/>
      <c r="AK35" s="37"/>
      <c r="AL35" s="37"/>
      <c r="AM35" s="37"/>
      <c r="AN35" s="37"/>
      <c r="AO35" s="37"/>
      <c r="AP35" s="37"/>
      <c r="AQ35" s="37"/>
      <c r="AR35" s="37"/>
      <c r="AS35" s="37"/>
      <c r="AT35" s="37"/>
      <c r="AU35" s="37"/>
      <c r="AV35" s="37"/>
      <c r="AW35" s="37"/>
      <c r="AX35" s="37"/>
      <c r="AY35" s="37"/>
      <c r="AZ35" s="37"/>
      <c r="BA35" s="37"/>
      <c r="BB35" s="37"/>
      <c r="BC35" s="37"/>
      <c r="BD35" s="37"/>
      <c r="BE35" s="37"/>
      <c r="BF35" s="37"/>
      <c r="BG35" s="37"/>
      <c r="BH35" s="37"/>
      <c r="BI35" s="37"/>
      <c r="BJ35" s="37"/>
      <c r="BK35" s="37"/>
      <c r="BL35" s="37"/>
      <c r="BM35" s="37"/>
      <c r="BN35" s="37"/>
      <c r="BO35" s="37"/>
      <c r="BP35" s="37"/>
      <c r="BQ35" s="37"/>
      <c r="BR35" s="37"/>
      <c r="BS35" s="37"/>
      <c r="BT35" s="37"/>
      <c r="BU35" s="37"/>
      <c r="BV35" s="37"/>
      <c r="BW35" s="37"/>
      <c r="BX35" s="37"/>
      <c r="BY35" s="37"/>
      <c r="BZ35" s="37"/>
      <c r="CA35" s="37"/>
      <c r="CB35" s="37"/>
      <c r="CC35" s="37"/>
      <c r="CD35" s="37"/>
      <c r="CE35" s="37"/>
      <c r="CF35" s="37"/>
      <c r="CG35" s="37"/>
      <c r="CH35" s="37"/>
      <c r="CI35" s="37"/>
      <c r="CJ35" s="37"/>
      <c r="CK35" s="37"/>
      <c r="CL35" s="37"/>
      <c r="CM35" s="37"/>
      <c r="CN35" s="37"/>
      <c r="CO35" s="37"/>
      <c r="CP35" s="37"/>
      <c r="CQ35" s="37"/>
      <c r="CR35" s="37"/>
      <c r="CS35" s="37"/>
      <c r="CT35" s="37"/>
      <c r="CU35" s="37"/>
      <c r="CV35" s="37"/>
      <c r="CW35" s="37"/>
      <c r="CX35" s="37"/>
      <c r="CY35" s="37"/>
      <c r="CZ35" s="37"/>
      <c r="DA35" s="37"/>
      <c r="DB35" s="37"/>
      <c r="DC35" s="37"/>
      <c r="DD35" s="37"/>
      <c r="DE35" s="37"/>
      <c r="DF35" s="37"/>
      <c r="DG35" s="37"/>
      <c r="DH35" s="37"/>
      <c r="DI35" s="37"/>
    </row>
    <row r="36" spans="1:113" x14ac:dyDescent="0.15">
      <c r="B36" s="34"/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37"/>
      <c r="AK36" s="37"/>
      <c r="AL36" s="37"/>
      <c r="AM36" s="37"/>
      <c r="AN36" s="37"/>
      <c r="AO36" s="37"/>
      <c r="AP36" s="37"/>
      <c r="AQ36" s="37"/>
      <c r="AR36" s="37"/>
      <c r="AS36" s="37"/>
      <c r="AT36" s="37"/>
      <c r="AU36" s="37"/>
      <c r="AV36" s="37"/>
      <c r="AW36" s="37"/>
      <c r="AX36" s="37"/>
      <c r="AY36" s="37"/>
      <c r="AZ36" s="37"/>
      <c r="BA36" s="37"/>
      <c r="BB36" s="37"/>
      <c r="BC36" s="37"/>
      <c r="BD36" s="37"/>
      <c r="BE36" s="37"/>
      <c r="BF36" s="37"/>
      <c r="BG36" s="37"/>
      <c r="BH36" s="37"/>
      <c r="BI36" s="37"/>
      <c r="BJ36" s="37"/>
      <c r="BK36" s="37"/>
      <c r="BL36" s="37"/>
      <c r="BM36" s="37"/>
      <c r="BN36" s="37"/>
      <c r="BO36" s="37"/>
      <c r="BP36" s="37"/>
      <c r="BQ36" s="37"/>
      <c r="BR36" s="37"/>
      <c r="BS36" s="37"/>
      <c r="BT36" s="37"/>
      <c r="BU36" s="37"/>
      <c r="BV36" s="37"/>
      <c r="BW36" s="37"/>
      <c r="BX36" s="37"/>
      <c r="BY36" s="37"/>
      <c r="BZ36" s="37"/>
      <c r="CA36" s="37"/>
      <c r="CB36" s="37"/>
      <c r="CC36" s="37"/>
      <c r="CD36" s="37"/>
      <c r="CE36" s="37"/>
      <c r="CF36" s="37"/>
      <c r="CG36" s="37"/>
      <c r="CH36" s="37"/>
      <c r="CI36" s="37"/>
      <c r="CJ36" s="37"/>
      <c r="CK36" s="37"/>
      <c r="CL36" s="37"/>
      <c r="CM36" s="37"/>
      <c r="CN36" s="37"/>
      <c r="CO36" s="37"/>
      <c r="CP36" s="37"/>
      <c r="CQ36" s="37"/>
      <c r="CR36" s="37"/>
      <c r="CS36" s="37"/>
      <c r="CT36" s="37"/>
      <c r="CU36" s="37"/>
      <c r="CV36" s="37"/>
      <c r="CW36" s="37"/>
      <c r="CX36" s="37"/>
      <c r="CY36" s="37"/>
      <c r="CZ36" s="37"/>
      <c r="DA36" s="37"/>
      <c r="DB36" s="37"/>
      <c r="DC36" s="37"/>
      <c r="DD36" s="37"/>
      <c r="DE36" s="37"/>
      <c r="DF36" s="37"/>
      <c r="DG36" s="37"/>
      <c r="DH36" s="37"/>
      <c r="DI36" s="37"/>
    </row>
    <row r="37" spans="1:113" x14ac:dyDescent="0.15">
      <c r="A37" s="1" t="s">
        <v>14</v>
      </c>
      <c r="B37" s="46"/>
      <c r="C37" s="46">
        <f>C18/B18-1</f>
        <v>0.92735099312697833</v>
      </c>
      <c r="D37" s="46">
        <f t="shared" ref="D37:R37" si="75">D18/C18-1</f>
        <v>0.52250000000000019</v>
      </c>
      <c r="E37" s="46">
        <f>E18/D18-1</f>
        <v>0.52250000000000019</v>
      </c>
      <c r="F37" s="46">
        <f t="shared" si="75"/>
        <v>0.52249999999999974</v>
      </c>
      <c r="G37" s="46">
        <f t="shared" si="75"/>
        <v>0.52250000000000019</v>
      </c>
      <c r="H37" s="46">
        <f t="shared" si="75"/>
        <v>0.52249999999999996</v>
      </c>
      <c r="I37" s="46">
        <f t="shared" si="75"/>
        <v>0.25</v>
      </c>
      <c r="J37" s="46">
        <f t="shared" si="75"/>
        <v>0.25</v>
      </c>
      <c r="K37" s="46">
        <f t="shared" si="75"/>
        <v>0.25</v>
      </c>
      <c r="L37" s="46">
        <f t="shared" si="75"/>
        <v>0.25</v>
      </c>
      <c r="M37" s="46">
        <f t="shared" si="75"/>
        <v>0.25</v>
      </c>
      <c r="N37" s="46">
        <f t="shared" si="75"/>
        <v>0.10000000000000009</v>
      </c>
      <c r="O37" s="46">
        <f t="shared" si="75"/>
        <v>0.10000000000000009</v>
      </c>
      <c r="P37" s="46">
        <f t="shared" si="75"/>
        <v>0.10000000000000009</v>
      </c>
      <c r="Q37" s="46">
        <f t="shared" si="75"/>
        <v>0.10000000000000009</v>
      </c>
      <c r="R37" s="46">
        <f t="shared" si="75"/>
        <v>0.10000000000000009</v>
      </c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37"/>
      <c r="AL37" s="37"/>
      <c r="AM37" s="37"/>
      <c r="AN37" s="37"/>
      <c r="AO37" s="37"/>
      <c r="AP37" s="37"/>
      <c r="AQ37" s="37"/>
      <c r="AR37" s="37"/>
      <c r="AS37" s="37"/>
      <c r="AT37" s="37"/>
      <c r="AU37" s="37"/>
      <c r="AV37" s="37"/>
      <c r="AW37" s="37"/>
      <c r="AX37" s="37"/>
      <c r="AY37" s="37"/>
      <c r="AZ37" s="37"/>
      <c r="BA37" s="37"/>
      <c r="BB37" s="37"/>
      <c r="BC37" s="37"/>
      <c r="BD37" s="37"/>
      <c r="BE37" s="37"/>
      <c r="BF37" s="37"/>
      <c r="BG37" s="37"/>
      <c r="BH37" s="37"/>
      <c r="BI37" s="37"/>
      <c r="BJ37" s="37"/>
      <c r="BK37" s="37"/>
      <c r="BL37" s="37"/>
      <c r="BM37" s="37"/>
      <c r="BN37" s="37"/>
      <c r="BO37" s="37"/>
      <c r="BP37" s="37"/>
      <c r="BQ37" s="37"/>
      <c r="BR37" s="37"/>
      <c r="BS37" s="37"/>
      <c r="BT37" s="37"/>
      <c r="BU37" s="37"/>
      <c r="BV37" s="37"/>
      <c r="BW37" s="37"/>
      <c r="BX37" s="37"/>
      <c r="BY37" s="37"/>
      <c r="BZ37" s="37"/>
      <c r="CA37" s="37"/>
      <c r="CB37" s="37"/>
      <c r="CC37" s="37"/>
      <c r="CD37" s="37"/>
      <c r="CE37" s="37"/>
      <c r="CF37" s="37"/>
      <c r="CG37" s="37"/>
      <c r="CH37" s="37"/>
      <c r="CI37" s="37"/>
      <c r="CJ37" s="37"/>
      <c r="CK37" s="37"/>
      <c r="CL37" s="37"/>
      <c r="CM37" s="37"/>
      <c r="CN37" s="37"/>
      <c r="CO37" s="37"/>
      <c r="CP37" s="37"/>
      <c r="CQ37" s="37"/>
      <c r="CR37" s="37"/>
      <c r="CS37" s="37"/>
      <c r="CT37" s="37"/>
      <c r="CU37" s="37"/>
      <c r="CV37" s="37"/>
      <c r="CW37" s="37"/>
      <c r="CX37" s="37"/>
      <c r="CY37" s="37"/>
      <c r="CZ37" s="37"/>
      <c r="DA37" s="37"/>
      <c r="DB37" s="37"/>
      <c r="DC37" s="37"/>
      <c r="DD37" s="37"/>
      <c r="DE37" s="37"/>
      <c r="DF37" s="37"/>
      <c r="DG37" s="37"/>
      <c r="DH37" s="37"/>
      <c r="DI37" s="37"/>
    </row>
    <row r="38" spans="1:113" x14ac:dyDescent="0.15">
      <c r="A38" s="2" t="s">
        <v>26</v>
      </c>
      <c r="B38" s="34"/>
      <c r="C38" s="34">
        <f t="shared" ref="C38:R38" si="76">C21/B21-1</f>
        <v>0.61842105263157898</v>
      </c>
      <c r="D38" s="34">
        <f t="shared" si="76"/>
        <v>0.3154471544715447</v>
      </c>
      <c r="E38" s="34">
        <f t="shared" si="76"/>
        <v>0.30000000000000004</v>
      </c>
      <c r="F38" s="34">
        <f t="shared" si="76"/>
        <v>0.30000000000000004</v>
      </c>
      <c r="G38" s="34">
        <f t="shared" si="76"/>
        <v>0.30000000000000004</v>
      </c>
      <c r="H38" s="34">
        <f t="shared" si="76"/>
        <v>0.30000000000000004</v>
      </c>
      <c r="I38" s="34">
        <f t="shared" si="76"/>
        <v>0.19999999999999996</v>
      </c>
      <c r="J38" s="34">
        <f t="shared" si="76"/>
        <v>0.19999999999999996</v>
      </c>
      <c r="K38" s="34">
        <f t="shared" si="76"/>
        <v>0.19999999999999996</v>
      </c>
      <c r="L38" s="34">
        <f t="shared" si="76"/>
        <v>0.19999999999999996</v>
      </c>
      <c r="M38" s="34">
        <f t="shared" si="76"/>
        <v>0.19999999999999996</v>
      </c>
      <c r="N38" s="34">
        <f t="shared" si="76"/>
        <v>5.0000000000000044E-2</v>
      </c>
      <c r="O38" s="34">
        <f t="shared" si="76"/>
        <v>5.0000000000000044E-2</v>
      </c>
      <c r="P38" s="34">
        <f t="shared" si="76"/>
        <v>5.0000000000000044E-2</v>
      </c>
      <c r="Q38" s="34">
        <f t="shared" si="76"/>
        <v>5.0000000000000044E-2</v>
      </c>
      <c r="R38" s="34">
        <f t="shared" si="76"/>
        <v>5.0000000000000044E-2</v>
      </c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37"/>
      <c r="AM38" s="37"/>
      <c r="AN38" s="37"/>
      <c r="AO38" s="37"/>
      <c r="AP38" s="37"/>
      <c r="AQ38" s="37"/>
      <c r="AR38" s="37"/>
      <c r="AS38" s="37"/>
      <c r="AT38" s="37"/>
      <c r="AU38" s="37"/>
      <c r="AV38" s="37"/>
      <c r="AW38" s="37"/>
      <c r="AX38" s="37"/>
      <c r="AY38" s="37"/>
      <c r="AZ38" s="37"/>
      <c r="BA38" s="37"/>
      <c r="BB38" s="37"/>
      <c r="BC38" s="37"/>
      <c r="BD38" s="37"/>
      <c r="BE38" s="37"/>
      <c r="BF38" s="37"/>
      <c r="BG38" s="37"/>
      <c r="BH38" s="37"/>
      <c r="BI38" s="37"/>
      <c r="BJ38" s="37"/>
      <c r="BK38" s="37"/>
      <c r="BL38" s="37"/>
      <c r="BM38" s="37"/>
      <c r="BN38" s="37"/>
      <c r="BO38" s="37"/>
      <c r="BP38" s="37"/>
      <c r="BQ38" s="37"/>
      <c r="BR38" s="37"/>
      <c r="BS38" s="37"/>
      <c r="BT38" s="37"/>
      <c r="BU38" s="37"/>
      <c r="BV38" s="37"/>
      <c r="BW38" s="37"/>
      <c r="BX38" s="37"/>
      <c r="BY38" s="37"/>
      <c r="BZ38" s="37"/>
      <c r="CA38" s="37"/>
      <c r="CB38" s="37"/>
      <c r="CC38" s="37"/>
      <c r="CD38" s="37"/>
      <c r="CE38" s="37"/>
      <c r="CF38" s="37"/>
      <c r="CG38" s="37"/>
      <c r="CH38" s="37"/>
      <c r="CI38" s="37"/>
      <c r="CJ38" s="37"/>
      <c r="CK38" s="37"/>
      <c r="CL38" s="37"/>
      <c r="CM38" s="37"/>
      <c r="CN38" s="37"/>
      <c r="CO38" s="37"/>
      <c r="CP38" s="37"/>
      <c r="CQ38" s="37"/>
      <c r="CR38" s="37"/>
      <c r="CS38" s="37"/>
      <c r="CT38" s="37"/>
      <c r="CU38" s="37"/>
      <c r="CV38" s="37"/>
      <c r="CW38" s="37"/>
      <c r="CX38" s="37"/>
      <c r="CY38" s="37"/>
      <c r="CZ38" s="37"/>
      <c r="DA38" s="37"/>
      <c r="DB38" s="37"/>
      <c r="DC38" s="37"/>
      <c r="DD38" s="37"/>
      <c r="DE38" s="37"/>
      <c r="DF38" s="37"/>
      <c r="DG38" s="37"/>
      <c r="DH38" s="37"/>
      <c r="DI38" s="37"/>
    </row>
    <row r="39" spans="1:113" x14ac:dyDescent="0.15">
      <c r="A39" s="2" t="s">
        <v>27</v>
      </c>
      <c r="B39" s="34"/>
      <c r="C39" s="34">
        <f t="shared" ref="C39:R39" si="77">C22/B22-1</f>
        <v>0.5625</v>
      </c>
      <c r="D39" s="34">
        <f t="shared" si="77"/>
        <v>3.2</v>
      </c>
      <c r="E39" s="34">
        <f t="shared" si="77"/>
        <v>0.25</v>
      </c>
      <c r="F39" s="34">
        <f t="shared" si="77"/>
        <v>0.25</v>
      </c>
      <c r="G39" s="34">
        <f t="shared" si="77"/>
        <v>0.25</v>
      </c>
      <c r="H39" s="34">
        <f t="shared" si="77"/>
        <v>0.25</v>
      </c>
      <c r="I39" s="34">
        <f t="shared" si="77"/>
        <v>0.25</v>
      </c>
      <c r="J39" s="34">
        <f t="shared" si="77"/>
        <v>0.25</v>
      </c>
      <c r="K39" s="34">
        <f t="shared" si="77"/>
        <v>0.25</v>
      </c>
      <c r="L39" s="34">
        <f t="shared" si="77"/>
        <v>0.25</v>
      </c>
      <c r="M39" s="34">
        <f t="shared" si="77"/>
        <v>0.25</v>
      </c>
      <c r="N39" s="34">
        <f t="shared" si="77"/>
        <v>0.10000000000000009</v>
      </c>
      <c r="O39" s="34">
        <f t="shared" si="77"/>
        <v>0.10000000000000009</v>
      </c>
      <c r="P39" s="34">
        <f t="shared" si="77"/>
        <v>9.9999999999999867E-2</v>
      </c>
      <c r="Q39" s="34">
        <f t="shared" si="77"/>
        <v>0.10000000000000009</v>
      </c>
      <c r="R39" s="34">
        <f t="shared" si="77"/>
        <v>0.10000000000000009</v>
      </c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37"/>
      <c r="AH39" s="37"/>
      <c r="AI39" s="37"/>
      <c r="AJ39" s="37"/>
      <c r="AK39" s="37"/>
      <c r="AL39" s="37"/>
      <c r="AM39" s="37"/>
      <c r="AN39" s="37"/>
      <c r="AO39" s="37"/>
      <c r="AP39" s="37"/>
      <c r="AQ39" s="37"/>
      <c r="AR39" s="37"/>
      <c r="AS39" s="37"/>
      <c r="AT39" s="37"/>
      <c r="AU39" s="37"/>
      <c r="AV39" s="37"/>
      <c r="AW39" s="37"/>
      <c r="AX39" s="37"/>
      <c r="AY39" s="37"/>
      <c r="AZ39" s="37"/>
      <c r="BA39" s="37"/>
      <c r="BB39" s="37"/>
      <c r="BC39" s="37"/>
      <c r="BD39" s="37"/>
      <c r="BE39" s="37"/>
      <c r="BF39" s="37"/>
      <c r="BG39" s="37"/>
      <c r="BH39" s="37"/>
      <c r="BI39" s="37"/>
      <c r="BJ39" s="37"/>
      <c r="BK39" s="37"/>
      <c r="BL39" s="37"/>
      <c r="BM39" s="37"/>
      <c r="BN39" s="37"/>
      <c r="BO39" s="37"/>
      <c r="BP39" s="37"/>
      <c r="BQ39" s="37"/>
      <c r="BR39" s="37"/>
      <c r="BS39" s="37"/>
      <c r="BT39" s="37"/>
      <c r="BU39" s="37"/>
      <c r="BV39" s="37"/>
      <c r="BW39" s="37"/>
      <c r="BX39" s="37"/>
      <c r="BY39" s="37"/>
      <c r="BZ39" s="37"/>
      <c r="CA39" s="37"/>
      <c r="CB39" s="37"/>
      <c r="CC39" s="37"/>
      <c r="CD39" s="37"/>
      <c r="CE39" s="37"/>
      <c r="CF39" s="37"/>
      <c r="CG39" s="37"/>
      <c r="CH39" s="37"/>
      <c r="CI39" s="37"/>
      <c r="CJ39" s="37"/>
      <c r="CK39" s="37"/>
      <c r="CL39" s="37"/>
      <c r="CM39" s="37"/>
      <c r="CN39" s="37"/>
      <c r="CO39" s="37"/>
      <c r="CP39" s="37"/>
      <c r="CQ39" s="37"/>
      <c r="CR39" s="37"/>
      <c r="CS39" s="37"/>
      <c r="CT39" s="37"/>
      <c r="CU39" s="37"/>
      <c r="CV39" s="37"/>
      <c r="CW39" s="37"/>
      <c r="CX39" s="37"/>
      <c r="CY39" s="37"/>
      <c r="CZ39" s="37"/>
      <c r="DA39" s="37"/>
      <c r="DB39" s="37"/>
      <c r="DC39" s="37"/>
      <c r="DD39" s="37"/>
      <c r="DE39" s="37"/>
      <c r="DF39" s="37"/>
      <c r="DG39" s="37"/>
      <c r="DH39" s="37"/>
      <c r="DI39" s="37"/>
    </row>
    <row r="40" spans="1:113" x14ac:dyDescent="0.15">
      <c r="A40" s="2" t="s">
        <v>28</v>
      </c>
      <c r="B40" s="34"/>
      <c r="C40" s="34">
        <f t="shared" ref="C40:R40" si="78">C23/B23-1</f>
        <v>0.3595505617977528</v>
      </c>
      <c r="D40" s="34">
        <f t="shared" si="78"/>
        <v>0.24380165289256195</v>
      </c>
      <c r="E40" s="34">
        <f t="shared" si="78"/>
        <v>0.25</v>
      </c>
      <c r="F40" s="34">
        <f t="shared" si="78"/>
        <v>0.25</v>
      </c>
      <c r="G40" s="34">
        <f t="shared" si="78"/>
        <v>0.25</v>
      </c>
      <c r="H40" s="34">
        <f t="shared" si="78"/>
        <v>0.25</v>
      </c>
      <c r="I40" s="34">
        <f t="shared" si="78"/>
        <v>0.10000000000000009</v>
      </c>
      <c r="J40" s="34">
        <f t="shared" si="78"/>
        <v>0.10000000000000009</v>
      </c>
      <c r="K40" s="34">
        <f t="shared" si="78"/>
        <v>0.10000000000000009</v>
      </c>
      <c r="L40" s="34">
        <f t="shared" si="78"/>
        <v>0.10000000000000009</v>
      </c>
      <c r="M40" s="34">
        <f t="shared" si="78"/>
        <v>0.10000000000000009</v>
      </c>
      <c r="N40" s="34">
        <f t="shared" si="78"/>
        <v>-2.0000000000000129E-2</v>
      </c>
      <c r="O40" s="34">
        <f t="shared" si="78"/>
        <v>-1.9999999999999907E-2</v>
      </c>
      <c r="P40" s="34">
        <f t="shared" si="78"/>
        <v>-2.0000000000000018E-2</v>
      </c>
      <c r="Q40" s="34">
        <f t="shared" si="78"/>
        <v>-2.0000000000000018E-2</v>
      </c>
      <c r="R40" s="34">
        <f t="shared" si="78"/>
        <v>-2.0000000000000018E-2</v>
      </c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  <c r="AE40" s="37"/>
      <c r="AF40" s="37"/>
      <c r="AG40" s="37"/>
      <c r="AH40" s="37"/>
      <c r="AI40" s="37"/>
      <c r="AJ40" s="37"/>
      <c r="AK40" s="37"/>
      <c r="AL40" s="37"/>
      <c r="AM40" s="37"/>
      <c r="AN40" s="37"/>
      <c r="AO40" s="37"/>
      <c r="AP40" s="37"/>
      <c r="AQ40" s="37"/>
      <c r="AR40" s="37"/>
      <c r="AS40" s="37"/>
      <c r="AT40" s="37"/>
      <c r="AU40" s="37"/>
      <c r="AV40" s="37"/>
      <c r="AW40" s="37"/>
      <c r="AX40" s="37"/>
      <c r="AY40" s="37"/>
      <c r="AZ40" s="37"/>
      <c r="BA40" s="37"/>
      <c r="BB40" s="37"/>
      <c r="BC40" s="37"/>
      <c r="BD40" s="37"/>
      <c r="BE40" s="37"/>
      <c r="BF40" s="37"/>
      <c r="BG40" s="37"/>
      <c r="BH40" s="37"/>
      <c r="BI40" s="37"/>
      <c r="BJ40" s="37"/>
      <c r="BK40" s="37"/>
      <c r="BL40" s="37"/>
      <c r="BM40" s="37"/>
      <c r="BN40" s="37"/>
      <c r="BO40" s="37"/>
      <c r="BP40" s="37"/>
      <c r="BQ40" s="37"/>
      <c r="BR40" s="37"/>
      <c r="BS40" s="37"/>
      <c r="BT40" s="37"/>
      <c r="BU40" s="37"/>
      <c r="BV40" s="37"/>
      <c r="BW40" s="37"/>
      <c r="BX40" s="37"/>
      <c r="BY40" s="37"/>
      <c r="BZ40" s="37"/>
      <c r="CA40" s="37"/>
      <c r="CB40" s="37"/>
      <c r="CC40" s="37"/>
      <c r="CD40" s="37"/>
      <c r="CE40" s="37"/>
      <c r="CF40" s="37"/>
      <c r="CG40" s="37"/>
      <c r="CH40" s="37"/>
      <c r="CI40" s="37"/>
      <c r="CJ40" s="37"/>
      <c r="CK40" s="37"/>
      <c r="CL40" s="37"/>
      <c r="CM40" s="37"/>
      <c r="CN40" s="37"/>
      <c r="CO40" s="37"/>
      <c r="CP40" s="37"/>
      <c r="CQ40" s="37"/>
      <c r="CR40" s="37"/>
      <c r="CS40" s="37"/>
      <c r="CT40" s="37"/>
      <c r="CU40" s="37"/>
      <c r="CV40" s="37"/>
      <c r="CW40" s="37"/>
      <c r="CX40" s="37"/>
      <c r="CY40" s="37"/>
      <c r="CZ40" s="37"/>
      <c r="DA40" s="37"/>
      <c r="DB40" s="37"/>
      <c r="DC40" s="37"/>
      <c r="DD40" s="37"/>
      <c r="DE40" s="37"/>
      <c r="DF40" s="37"/>
      <c r="DG40" s="37"/>
      <c r="DH40" s="37"/>
      <c r="DI40" s="37"/>
    </row>
    <row r="41" spans="1:113" x14ac:dyDescent="0.15">
      <c r="A41" s="5" t="s">
        <v>52</v>
      </c>
      <c r="B41" s="42"/>
      <c r="C41" s="42">
        <f t="shared" ref="C41:R41" si="79">C24/B24-1</f>
        <v>0.48618784530386749</v>
      </c>
      <c r="D41" s="42">
        <f t="shared" si="79"/>
        <v>0.55130111524163583</v>
      </c>
      <c r="E41" s="42">
        <f t="shared" si="79"/>
        <v>0.26938653247064459</v>
      </c>
      <c r="F41" s="42">
        <f t="shared" si="79"/>
        <v>0.26985407247293347</v>
      </c>
      <c r="G41" s="42">
        <f t="shared" si="79"/>
        <v>0.27032540177199293</v>
      </c>
      <c r="H41" s="42">
        <f t="shared" si="79"/>
        <v>0.27080019990683724</v>
      </c>
      <c r="I41" s="42">
        <f>I24/H24-1</f>
        <v>0.17796678949958844</v>
      </c>
      <c r="J41" s="42">
        <f t="shared" si="79"/>
        <v>0.18092815017627695</v>
      </c>
      <c r="K41" s="42">
        <f t="shared" si="79"/>
        <v>0.18382607740319568</v>
      </c>
      <c r="L41" s="42">
        <f t="shared" si="79"/>
        <v>0.18665122252286115</v>
      </c>
      <c r="M41" s="42">
        <f t="shared" si="79"/>
        <v>0.18939553016215038</v>
      </c>
      <c r="N41" s="42">
        <f t="shared" si="79"/>
        <v>4.9085913919730828E-2</v>
      </c>
      <c r="O41" s="42">
        <f t="shared" si="79"/>
        <v>5.0918818630060425E-2</v>
      </c>
      <c r="P41" s="42">
        <f t="shared" si="79"/>
        <v>5.2712314316228914E-2</v>
      </c>
      <c r="Q41" s="42">
        <f t="shared" si="79"/>
        <v>5.4463819791038537E-2</v>
      </c>
      <c r="R41" s="42">
        <f t="shared" si="79"/>
        <v>5.6171171528021757E-2</v>
      </c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  <c r="AE41" s="37"/>
      <c r="AF41" s="37"/>
      <c r="AG41" s="37"/>
      <c r="AH41" s="37"/>
      <c r="AI41" s="37"/>
      <c r="AJ41" s="37"/>
      <c r="AK41" s="37"/>
      <c r="AL41" s="37"/>
      <c r="AM41" s="37"/>
      <c r="AN41" s="37"/>
      <c r="AO41" s="37"/>
      <c r="AP41" s="37"/>
      <c r="AQ41" s="37"/>
      <c r="AR41" s="37"/>
      <c r="AS41" s="37"/>
      <c r="AT41" s="37"/>
      <c r="AU41" s="37"/>
      <c r="AV41" s="37"/>
      <c r="AW41" s="37"/>
      <c r="AX41" s="37"/>
      <c r="AY41" s="37"/>
      <c r="AZ41" s="37"/>
      <c r="BA41" s="37"/>
      <c r="BB41" s="37"/>
      <c r="BC41" s="37"/>
      <c r="BD41" s="37"/>
      <c r="BE41" s="37"/>
      <c r="BF41" s="37"/>
      <c r="BG41" s="37"/>
      <c r="BH41" s="37"/>
      <c r="BI41" s="37"/>
      <c r="BJ41" s="37"/>
      <c r="BK41" s="37"/>
      <c r="BL41" s="37"/>
      <c r="BM41" s="37"/>
      <c r="BN41" s="37"/>
      <c r="BO41" s="37"/>
      <c r="BP41" s="37"/>
      <c r="BQ41" s="37"/>
      <c r="BR41" s="37"/>
      <c r="BS41" s="37"/>
      <c r="BT41" s="37"/>
      <c r="BU41" s="37"/>
      <c r="BV41" s="37"/>
      <c r="BW41" s="37"/>
      <c r="BX41" s="37"/>
      <c r="BY41" s="37"/>
      <c r="BZ41" s="37"/>
      <c r="CA41" s="37"/>
      <c r="CB41" s="37"/>
      <c r="CC41" s="37"/>
      <c r="CD41" s="37"/>
      <c r="CE41" s="37"/>
      <c r="CF41" s="37"/>
      <c r="CG41" s="37"/>
      <c r="CH41" s="37"/>
      <c r="CI41" s="37"/>
      <c r="CJ41" s="37"/>
      <c r="CK41" s="37"/>
      <c r="CL41" s="37"/>
      <c r="CM41" s="37"/>
      <c r="CN41" s="37"/>
      <c r="CO41" s="37"/>
      <c r="CP41" s="37"/>
      <c r="CQ41" s="37"/>
      <c r="CR41" s="37"/>
      <c r="CS41" s="37"/>
      <c r="CT41" s="37"/>
      <c r="CU41" s="37"/>
      <c r="CV41" s="37"/>
      <c r="CW41" s="37"/>
      <c r="CX41" s="37"/>
      <c r="CY41" s="37"/>
      <c r="CZ41" s="37"/>
      <c r="DA41" s="37"/>
      <c r="DB41" s="37"/>
      <c r="DC41" s="37"/>
      <c r="DD41" s="37"/>
      <c r="DE41" s="37"/>
      <c r="DF41" s="37"/>
      <c r="DG41" s="37"/>
      <c r="DH41" s="37"/>
      <c r="DI41" s="37"/>
    </row>
    <row r="42" spans="1:113" x14ac:dyDescent="0.15"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37"/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  <c r="AE42" s="37"/>
      <c r="AF42" s="37"/>
      <c r="AG42" s="37"/>
      <c r="AH42" s="37"/>
      <c r="AI42" s="37"/>
      <c r="AJ42" s="37"/>
      <c r="AK42" s="37"/>
      <c r="AL42" s="37"/>
      <c r="AM42" s="37"/>
      <c r="AN42" s="37"/>
      <c r="AO42" s="37"/>
      <c r="AP42" s="37"/>
      <c r="AQ42" s="37"/>
      <c r="AR42" s="37"/>
      <c r="AS42" s="37"/>
      <c r="AT42" s="37"/>
      <c r="AU42" s="37"/>
      <c r="AV42" s="37"/>
      <c r="AW42" s="37"/>
      <c r="AX42" s="37"/>
      <c r="AY42" s="37"/>
      <c r="AZ42" s="37"/>
      <c r="BA42" s="37"/>
      <c r="BB42" s="37"/>
      <c r="BC42" s="37"/>
      <c r="BD42" s="37"/>
      <c r="BE42" s="37"/>
      <c r="BF42" s="37"/>
      <c r="BG42" s="37"/>
      <c r="BH42" s="37"/>
      <c r="BI42" s="37"/>
      <c r="BJ42" s="37"/>
      <c r="BK42" s="37"/>
      <c r="BL42" s="37"/>
      <c r="BM42" s="37"/>
      <c r="BN42" s="37"/>
      <c r="BO42" s="37"/>
      <c r="BP42" s="37"/>
      <c r="BQ42" s="37"/>
      <c r="BR42" s="37"/>
      <c r="BS42" s="37"/>
      <c r="BT42" s="37"/>
      <c r="BU42" s="37"/>
      <c r="BV42" s="37"/>
      <c r="BW42" s="37"/>
      <c r="BX42" s="37"/>
      <c r="BY42" s="37"/>
      <c r="BZ42" s="37"/>
      <c r="CA42" s="37"/>
      <c r="CB42" s="37"/>
      <c r="CC42" s="37"/>
      <c r="CD42" s="37"/>
      <c r="CE42" s="37"/>
      <c r="CF42" s="37"/>
      <c r="CG42" s="37"/>
      <c r="CH42" s="37"/>
      <c r="CI42" s="37"/>
      <c r="CJ42" s="37"/>
      <c r="CK42" s="37"/>
      <c r="CL42" s="37"/>
      <c r="CM42" s="37"/>
      <c r="CN42" s="37"/>
      <c r="CO42" s="37"/>
      <c r="CP42" s="37"/>
      <c r="CQ42" s="37"/>
      <c r="CR42" s="37"/>
      <c r="CS42" s="37"/>
      <c r="CT42" s="37"/>
      <c r="CU42" s="37"/>
      <c r="CV42" s="37"/>
      <c r="CW42" s="37"/>
      <c r="CX42" s="37"/>
      <c r="CY42" s="37"/>
      <c r="CZ42" s="37"/>
      <c r="DA42" s="37"/>
      <c r="DB42" s="37"/>
      <c r="DC42" s="37"/>
      <c r="DD42" s="37"/>
      <c r="DE42" s="37"/>
      <c r="DF42" s="37"/>
      <c r="DG42" s="37"/>
      <c r="DH42" s="37"/>
      <c r="DI42" s="37"/>
    </row>
    <row r="43" spans="1:113" x14ac:dyDescent="0.15">
      <c r="A43" s="1" t="s">
        <v>18</v>
      </c>
      <c r="B43" s="42"/>
      <c r="C43" s="23">
        <f t="shared" ref="C43" si="80">C44-C45</f>
        <v>470</v>
      </c>
      <c r="D43" s="47">
        <f>C43+D29</f>
        <v>307.01239499999986</v>
      </c>
      <c r="E43" s="47">
        <f>D43+E29</f>
        <v>156.31676428749964</v>
      </c>
      <c r="F43" s="47">
        <f t="shared" ref="F43:R43" si="81">E43+F29</f>
        <v>54.49081188571806</v>
      </c>
      <c r="G43" s="47">
        <f t="shared" si="81"/>
        <v>65.418724494165602</v>
      </c>
      <c r="H43" s="47">
        <f t="shared" si="81"/>
        <v>273.64619978393267</v>
      </c>
      <c r="I43" s="47">
        <f t="shared" si="81"/>
        <v>607.78278977550872</v>
      </c>
      <c r="J43" s="47">
        <f t="shared" si="81"/>
        <v>1109.7544935386118</v>
      </c>
      <c r="K43" s="47">
        <f t="shared" si="81"/>
        <v>1833.4847301563304</v>
      </c>
      <c r="L43" s="47">
        <f t="shared" si="81"/>
        <v>2848.1369456771768</v>
      </c>
      <c r="M43" s="47">
        <f t="shared" si="81"/>
        <v>4242.2104830899407</v>
      </c>
      <c r="N43" s="47">
        <f t="shared" si="81"/>
        <v>5911.3125747871436</v>
      </c>
      <c r="O43" s="47">
        <f t="shared" si="81"/>
        <v>7886.6963363491413</v>
      </c>
      <c r="P43" s="47">
        <f t="shared" si="81"/>
        <v>10202.962626476692</v>
      </c>
      <c r="Q43" s="47">
        <f t="shared" si="81"/>
        <v>12898.404781956056</v>
      </c>
      <c r="R43" s="47">
        <f t="shared" si="81"/>
        <v>16015.38833904578</v>
      </c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  <c r="AE43" s="37"/>
      <c r="AF43" s="37"/>
      <c r="AG43" s="37"/>
      <c r="AH43" s="37"/>
      <c r="AI43" s="37"/>
      <c r="AJ43" s="37"/>
      <c r="AK43" s="37"/>
      <c r="AL43" s="37"/>
      <c r="AM43" s="37"/>
      <c r="AN43" s="37"/>
      <c r="AO43" s="37"/>
      <c r="AP43" s="37"/>
      <c r="AQ43" s="37"/>
      <c r="AR43" s="37"/>
      <c r="AS43" s="37"/>
      <c r="AT43" s="37"/>
      <c r="AU43" s="37"/>
      <c r="AV43" s="37"/>
      <c r="AW43" s="37"/>
      <c r="AX43" s="37"/>
      <c r="AY43" s="37"/>
      <c r="AZ43" s="37"/>
      <c r="BA43" s="37"/>
      <c r="BB43" s="37"/>
      <c r="BC43" s="37"/>
      <c r="BD43" s="37"/>
      <c r="BE43" s="37"/>
      <c r="BF43" s="37"/>
      <c r="BG43" s="37"/>
      <c r="BH43" s="37"/>
      <c r="BI43" s="37"/>
      <c r="BJ43" s="37"/>
      <c r="BK43" s="37"/>
      <c r="BL43" s="37"/>
      <c r="BM43" s="37"/>
      <c r="BN43" s="37"/>
      <c r="BO43" s="37"/>
      <c r="BP43" s="37"/>
      <c r="BQ43" s="37"/>
      <c r="BR43" s="37"/>
      <c r="BS43" s="37"/>
      <c r="BT43" s="37"/>
      <c r="BU43" s="37"/>
      <c r="BV43" s="37"/>
      <c r="BW43" s="37"/>
      <c r="BX43" s="37"/>
      <c r="BY43" s="37"/>
      <c r="BZ43" s="37"/>
      <c r="CA43" s="37"/>
      <c r="CB43" s="37"/>
      <c r="CC43" s="37"/>
      <c r="CD43" s="37"/>
      <c r="CE43" s="37"/>
      <c r="CF43" s="37"/>
      <c r="CG43" s="37"/>
      <c r="CH43" s="37"/>
      <c r="CI43" s="37"/>
      <c r="CJ43" s="37"/>
      <c r="CK43" s="37"/>
      <c r="CL43" s="37"/>
      <c r="CM43" s="37"/>
      <c r="CN43" s="37"/>
      <c r="CO43" s="37"/>
      <c r="CP43" s="37"/>
      <c r="CQ43" s="37"/>
      <c r="CR43" s="37"/>
      <c r="CS43" s="37"/>
      <c r="CT43" s="37"/>
      <c r="CU43" s="37"/>
      <c r="CV43" s="37"/>
      <c r="CW43" s="37"/>
      <c r="CX43" s="37"/>
      <c r="CY43" s="37"/>
      <c r="CZ43" s="37"/>
      <c r="DA43" s="37"/>
      <c r="DB43" s="37"/>
      <c r="DC43" s="37"/>
      <c r="DD43" s="37"/>
      <c r="DE43" s="37"/>
      <c r="DF43" s="37"/>
      <c r="DG43" s="37"/>
      <c r="DH43" s="37"/>
      <c r="DI43" s="37"/>
    </row>
    <row r="44" spans="1:113" x14ac:dyDescent="0.15">
      <c r="A44" s="2" t="s">
        <v>19</v>
      </c>
      <c r="B44" s="42"/>
      <c r="C44" s="48">
        <f>Reports!I37</f>
        <v>1362</v>
      </c>
      <c r="D44" s="48"/>
      <c r="E44" s="48"/>
      <c r="F44" s="48"/>
      <c r="G44" s="48"/>
      <c r="H44" s="48"/>
      <c r="I44" s="48"/>
      <c r="J44" s="48"/>
      <c r="K44" s="48"/>
      <c r="L44" s="48"/>
      <c r="M44" s="48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  <c r="AE44" s="37"/>
      <c r="AF44" s="37"/>
      <c r="AG44" s="37"/>
      <c r="AH44" s="37"/>
      <c r="AI44" s="37"/>
      <c r="AJ44" s="37"/>
      <c r="AK44" s="37"/>
      <c r="AL44" s="37"/>
      <c r="AM44" s="37"/>
      <c r="AN44" s="37"/>
      <c r="AO44" s="37"/>
      <c r="AP44" s="37"/>
      <c r="AQ44" s="37"/>
      <c r="AR44" s="37"/>
      <c r="AS44" s="37"/>
      <c r="AT44" s="37"/>
      <c r="AU44" s="37"/>
      <c r="AV44" s="37"/>
      <c r="AW44" s="37"/>
      <c r="AX44" s="37"/>
      <c r="AY44" s="37"/>
      <c r="AZ44" s="37"/>
      <c r="BA44" s="37"/>
      <c r="BB44" s="37"/>
      <c r="BC44" s="37"/>
      <c r="BD44" s="37"/>
      <c r="BE44" s="37"/>
      <c r="BF44" s="37"/>
      <c r="BG44" s="37"/>
      <c r="BH44" s="37"/>
      <c r="BI44" s="37"/>
      <c r="BJ44" s="37"/>
      <c r="BK44" s="37"/>
      <c r="BL44" s="37"/>
      <c r="BM44" s="37"/>
      <c r="BN44" s="37"/>
      <c r="BO44" s="37"/>
      <c r="BP44" s="37"/>
      <c r="BQ44" s="37"/>
      <c r="BR44" s="37"/>
      <c r="BS44" s="37"/>
      <c r="BT44" s="37"/>
      <c r="BU44" s="37"/>
      <c r="BV44" s="37"/>
      <c r="BW44" s="37"/>
      <c r="BX44" s="37"/>
      <c r="BY44" s="37"/>
      <c r="BZ44" s="37"/>
      <c r="CA44" s="37"/>
      <c r="CB44" s="37"/>
      <c r="CC44" s="37"/>
      <c r="CD44" s="37"/>
      <c r="CE44" s="37"/>
      <c r="CF44" s="37"/>
      <c r="CG44" s="37"/>
      <c r="CH44" s="37"/>
      <c r="CI44" s="37"/>
      <c r="CJ44" s="37"/>
      <c r="CK44" s="37"/>
      <c r="CL44" s="37"/>
      <c r="CM44" s="37"/>
      <c r="CN44" s="37"/>
      <c r="CO44" s="37"/>
      <c r="CP44" s="37"/>
      <c r="CQ44" s="37"/>
      <c r="CR44" s="37"/>
      <c r="CS44" s="37"/>
      <c r="CT44" s="37"/>
      <c r="CU44" s="37"/>
      <c r="CV44" s="37"/>
      <c r="CW44" s="37"/>
      <c r="CX44" s="37"/>
      <c r="CY44" s="37"/>
      <c r="CZ44" s="37"/>
      <c r="DA44" s="37"/>
      <c r="DB44" s="37"/>
      <c r="DC44" s="37"/>
      <c r="DD44" s="37"/>
      <c r="DE44" s="37"/>
      <c r="DF44" s="37"/>
      <c r="DG44" s="37"/>
      <c r="DH44" s="37"/>
      <c r="DI44" s="37"/>
    </row>
    <row r="45" spans="1:113" x14ac:dyDescent="0.15">
      <c r="A45" s="2" t="s">
        <v>20</v>
      </c>
      <c r="B45" s="42"/>
      <c r="C45" s="48">
        <f>Reports!I38</f>
        <v>892</v>
      </c>
      <c r="D45" s="48"/>
      <c r="E45" s="48"/>
      <c r="F45" s="48"/>
      <c r="G45" s="48"/>
      <c r="H45" s="48"/>
      <c r="I45" s="48"/>
      <c r="J45" s="48"/>
      <c r="K45" s="48"/>
      <c r="L45" s="48"/>
      <c r="M45" s="48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  <c r="AE45" s="37"/>
      <c r="AF45" s="37"/>
      <c r="AG45" s="37"/>
      <c r="AH45" s="37"/>
      <c r="AI45" s="37"/>
      <c r="AJ45" s="37"/>
      <c r="AK45" s="37"/>
      <c r="AL45" s="37"/>
      <c r="AM45" s="37"/>
      <c r="AN45" s="37"/>
      <c r="AO45" s="37"/>
      <c r="AP45" s="37"/>
      <c r="AQ45" s="37"/>
      <c r="AR45" s="37"/>
      <c r="AS45" s="37"/>
      <c r="AT45" s="37"/>
      <c r="AU45" s="37"/>
      <c r="AV45" s="37"/>
      <c r="AW45" s="37"/>
      <c r="AX45" s="37"/>
      <c r="AY45" s="37"/>
      <c r="AZ45" s="37"/>
      <c r="BA45" s="37"/>
      <c r="BB45" s="37"/>
      <c r="BC45" s="37"/>
      <c r="BD45" s="37"/>
      <c r="BE45" s="37"/>
      <c r="BF45" s="37"/>
      <c r="BG45" s="37"/>
      <c r="BH45" s="37"/>
      <c r="BI45" s="37"/>
      <c r="BJ45" s="37"/>
      <c r="BK45" s="37"/>
      <c r="BL45" s="37"/>
      <c r="BM45" s="37"/>
      <c r="BN45" s="37"/>
      <c r="BO45" s="37"/>
      <c r="BP45" s="37"/>
      <c r="BQ45" s="37"/>
      <c r="BR45" s="37"/>
      <c r="BS45" s="37"/>
      <c r="BT45" s="37"/>
      <c r="BU45" s="37"/>
      <c r="BV45" s="37"/>
      <c r="BW45" s="37"/>
      <c r="BX45" s="37"/>
      <c r="BY45" s="37"/>
      <c r="BZ45" s="37"/>
      <c r="CA45" s="37"/>
      <c r="CB45" s="37"/>
      <c r="CC45" s="37"/>
      <c r="CD45" s="37"/>
      <c r="CE45" s="37"/>
      <c r="CF45" s="37"/>
      <c r="CG45" s="37"/>
      <c r="CH45" s="37"/>
      <c r="CI45" s="37"/>
      <c r="CJ45" s="37"/>
      <c r="CK45" s="37"/>
      <c r="CL45" s="37"/>
      <c r="CM45" s="37"/>
      <c r="CN45" s="37"/>
      <c r="CO45" s="37"/>
      <c r="CP45" s="37"/>
      <c r="CQ45" s="37"/>
      <c r="CR45" s="37"/>
      <c r="CS45" s="37"/>
      <c r="CT45" s="37"/>
      <c r="CU45" s="37"/>
      <c r="CV45" s="37"/>
      <c r="CW45" s="37"/>
      <c r="CX45" s="37"/>
      <c r="CY45" s="37"/>
      <c r="CZ45" s="37"/>
      <c r="DA45" s="37"/>
      <c r="DB45" s="37"/>
      <c r="DC45" s="37"/>
      <c r="DD45" s="37"/>
      <c r="DE45" s="37"/>
      <c r="DF45" s="37"/>
      <c r="DG45" s="37"/>
      <c r="DH45" s="37"/>
      <c r="DI45" s="37"/>
    </row>
    <row r="46" spans="1:113" x14ac:dyDescent="0.15">
      <c r="B46" s="42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  <c r="AE46" s="37"/>
      <c r="AF46" s="37"/>
      <c r="AG46" s="37"/>
      <c r="AH46" s="37"/>
      <c r="AI46" s="37"/>
      <c r="AJ46" s="37"/>
      <c r="AK46" s="37"/>
      <c r="AL46" s="37"/>
      <c r="AM46" s="37"/>
      <c r="AN46" s="37"/>
      <c r="AO46" s="37"/>
      <c r="AP46" s="37"/>
      <c r="AQ46" s="37"/>
      <c r="AR46" s="37"/>
      <c r="AS46" s="37"/>
      <c r="AT46" s="37"/>
      <c r="AU46" s="37"/>
      <c r="AV46" s="37"/>
      <c r="AW46" s="37"/>
      <c r="AX46" s="37"/>
      <c r="AY46" s="37"/>
      <c r="AZ46" s="37"/>
      <c r="BA46" s="37"/>
      <c r="BB46" s="37"/>
      <c r="BC46" s="37"/>
      <c r="BD46" s="37"/>
      <c r="BE46" s="37"/>
      <c r="BF46" s="37"/>
      <c r="BG46" s="37"/>
      <c r="BH46" s="37"/>
      <c r="BI46" s="37"/>
      <c r="BJ46" s="37"/>
      <c r="BK46" s="37"/>
      <c r="BL46" s="37"/>
      <c r="BM46" s="37"/>
      <c r="BN46" s="37"/>
      <c r="BO46" s="37"/>
      <c r="BP46" s="37"/>
      <c r="BQ46" s="37"/>
      <c r="BR46" s="37"/>
      <c r="BS46" s="37"/>
      <c r="BT46" s="37"/>
      <c r="BU46" s="37"/>
      <c r="BV46" s="37"/>
      <c r="BW46" s="37"/>
      <c r="BX46" s="37"/>
      <c r="BY46" s="37"/>
      <c r="BZ46" s="37"/>
      <c r="CA46" s="37"/>
      <c r="CB46" s="37"/>
      <c r="CC46" s="37"/>
      <c r="CD46" s="37"/>
      <c r="CE46" s="37"/>
      <c r="CF46" s="37"/>
      <c r="CG46" s="37"/>
      <c r="CH46" s="37"/>
      <c r="CI46" s="37"/>
      <c r="CJ46" s="37"/>
      <c r="CK46" s="37"/>
      <c r="CL46" s="37"/>
      <c r="CM46" s="37"/>
      <c r="CN46" s="37"/>
      <c r="CO46" s="37"/>
      <c r="CP46" s="37"/>
      <c r="CQ46" s="37"/>
      <c r="CR46" s="37"/>
      <c r="CS46" s="37"/>
      <c r="CT46" s="37"/>
      <c r="CU46" s="37"/>
      <c r="CV46" s="37"/>
      <c r="CW46" s="37"/>
      <c r="CX46" s="37"/>
      <c r="CY46" s="37"/>
      <c r="CZ46" s="37"/>
      <c r="DA46" s="37"/>
      <c r="DB46" s="37"/>
      <c r="DC46" s="37"/>
      <c r="DD46" s="37"/>
      <c r="DE46" s="37"/>
      <c r="DF46" s="37"/>
      <c r="DG46" s="37"/>
      <c r="DH46" s="37"/>
      <c r="DI46" s="37"/>
    </row>
    <row r="47" spans="1:113" x14ac:dyDescent="0.15">
      <c r="A47" s="2" t="s">
        <v>40</v>
      </c>
      <c r="B47" s="42"/>
      <c r="C47" s="48">
        <f>Reports!I40</f>
        <v>0</v>
      </c>
      <c r="D47" s="50"/>
      <c r="E47" s="50"/>
      <c r="F47" s="50"/>
      <c r="G47" s="50"/>
      <c r="H47" s="50"/>
      <c r="I47" s="50"/>
      <c r="J47" s="50"/>
      <c r="K47" s="50"/>
      <c r="L47" s="50"/>
      <c r="M47" s="50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  <c r="AA47" s="36"/>
      <c r="AB47" s="36"/>
      <c r="AC47" s="36"/>
      <c r="AD47" s="36"/>
      <c r="AE47" s="36"/>
      <c r="AF47" s="36"/>
      <c r="AG47" s="36"/>
      <c r="AH47" s="36"/>
      <c r="AI47" s="36"/>
      <c r="AJ47" s="36"/>
      <c r="AK47" s="36"/>
      <c r="AL47" s="36"/>
      <c r="AM47" s="36"/>
      <c r="AN47" s="36"/>
      <c r="AO47" s="36"/>
      <c r="AP47" s="36"/>
      <c r="AQ47" s="36"/>
      <c r="AR47" s="36"/>
      <c r="AS47" s="36"/>
      <c r="AT47" s="36"/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6"/>
      <c r="BF47" s="36"/>
      <c r="BG47" s="36"/>
      <c r="BH47" s="36"/>
      <c r="BI47" s="36"/>
      <c r="BJ47" s="36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36"/>
      <c r="BV47" s="36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6"/>
      <c r="CH47" s="36"/>
      <c r="CI47" s="36"/>
      <c r="CJ47" s="36"/>
      <c r="CK47" s="36"/>
      <c r="CL47" s="36"/>
      <c r="CM47" s="36"/>
      <c r="CN47" s="36"/>
      <c r="CO47" s="36"/>
      <c r="CP47" s="36"/>
      <c r="CQ47" s="36"/>
      <c r="CR47" s="36"/>
      <c r="CS47" s="36"/>
      <c r="CT47" s="36"/>
      <c r="CU47" s="36"/>
      <c r="CV47" s="36"/>
      <c r="CW47" s="36"/>
      <c r="CX47" s="36"/>
      <c r="CY47" s="36"/>
      <c r="CZ47" s="36"/>
      <c r="DA47" s="36"/>
      <c r="DB47" s="36"/>
      <c r="DC47" s="36"/>
      <c r="DD47" s="36"/>
      <c r="DE47" s="36"/>
      <c r="DF47" s="36"/>
      <c r="DG47" s="36"/>
      <c r="DH47" s="36"/>
      <c r="DI47" s="36"/>
    </row>
    <row r="48" spans="1:113" x14ac:dyDescent="0.15">
      <c r="A48" s="2" t="s">
        <v>41</v>
      </c>
      <c r="B48" s="42"/>
      <c r="C48" s="48">
        <f>Reports!I41</f>
        <v>1402</v>
      </c>
      <c r="D48" s="50"/>
      <c r="E48" s="50"/>
      <c r="F48" s="50"/>
      <c r="G48" s="50"/>
      <c r="H48" s="50"/>
      <c r="I48" s="50"/>
      <c r="J48" s="50"/>
      <c r="K48" s="50"/>
      <c r="L48" s="50"/>
      <c r="M48" s="50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  <c r="AA48" s="36"/>
      <c r="AB48" s="36"/>
      <c r="AC48" s="36"/>
      <c r="AD48" s="36"/>
      <c r="AE48" s="36"/>
      <c r="AF48" s="36"/>
      <c r="AG48" s="36"/>
      <c r="AH48" s="36"/>
      <c r="AI48" s="36"/>
      <c r="AJ48" s="36"/>
      <c r="AK48" s="36"/>
      <c r="AL48" s="36"/>
      <c r="AM48" s="36"/>
      <c r="AN48" s="36"/>
      <c r="AO48" s="36"/>
      <c r="AP48" s="36"/>
      <c r="AQ48" s="36"/>
      <c r="AR48" s="36"/>
      <c r="AS48" s="36"/>
      <c r="AT48" s="36"/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6"/>
      <c r="BF48" s="36"/>
      <c r="BG48" s="36"/>
      <c r="BH48" s="36"/>
      <c r="BI48" s="36"/>
      <c r="BJ48" s="36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36"/>
      <c r="BV48" s="36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6"/>
      <c r="CH48" s="36"/>
      <c r="CI48" s="36"/>
      <c r="CJ48" s="36"/>
      <c r="CK48" s="36"/>
      <c r="CL48" s="36"/>
      <c r="CM48" s="36"/>
      <c r="CN48" s="36"/>
      <c r="CO48" s="36"/>
      <c r="CP48" s="36"/>
      <c r="CQ48" s="36"/>
      <c r="CR48" s="36"/>
      <c r="CS48" s="36"/>
      <c r="CT48" s="36"/>
      <c r="CU48" s="36"/>
      <c r="CV48" s="36"/>
      <c r="CW48" s="36"/>
      <c r="CX48" s="36"/>
      <c r="CY48" s="36"/>
      <c r="CZ48" s="36"/>
      <c r="DA48" s="36"/>
      <c r="DB48" s="36"/>
      <c r="DC48" s="36"/>
      <c r="DD48" s="36"/>
      <c r="DE48" s="36"/>
      <c r="DF48" s="36"/>
      <c r="DG48" s="36"/>
      <c r="DH48" s="36"/>
      <c r="DI48" s="36"/>
    </row>
    <row r="49" spans="1:113" x14ac:dyDescent="0.15">
      <c r="A49" s="2" t="s">
        <v>42</v>
      </c>
      <c r="B49" s="42"/>
      <c r="C49" s="48">
        <f>Reports!I42</f>
        <v>1769</v>
      </c>
      <c r="D49" s="50"/>
      <c r="E49" s="50"/>
      <c r="F49" s="50"/>
      <c r="G49" s="50"/>
      <c r="H49" s="50"/>
      <c r="I49" s="50"/>
      <c r="J49" s="50"/>
      <c r="K49" s="50"/>
      <c r="L49" s="50"/>
      <c r="M49" s="50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  <c r="AA49" s="36"/>
      <c r="AB49" s="36"/>
      <c r="AC49" s="36"/>
      <c r="AD49" s="36"/>
      <c r="AE49" s="36"/>
      <c r="AF49" s="36"/>
      <c r="AG49" s="36"/>
      <c r="AH49" s="36"/>
      <c r="AI49" s="36"/>
      <c r="AJ49" s="36"/>
      <c r="AK49" s="36"/>
      <c r="AL49" s="36"/>
      <c r="AM49" s="36"/>
      <c r="AN49" s="36"/>
      <c r="AO49" s="36"/>
      <c r="AP49" s="36"/>
      <c r="AQ49" s="36"/>
      <c r="AR49" s="36"/>
      <c r="AS49" s="36"/>
      <c r="AT49" s="36"/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6"/>
      <c r="BF49" s="36"/>
      <c r="BG49" s="36"/>
      <c r="BH49" s="36"/>
      <c r="BI49" s="36"/>
      <c r="BJ49" s="36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36"/>
      <c r="BV49" s="36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6"/>
      <c r="CH49" s="36"/>
      <c r="CI49" s="36"/>
      <c r="CJ49" s="36"/>
      <c r="CK49" s="36"/>
      <c r="CL49" s="36"/>
      <c r="CM49" s="36"/>
      <c r="CN49" s="36"/>
      <c r="CO49" s="36"/>
      <c r="CP49" s="36"/>
      <c r="CQ49" s="36"/>
      <c r="CR49" s="36"/>
      <c r="CS49" s="36"/>
      <c r="CT49" s="36"/>
      <c r="CU49" s="36"/>
      <c r="CV49" s="36"/>
      <c r="CW49" s="36"/>
      <c r="CX49" s="36"/>
      <c r="CY49" s="36"/>
      <c r="CZ49" s="36"/>
      <c r="DA49" s="36"/>
      <c r="DB49" s="36"/>
      <c r="DC49" s="36"/>
      <c r="DD49" s="36"/>
      <c r="DE49" s="36"/>
      <c r="DF49" s="36"/>
      <c r="DG49" s="36"/>
      <c r="DH49" s="36"/>
      <c r="DI49" s="36"/>
    </row>
    <row r="50" spans="1:113" x14ac:dyDescent="0.15">
      <c r="B50" s="42"/>
      <c r="C50" s="37"/>
      <c r="D50" s="37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  <c r="AQ50" s="37"/>
      <c r="AR50" s="37"/>
      <c r="AS50" s="37"/>
      <c r="AT50" s="37"/>
      <c r="AU50" s="37"/>
      <c r="AV50" s="37"/>
      <c r="AW50" s="37"/>
      <c r="AX50" s="37"/>
      <c r="AY50" s="37"/>
      <c r="AZ50" s="37"/>
      <c r="BA50" s="37"/>
      <c r="BB50" s="37"/>
      <c r="BC50" s="37"/>
      <c r="BD50" s="37"/>
      <c r="BE50" s="37"/>
      <c r="BF50" s="37"/>
      <c r="BG50" s="37"/>
      <c r="BH50" s="37"/>
      <c r="BI50" s="37"/>
      <c r="BJ50" s="37"/>
      <c r="BK50" s="37"/>
      <c r="BL50" s="37"/>
      <c r="BM50" s="37"/>
      <c r="BN50" s="37"/>
      <c r="BO50" s="37"/>
      <c r="BP50" s="37"/>
      <c r="BQ50" s="37"/>
      <c r="BR50" s="37"/>
      <c r="BS50" s="37"/>
      <c r="BT50" s="37"/>
      <c r="BU50" s="37"/>
      <c r="BV50" s="37"/>
      <c r="BW50" s="37"/>
      <c r="BX50" s="37"/>
      <c r="BY50" s="37"/>
      <c r="BZ50" s="37"/>
      <c r="CA50" s="37"/>
      <c r="CB50" s="37"/>
      <c r="CC50" s="37"/>
      <c r="CD50" s="37"/>
      <c r="CE50" s="37"/>
      <c r="CF50" s="37"/>
      <c r="CG50" s="37"/>
      <c r="CH50" s="37"/>
      <c r="CI50" s="37"/>
      <c r="CJ50" s="37"/>
      <c r="CK50" s="37"/>
      <c r="CL50" s="37"/>
      <c r="CM50" s="37"/>
      <c r="CN50" s="37"/>
      <c r="CO50" s="37"/>
      <c r="CP50" s="37"/>
      <c r="CQ50" s="37"/>
      <c r="CR50" s="37"/>
      <c r="CS50" s="37"/>
      <c r="CT50" s="37"/>
      <c r="CU50" s="37"/>
      <c r="CV50" s="37"/>
      <c r="CW50" s="37"/>
      <c r="CX50" s="37"/>
      <c r="CY50" s="37"/>
      <c r="CZ50" s="37"/>
      <c r="DA50" s="37"/>
      <c r="DB50" s="37"/>
      <c r="DC50" s="37"/>
      <c r="DD50" s="37"/>
      <c r="DE50" s="37"/>
      <c r="DF50" s="37"/>
      <c r="DG50" s="37"/>
      <c r="DH50" s="37"/>
      <c r="DI50" s="37"/>
    </row>
    <row r="51" spans="1:113" x14ac:dyDescent="0.15">
      <c r="A51" s="2" t="s">
        <v>43</v>
      </c>
      <c r="B51" s="42"/>
      <c r="C51" s="51">
        <f t="shared" ref="C51" si="82">C48-C47-C44</f>
        <v>40</v>
      </c>
      <c r="D51" s="36"/>
      <c r="E51" s="36"/>
      <c r="F51" s="36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36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36"/>
      <c r="AQ51" s="36"/>
      <c r="AR51" s="36"/>
      <c r="AS51" s="36"/>
      <c r="AT51" s="36"/>
      <c r="AU51" s="36"/>
      <c r="AV51" s="36"/>
      <c r="AW51" s="36"/>
      <c r="AX51" s="36"/>
      <c r="AY51" s="36"/>
      <c r="AZ51" s="36"/>
      <c r="BA51" s="36"/>
      <c r="BB51" s="36"/>
      <c r="BC51" s="36"/>
      <c r="BD51" s="36"/>
      <c r="BE51" s="36"/>
      <c r="BF51" s="36"/>
      <c r="BG51" s="36"/>
      <c r="BH51" s="36"/>
      <c r="BI51" s="36"/>
      <c r="BJ51" s="36"/>
      <c r="BK51" s="36"/>
      <c r="BL51" s="36"/>
      <c r="BM51" s="36"/>
      <c r="BN51" s="36"/>
      <c r="BO51" s="36"/>
      <c r="BP51" s="36"/>
      <c r="BQ51" s="36"/>
      <c r="BR51" s="36"/>
      <c r="BS51" s="36"/>
      <c r="BT51" s="36"/>
      <c r="BU51" s="36"/>
      <c r="BV51" s="36"/>
      <c r="BW51" s="36"/>
      <c r="BX51" s="36"/>
      <c r="BY51" s="36"/>
      <c r="BZ51" s="36"/>
      <c r="CA51" s="36"/>
      <c r="CB51" s="36"/>
      <c r="CC51" s="36"/>
      <c r="CD51" s="36"/>
      <c r="CE51" s="36"/>
      <c r="CF51" s="36"/>
      <c r="CG51" s="36"/>
      <c r="CH51" s="36"/>
      <c r="CI51" s="36"/>
      <c r="CJ51" s="36"/>
      <c r="CK51" s="36"/>
      <c r="CL51" s="36"/>
      <c r="CM51" s="36"/>
      <c r="CN51" s="36"/>
      <c r="CO51" s="36"/>
      <c r="CP51" s="36"/>
      <c r="CQ51" s="36"/>
      <c r="CR51" s="36"/>
      <c r="CS51" s="36"/>
      <c r="CT51" s="36"/>
      <c r="CU51" s="36"/>
      <c r="CV51" s="36"/>
      <c r="CW51" s="36"/>
      <c r="CX51" s="36"/>
      <c r="CY51" s="36"/>
      <c r="CZ51" s="36"/>
      <c r="DA51" s="36"/>
      <c r="DB51" s="36"/>
      <c r="DC51" s="36"/>
      <c r="DD51" s="36"/>
      <c r="DE51" s="36"/>
      <c r="DF51" s="36"/>
      <c r="DG51" s="36"/>
      <c r="DH51" s="36"/>
      <c r="DI51" s="36"/>
    </row>
    <row r="52" spans="1:113" x14ac:dyDescent="0.15">
      <c r="A52" s="2" t="s">
        <v>44</v>
      </c>
      <c r="B52" s="42"/>
      <c r="C52" s="51">
        <f t="shared" ref="C52" si="83">C48-C49</f>
        <v>-367</v>
      </c>
      <c r="D52" s="36"/>
      <c r="E52" s="36"/>
      <c r="F52" s="36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36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36"/>
      <c r="AQ52" s="36"/>
      <c r="AR52" s="36"/>
      <c r="AS52" s="36"/>
      <c r="AT52" s="36"/>
      <c r="AU52" s="36"/>
      <c r="AV52" s="36"/>
      <c r="AW52" s="36"/>
      <c r="AX52" s="36"/>
      <c r="AY52" s="36"/>
      <c r="AZ52" s="36"/>
      <c r="BA52" s="36"/>
      <c r="BB52" s="36"/>
      <c r="BC52" s="36"/>
      <c r="BD52" s="36"/>
      <c r="BE52" s="36"/>
      <c r="BF52" s="36"/>
      <c r="BG52" s="36"/>
      <c r="BH52" s="36"/>
      <c r="BI52" s="36"/>
      <c r="BJ52" s="36"/>
      <c r="BK52" s="36"/>
      <c r="BL52" s="36"/>
      <c r="BM52" s="36"/>
      <c r="BN52" s="36"/>
      <c r="BO52" s="36"/>
      <c r="BP52" s="36"/>
      <c r="BQ52" s="36"/>
      <c r="BR52" s="36"/>
      <c r="BS52" s="36"/>
      <c r="BT52" s="36"/>
      <c r="BU52" s="36"/>
      <c r="BV52" s="36"/>
      <c r="BW52" s="36"/>
      <c r="BX52" s="36"/>
      <c r="BY52" s="36"/>
      <c r="BZ52" s="36"/>
      <c r="CA52" s="36"/>
      <c r="CB52" s="36"/>
      <c r="CC52" s="36"/>
      <c r="CD52" s="36"/>
      <c r="CE52" s="36"/>
      <c r="CF52" s="36"/>
      <c r="CG52" s="36"/>
      <c r="CH52" s="36"/>
      <c r="CI52" s="36"/>
      <c r="CJ52" s="36"/>
      <c r="CK52" s="36"/>
      <c r="CL52" s="36"/>
      <c r="CM52" s="36"/>
      <c r="CN52" s="36"/>
      <c r="CO52" s="36"/>
      <c r="CP52" s="36"/>
      <c r="CQ52" s="36"/>
      <c r="CR52" s="36"/>
      <c r="CS52" s="36"/>
      <c r="CT52" s="36"/>
      <c r="CU52" s="36"/>
      <c r="CV52" s="36"/>
      <c r="CW52" s="36"/>
      <c r="CX52" s="36"/>
      <c r="CY52" s="36"/>
      <c r="CZ52" s="36"/>
      <c r="DA52" s="36"/>
      <c r="DB52" s="36"/>
      <c r="DC52" s="36"/>
      <c r="DD52" s="36"/>
      <c r="DE52" s="36"/>
      <c r="DF52" s="36"/>
      <c r="DG52" s="36"/>
      <c r="DH52" s="36"/>
      <c r="DI52" s="36"/>
    </row>
    <row r="53" spans="1:113" x14ac:dyDescent="0.15">
      <c r="B53" s="42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  <c r="AR53" s="37"/>
      <c r="AS53" s="37"/>
      <c r="AT53" s="37"/>
      <c r="AU53" s="37"/>
      <c r="AV53" s="37"/>
      <c r="AW53" s="37"/>
      <c r="AX53" s="37"/>
      <c r="AY53" s="37"/>
      <c r="AZ53" s="37"/>
      <c r="BA53" s="37"/>
      <c r="BB53" s="37"/>
      <c r="BC53" s="37"/>
      <c r="BD53" s="37"/>
      <c r="BE53" s="37"/>
      <c r="BF53" s="37"/>
      <c r="BG53" s="37"/>
      <c r="BH53" s="37"/>
      <c r="BI53" s="37"/>
      <c r="BJ53" s="37"/>
      <c r="BK53" s="37"/>
      <c r="BL53" s="37"/>
      <c r="BM53" s="37"/>
      <c r="BN53" s="37"/>
      <c r="BO53" s="37"/>
      <c r="BP53" s="37"/>
      <c r="BQ53" s="37"/>
      <c r="BR53" s="37"/>
      <c r="BS53" s="37"/>
      <c r="BT53" s="37"/>
      <c r="BU53" s="37"/>
      <c r="BV53" s="37"/>
      <c r="BW53" s="37"/>
      <c r="BX53" s="37"/>
      <c r="BY53" s="37"/>
      <c r="BZ53" s="37"/>
      <c r="CA53" s="37"/>
      <c r="CB53" s="37"/>
      <c r="CC53" s="37"/>
      <c r="CD53" s="37"/>
      <c r="CE53" s="37"/>
      <c r="CF53" s="37"/>
      <c r="CG53" s="37"/>
      <c r="CH53" s="37"/>
      <c r="CI53" s="37"/>
      <c r="CJ53" s="37"/>
      <c r="CK53" s="37"/>
      <c r="CL53" s="37"/>
      <c r="CM53" s="37"/>
      <c r="CN53" s="37"/>
      <c r="CO53" s="37"/>
      <c r="CP53" s="37"/>
      <c r="CQ53" s="37"/>
      <c r="CR53" s="37"/>
      <c r="CS53" s="37"/>
      <c r="CT53" s="37"/>
      <c r="CU53" s="37"/>
      <c r="CV53" s="37"/>
      <c r="CW53" s="37"/>
      <c r="CX53" s="37"/>
      <c r="CY53" s="37"/>
      <c r="CZ53" s="37"/>
      <c r="DA53" s="37"/>
      <c r="DB53" s="37"/>
      <c r="DC53" s="37"/>
      <c r="DD53" s="37"/>
      <c r="DE53" s="37"/>
      <c r="DF53" s="37"/>
      <c r="DG53" s="37"/>
      <c r="DH53" s="37"/>
      <c r="DI53" s="37"/>
    </row>
    <row r="54" spans="1:113" x14ac:dyDescent="0.15">
      <c r="A54" s="17" t="s">
        <v>46</v>
      </c>
      <c r="B54" s="42"/>
      <c r="C54" s="52">
        <f t="shared" ref="C54" si="84">C29/C52</f>
        <v>0.30555313351498664</v>
      </c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37"/>
      <c r="AQ54" s="37"/>
      <c r="AR54" s="37"/>
      <c r="AS54" s="37"/>
      <c r="AT54" s="37"/>
      <c r="AU54" s="37"/>
      <c r="AV54" s="37"/>
      <c r="AW54" s="37"/>
      <c r="AX54" s="37"/>
      <c r="AY54" s="37"/>
      <c r="AZ54" s="37"/>
      <c r="BA54" s="37"/>
      <c r="BB54" s="37"/>
      <c r="BC54" s="37"/>
      <c r="BD54" s="37"/>
      <c r="BE54" s="37"/>
      <c r="BF54" s="37"/>
      <c r="BG54" s="37"/>
      <c r="BH54" s="37"/>
      <c r="BI54" s="37"/>
      <c r="BJ54" s="37"/>
      <c r="BK54" s="37"/>
      <c r="BL54" s="37"/>
      <c r="BM54" s="37"/>
      <c r="BN54" s="37"/>
      <c r="BO54" s="37"/>
      <c r="BP54" s="37"/>
      <c r="BQ54" s="37"/>
      <c r="BR54" s="37"/>
      <c r="BS54" s="37"/>
      <c r="BT54" s="37"/>
      <c r="BU54" s="37"/>
      <c r="BV54" s="37"/>
      <c r="BW54" s="37"/>
      <c r="BX54" s="37"/>
      <c r="BY54" s="37"/>
      <c r="BZ54" s="37"/>
      <c r="CA54" s="37"/>
      <c r="CB54" s="37"/>
      <c r="CC54" s="37"/>
      <c r="CD54" s="37"/>
      <c r="CE54" s="37"/>
      <c r="CF54" s="37"/>
      <c r="CG54" s="37"/>
      <c r="CH54" s="37"/>
      <c r="CI54" s="37"/>
      <c r="CJ54" s="37"/>
      <c r="CK54" s="37"/>
      <c r="CL54" s="37"/>
      <c r="CM54" s="37"/>
      <c r="CN54" s="37"/>
      <c r="CO54" s="37"/>
      <c r="CP54" s="37"/>
      <c r="CQ54" s="37"/>
      <c r="CR54" s="37"/>
      <c r="CS54" s="37"/>
      <c r="CT54" s="37"/>
      <c r="CU54" s="37"/>
      <c r="CV54" s="37"/>
      <c r="CW54" s="37"/>
      <c r="CX54" s="37"/>
      <c r="CY54" s="37"/>
      <c r="CZ54" s="37"/>
      <c r="DA54" s="37"/>
      <c r="DB54" s="37"/>
      <c r="DC54" s="37"/>
      <c r="DD54" s="37"/>
      <c r="DE54" s="37"/>
      <c r="DF54" s="37"/>
      <c r="DG54" s="37"/>
      <c r="DH54" s="37"/>
      <c r="DI54" s="37"/>
    </row>
    <row r="55" spans="1:113" x14ac:dyDescent="0.15">
      <c r="A55" s="17" t="s">
        <v>47</v>
      </c>
      <c r="B55" s="42"/>
      <c r="C55" s="52">
        <f t="shared" ref="C55" si="85">C29/C48</f>
        <v>-7.9984308131241147E-2</v>
      </c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  <c r="AR55" s="37"/>
      <c r="AS55" s="37"/>
      <c r="AT55" s="37"/>
      <c r="AU55" s="37"/>
      <c r="AV55" s="37"/>
      <c r="AW55" s="37"/>
      <c r="AX55" s="37"/>
      <c r="AY55" s="37"/>
      <c r="AZ55" s="37"/>
      <c r="BA55" s="37"/>
      <c r="BB55" s="37"/>
      <c r="BC55" s="37"/>
      <c r="BD55" s="37"/>
      <c r="BE55" s="37"/>
      <c r="BF55" s="37"/>
      <c r="BG55" s="37"/>
      <c r="BH55" s="37"/>
      <c r="BI55" s="37"/>
      <c r="BJ55" s="37"/>
      <c r="BK55" s="37"/>
      <c r="BL55" s="37"/>
      <c r="BM55" s="37"/>
      <c r="BN55" s="37"/>
      <c r="BO55" s="37"/>
      <c r="BP55" s="37"/>
      <c r="BQ55" s="37"/>
      <c r="BR55" s="37"/>
      <c r="BS55" s="37"/>
      <c r="BT55" s="37"/>
      <c r="BU55" s="37"/>
      <c r="BV55" s="37"/>
      <c r="BW55" s="37"/>
      <c r="BX55" s="37"/>
      <c r="BY55" s="37"/>
      <c r="BZ55" s="37"/>
      <c r="CA55" s="37"/>
      <c r="CB55" s="37"/>
      <c r="CC55" s="37"/>
      <c r="CD55" s="37"/>
      <c r="CE55" s="37"/>
      <c r="CF55" s="37"/>
      <c r="CG55" s="37"/>
      <c r="CH55" s="37"/>
      <c r="CI55" s="37"/>
      <c r="CJ55" s="37"/>
      <c r="CK55" s="37"/>
      <c r="CL55" s="37"/>
      <c r="CM55" s="37"/>
      <c r="CN55" s="37"/>
      <c r="CO55" s="37"/>
      <c r="CP55" s="37"/>
      <c r="CQ55" s="37"/>
      <c r="CR55" s="37"/>
      <c r="CS55" s="37"/>
      <c r="CT55" s="37"/>
      <c r="CU55" s="37"/>
      <c r="CV55" s="37"/>
      <c r="CW55" s="37"/>
      <c r="CX55" s="37"/>
      <c r="CY55" s="37"/>
      <c r="CZ55" s="37"/>
      <c r="DA55" s="37"/>
      <c r="DB55" s="37"/>
      <c r="DC55" s="37"/>
      <c r="DD55" s="37"/>
      <c r="DE55" s="37"/>
      <c r="DF55" s="37"/>
      <c r="DG55" s="37"/>
      <c r="DH55" s="37"/>
      <c r="DI55" s="37"/>
    </row>
    <row r="56" spans="1:113" x14ac:dyDescent="0.15">
      <c r="A56" s="17" t="s">
        <v>48</v>
      </c>
      <c r="B56" s="42"/>
      <c r="C56" s="52">
        <f t="shared" ref="C56" si="86">C29/(C52-C47)</f>
        <v>0.30555313351498664</v>
      </c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37"/>
      <c r="AQ56" s="37"/>
      <c r="AR56" s="37"/>
      <c r="AS56" s="37"/>
      <c r="AT56" s="37"/>
      <c r="AU56" s="37"/>
      <c r="AV56" s="37"/>
      <c r="AW56" s="37"/>
      <c r="AX56" s="37"/>
      <c r="AY56" s="37"/>
      <c r="AZ56" s="37"/>
      <c r="BA56" s="37"/>
      <c r="BB56" s="37"/>
      <c r="BC56" s="37"/>
      <c r="BD56" s="37"/>
      <c r="BE56" s="37"/>
      <c r="BF56" s="37"/>
      <c r="BG56" s="37"/>
      <c r="BH56" s="37"/>
      <c r="BI56" s="37"/>
      <c r="BJ56" s="37"/>
      <c r="BK56" s="37"/>
      <c r="BL56" s="37"/>
      <c r="BM56" s="37"/>
      <c r="BN56" s="37"/>
      <c r="BO56" s="37"/>
      <c r="BP56" s="37"/>
      <c r="BQ56" s="37"/>
      <c r="BR56" s="37"/>
      <c r="BS56" s="37"/>
      <c r="BT56" s="37"/>
      <c r="BU56" s="37"/>
      <c r="BV56" s="37"/>
      <c r="BW56" s="37"/>
      <c r="BX56" s="37"/>
      <c r="BY56" s="37"/>
      <c r="BZ56" s="37"/>
      <c r="CA56" s="37"/>
      <c r="CB56" s="37"/>
      <c r="CC56" s="37"/>
      <c r="CD56" s="37"/>
      <c r="CE56" s="37"/>
      <c r="CF56" s="37"/>
      <c r="CG56" s="37"/>
      <c r="CH56" s="37"/>
      <c r="CI56" s="37"/>
      <c r="CJ56" s="37"/>
      <c r="CK56" s="37"/>
      <c r="CL56" s="37"/>
      <c r="CM56" s="37"/>
      <c r="CN56" s="37"/>
      <c r="CO56" s="37"/>
      <c r="CP56" s="37"/>
      <c r="CQ56" s="37"/>
      <c r="CR56" s="37"/>
      <c r="CS56" s="37"/>
      <c r="CT56" s="37"/>
      <c r="CU56" s="37"/>
      <c r="CV56" s="37"/>
      <c r="CW56" s="37"/>
      <c r="CX56" s="37"/>
      <c r="CY56" s="37"/>
      <c r="CZ56" s="37"/>
      <c r="DA56" s="37"/>
      <c r="DB56" s="37"/>
      <c r="DC56" s="37"/>
      <c r="DD56" s="37"/>
      <c r="DE56" s="37"/>
      <c r="DF56" s="37"/>
      <c r="DG56" s="37"/>
      <c r="DH56" s="37"/>
      <c r="DI56" s="37"/>
    </row>
    <row r="57" spans="1:113" x14ac:dyDescent="0.15">
      <c r="A57" s="17" t="s">
        <v>49</v>
      </c>
      <c r="B57" s="42"/>
      <c r="C57" s="52">
        <f t="shared" ref="C57" si="87">C29/C51</f>
        <v>-2.8034500000000024</v>
      </c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  <c r="AQ57" s="37"/>
      <c r="AR57" s="37"/>
      <c r="AS57" s="37"/>
      <c r="AT57" s="37"/>
      <c r="AU57" s="37"/>
      <c r="AV57" s="37"/>
      <c r="AW57" s="37"/>
      <c r="AX57" s="37"/>
      <c r="AY57" s="37"/>
      <c r="AZ57" s="37"/>
      <c r="BA57" s="37"/>
      <c r="BB57" s="37"/>
      <c r="BC57" s="37"/>
      <c r="BD57" s="37"/>
      <c r="BE57" s="37"/>
      <c r="BF57" s="37"/>
      <c r="BG57" s="37"/>
      <c r="BH57" s="37"/>
      <c r="BI57" s="37"/>
      <c r="BJ57" s="37"/>
      <c r="BK57" s="37"/>
      <c r="BL57" s="37"/>
      <c r="BM57" s="37"/>
      <c r="BN57" s="37"/>
      <c r="BO57" s="37"/>
      <c r="BP57" s="37"/>
      <c r="BQ57" s="37"/>
      <c r="BR57" s="37"/>
      <c r="BS57" s="37"/>
      <c r="BT57" s="37"/>
      <c r="BU57" s="37"/>
      <c r="BV57" s="37"/>
      <c r="BW57" s="37"/>
      <c r="BX57" s="37"/>
      <c r="BY57" s="37"/>
      <c r="BZ57" s="37"/>
      <c r="CA57" s="37"/>
      <c r="CB57" s="37"/>
      <c r="CC57" s="37"/>
      <c r="CD57" s="37"/>
      <c r="CE57" s="37"/>
      <c r="CF57" s="37"/>
      <c r="CG57" s="37"/>
      <c r="CH57" s="37"/>
      <c r="CI57" s="37"/>
      <c r="CJ57" s="37"/>
      <c r="CK57" s="37"/>
      <c r="CL57" s="37"/>
      <c r="CM57" s="37"/>
      <c r="CN57" s="37"/>
      <c r="CO57" s="37"/>
      <c r="CP57" s="37"/>
      <c r="CQ57" s="37"/>
      <c r="CR57" s="37"/>
      <c r="CS57" s="37"/>
      <c r="CT57" s="37"/>
      <c r="CU57" s="37"/>
      <c r="CV57" s="37"/>
      <c r="CW57" s="37"/>
      <c r="CX57" s="37"/>
      <c r="CY57" s="37"/>
      <c r="CZ57" s="37"/>
      <c r="DA57" s="37"/>
      <c r="DB57" s="37"/>
      <c r="DC57" s="37"/>
      <c r="DD57" s="37"/>
      <c r="DE57" s="37"/>
      <c r="DF57" s="37"/>
      <c r="DG57" s="37"/>
      <c r="DH57" s="37"/>
      <c r="DI57" s="37"/>
    </row>
    <row r="58" spans="1:113" x14ac:dyDescent="0.15">
      <c r="B58" s="42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  <c r="AQ58" s="37"/>
      <c r="AR58" s="37"/>
      <c r="AS58" s="37"/>
      <c r="AT58" s="37"/>
      <c r="AU58" s="37"/>
      <c r="AV58" s="37"/>
      <c r="AW58" s="37"/>
      <c r="AX58" s="37"/>
      <c r="AY58" s="37"/>
      <c r="AZ58" s="37"/>
      <c r="BA58" s="37"/>
      <c r="BB58" s="37"/>
      <c r="BC58" s="37"/>
      <c r="BD58" s="37"/>
      <c r="BE58" s="37"/>
      <c r="BF58" s="37"/>
      <c r="BG58" s="37"/>
      <c r="BH58" s="37"/>
      <c r="BI58" s="37"/>
      <c r="BJ58" s="37"/>
      <c r="BK58" s="37"/>
      <c r="BL58" s="37"/>
      <c r="BM58" s="37"/>
      <c r="BN58" s="37"/>
      <c r="BO58" s="37"/>
      <c r="BP58" s="37"/>
      <c r="BQ58" s="37"/>
      <c r="BR58" s="37"/>
      <c r="BS58" s="37"/>
      <c r="BT58" s="37"/>
      <c r="BU58" s="37"/>
      <c r="BV58" s="37"/>
      <c r="BW58" s="37"/>
      <c r="BX58" s="37"/>
      <c r="BY58" s="37"/>
      <c r="BZ58" s="37"/>
      <c r="CA58" s="37"/>
      <c r="CB58" s="37"/>
      <c r="CC58" s="37"/>
      <c r="CD58" s="37"/>
      <c r="CE58" s="37"/>
      <c r="CF58" s="37"/>
      <c r="CG58" s="37"/>
      <c r="CH58" s="37"/>
      <c r="CI58" s="37"/>
      <c r="CJ58" s="37"/>
      <c r="CK58" s="37"/>
      <c r="CL58" s="37"/>
      <c r="CM58" s="37"/>
      <c r="CN58" s="37"/>
      <c r="CO58" s="37"/>
      <c r="CP58" s="37"/>
      <c r="CQ58" s="37"/>
      <c r="CR58" s="37"/>
      <c r="CS58" s="37"/>
      <c r="CT58" s="37"/>
      <c r="CU58" s="37"/>
      <c r="CV58" s="37"/>
      <c r="CW58" s="37"/>
      <c r="CX58" s="37"/>
      <c r="CY58" s="37"/>
      <c r="CZ58" s="37"/>
      <c r="DA58" s="37"/>
      <c r="DB58" s="37"/>
      <c r="DC58" s="37"/>
      <c r="DD58" s="37"/>
      <c r="DE58" s="37"/>
      <c r="DF58" s="37"/>
      <c r="DG58" s="37"/>
      <c r="DH58" s="37"/>
      <c r="DI58" s="37"/>
    </row>
    <row r="59" spans="1:113" s="18" customFormat="1" x14ac:dyDescent="0.15">
      <c r="A59" s="66" t="s">
        <v>75</v>
      </c>
      <c r="B59" s="42"/>
      <c r="C59" s="18">
        <f>C10/B10-1</f>
        <v>0.93975657850003369</v>
      </c>
    </row>
    <row r="60" spans="1:113" s="18" customFormat="1" x14ac:dyDescent="0.15">
      <c r="A60" s="66" t="s">
        <v>76</v>
      </c>
      <c r="B60" s="42"/>
      <c r="C60" s="18">
        <f>C11/B11-1</f>
        <v>1.4446972569839458</v>
      </c>
    </row>
    <row r="61" spans="1:113" s="18" customFormat="1" x14ac:dyDescent="0.15">
      <c r="A61" s="66" t="s">
        <v>77</v>
      </c>
      <c r="B61" s="42"/>
      <c r="C61" s="18">
        <f>C12/B12-1</f>
        <v>0.56385045727111316</v>
      </c>
    </row>
    <row r="62" spans="1:113" s="18" customFormat="1" x14ac:dyDescent="0.15">
      <c r="A62" s="66" t="s">
        <v>78</v>
      </c>
      <c r="B62" s="42"/>
      <c r="C62" s="18">
        <f>C13/B13-1</f>
        <v>8.9607592237150762</v>
      </c>
    </row>
    <row r="63" spans="1:113" s="18" customFormat="1" x14ac:dyDescent="0.15">
      <c r="A63" s="66"/>
      <c r="B63" s="42"/>
    </row>
    <row r="64" spans="1:113" x14ac:dyDescent="0.15">
      <c r="A64" s="72" t="s">
        <v>81</v>
      </c>
      <c r="B64" s="42"/>
      <c r="C64" s="18">
        <f>C15/B15-1</f>
        <v>0.76919315403422983</v>
      </c>
      <c r="D64" s="18">
        <f t="shared" ref="D64:H64" si="88">D15/C15-1</f>
        <v>0.44999999999999996</v>
      </c>
      <c r="E64" s="18">
        <f t="shared" si="88"/>
        <v>0.44999999999999996</v>
      </c>
      <c r="F64" s="18">
        <f t="shared" si="88"/>
        <v>0.44999999999999996</v>
      </c>
      <c r="G64" s="18">
        <f t="shared" si="88"/>
        <v>0.44999999999999996</v>
      </c>
      <c r="H64" s="18">
        <f t="shared" si="88"/>
        <v>0.44999999999999996</v>
      </c>
    </row>
    <row r="65" spans="1:8" x14ac:dyDescent="0.15">
      <c r="A65" s="66" t="s">
        <v>65</v>
      </c>
      <c r="C65" s="18">
        <f>C16/B16-1</f>
        <v>8.9395461842087132E-2</v>
      </c>
      <c r="D65" s="18">
        <f t="shared" ref="D65:H65" si="89">D16/C16-1</f>
        <v>5.0000000000000044E-2</v>
      </c>
      <c r="E65" s="18">
        <f t="shared" si="89"/>
        <v>5.0000000000000044E-2</v>
      </c>
      <c r="F65" s="18">
        <f t="shared" si="89"/>
        <v>5.0000000000000044E-2</v>
      </c>
      <c r="G65" s="18">
        <f t="shared" si="89"/>
        <v>5.0000000000000044E-2</v>
      </c>
      <c r="H65" s="18">
        <f t="shared" si="89"/>
        <v>5.0000000000000044E-2</v>
      </c>
    </row>
    <row r="66" spans="1:8" s="83" customFormat="1" x14ac:dyDescent="0.15">
      <c r="A66" s="82"/>
      <c r="D66" s="83">
        <v>7250</v>
      </c>
      <c r="H66" s="83" t="s">
        <v>87</v>
      </c>
    </row>
    <row r="67" spans="1:8" s="15" customFormat="1" x14ac:dyDescent="0.15">
      <c r="A67" s="62" t="s">
        <v>66</v>
      </c>
      <c r="B67" s="15">
        <v>2620.0590000000002</v>
      </c>
      <c r="C67" s="15">
        <v>4637.22</v>
      </c>
      <c r="D67" s="15">
        <f>SUM(Reports!J61:M61)</f>
        <v>7320.8510000000006</v>
      </c>
      <c r="E67" s="15">
        <f>D67*1.5</f>
        <v>10981.2765</v>
      </c>
      <c r="F67" s="15">
        <f>E67*1.45</f>
        <v>15922.850924999999</v>
      </c>
      <c r="G67" s="15">
        <f>F67*1.4</f>
        <v>22291.991294999996</v>
      </c>
      <c r="H67" s="15">
        <f>G67*1.35</f>
        <v>30094.188248249997</v>
      </c>
    </row>
    <row r="68" spans="1:8" s="18" customFormat="1" x14ac:dyDescent="0.15">
      <c r="A68" s="72" t="s">
        <v>67</v>
      </c>
      <c r="C68" s="18">
        <f>C67/B67-1</f>
        <v>0.76989144137593835</v>
      </c>
      <c r="D68" s="18">
        <f>D67/C67-1</f>
        <v>0.57871548039558185</v>
      </c>
      <c r="E68" s="18">
        <f t="shared" ref="E68:H68" si="90">E67/D67-1</f>
        <v>0.49999999999999978</v>
      </c>
      <c r="F68" s="18">
        <f t="shared" si="90"/>
        <v>0.44999999999999996</v>
      </c>
      <c r="G68" s="18">
        <f t="shared" si="90"/>
        <v>0.39999999999999991</v>
      </c>
      <c r="H68" s="18">
        <f t="shared" si="90"/>
        <v>0.35000000000000009</v>
      </c>
    </row>
    <row r="69" spans="1:8" x14ac:dyDescent="0.15">
      <c r="A69" s="66"/>
    </row>
    <row r="70" spans="1:8" s="18" customFormat="1" x14ac:dyDescent="0.15">
      <c r="A70" s="72" t="s">
        <v>68</v>
      </c>
      <c r="B70" s="18">
        <f>B18/B67</f>
        <v>0.10090116291274356</v>
      </c>
      <c r="C70" s="18">
        <f>C18/C67</f>
        <v>0.10987790098377904</v>
      </c>
      <c r="D70" s="18">
        <f>D18/D67</f>
        <v>0.10596532834775628</v>
      </c>
      <c r="E70" s="18">
        <f>E18/E67</f>
        <v>0.10755480827297265</v>
      </c>
      <c r="F70" s="18">
        <f t="shared" ref="F70:H70" si="91">F18/F67</f>
        <v>0.11293254868662127</v>
      </c>
      <c r="G70" s="18">
        <f t="shared" si="91"/>
        <v>0.12281414669670064</v>
      </c>
      <c r="H70" s="18">
        <f t="shared" si="91"/>
        <v>0.13850706544127905</v>
      </c>
    </row>
  </sheetData>
  <hyperlinks>
    <hyperlink ref="A1" r:id="rId1" xr:uid="{00000000-0004-0000-0000-000000000000}"/>
    <hyperlink ref="L4" r:id="rId2" xr:uid="{CBCA994A-BC74-CB48-8009-AD2DE8254A02}"/>
    <hyperlink ref="A4" r:id="rId3" xr:uid="{7B50C906-7A52-D74B-9F00-5A27BBA2C66B}"/>
    <hyperlink ref="A7" r:id="rId4" xr:uid="{529FA410-FA0A-144A-9AD8-38112F91A9FA}"/>
  </hyperlinks>
  <pageMargins left="0.7" right="0.7" top="0.75" bottom="0.75" header="0.3" footer="0.3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64"/>
  <sheetViews>
    <sheetView zoomScale="125" zoomScaleNormal="12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G40" sqref="G40"/>
    </sheetView>
  </sheetViews>
  <sheetFormatPr baseColWidth="10" defaultRowHeight="13" x14ac:dyDescent="0.15"/>
  <cols>
    <col min="1" max="1" width="19.83203125" style="66" bestFit="1" customWidth="1"/>
    <col min="2" max="2" width="10.83203125" style="20"/>
    <col min="3" max="5" width="10.83203125" style="19"/>
    <col min="6" max="6" width="10.83203125" style="20"/>
    <col min="7" max="9" width="10.83203125" style="19"/>
    <col min="10" max="10" width="10.83203125" style="20"/>
    <col min="11" max="13" width="10.83203125" style="19"/>
    <col min="14" max="16384" width="10.83203125" style="5"/>
  </cols>
  <sheetData>
    <row r="1" spans="1:13" s="19" customFormat="1" x14ac:dyDescent="0.15">
      <c r="A1" s="71" t="s">
        <v>29</v>
      </c>
      <c r="B1" s="21" t="s">
        <v>36</v>
      </c>
      <c r="C1" s="22" t="s">
        <v>37</v>
      </c>
      <c r="D1" s="22" t="s">
        <v>38</v>
      </c>
      <c r="E1" s="22" t="s">
        <v>39</v>
      </c>
      <c r="F1" s="21" t="s">
        <v>53</v>
      </c>
      <c r="G1" s="22" t="s">
        <v>58</v>
      </c>
      <c r="H1" s="22" t="s">
        <v>59</v>
      </c>
      <c r="I1" s="22" t="s">
        <v>54</v>
      </c>
      <c r="J1" s="20" t="s">
        <v>61</v>
      </c>
      <c r="K1" s="19" t="s">
        <v>62</v>
      </c>
      <c r="L1" s="19" t="s">
        <v>63</v>
      </c>
      <c r="M1" s="19" t="s">
        <v>64</v>
      </c>
    </row>
    <row r="2" spans="1:13" s="19" customFormat="1" x14ac:dyDescent="0.15">
      <c r="A2" s="61"/>
      <c r="B2" s="55">
        <v>43373</v>
      </c>
      <c r="C2" s="54">
        <v>43465</v>
      </c>
      <c r="D2" s="54">
        <v>43555</v>
      </c>
      <c r="E2" s="54">
        <v>43646</v>
      </c>
      <c r="F2" s="55">
        <v>43738</v>
      </c>
      <c r="G2" s="54">
        <v>43830</v>
      </c>
      <c r="H2" s="54">
        <v>43921</v>
      </c>
      <c r="I2" s="54">
        <v>44012</v>
      </c>
      <c r="J2" s="55">
        <v>44104</v>
      </c>
      <c r="K2" s="54">
        <v>44196</v>
      </c>
      <c r="L2" s="54"/>
      <c r="M2" s="54"/>
    </row>
    <row r="3" spans="1:13" s="7" customFormat="1" x14ac:dyDescent="0.15">
      <c r="A3" s="62" t="s">
        <v>71</v>
      </c>
      <c r="B3" s="21">
        <v>23.266999999999999</v>
      </c>
      <c r="C3" s="22">
        <v>39.856999999999999</v>
      </c>
      <c r="D3" s="22">
        <v>36.256</v>
      </c>
      <c r="E3" s="22">
        <v>32.982999999999997</v>
      </c>
      <c r="F3" s="21">
        <v>36.389000000000003</v>
      </c>
      <c r="G3" s="22">
        <v>67.763999999999996</v>
      </c>
      <c r="H3" s="22">
        <v>67.349999999999994</v>
      </c>
      <c r="I3" s="22">
        <v>85.248999999999995</v>
      </c>
      <c r="J3" s="21">
        <v>93.265000000000001</v>
      </c>
      <c r="K3" s="22">
        <v>99.63</v>
      </c>
      <c r="L3" s="22"/>
      <c r="M3" s="22"/>
    </row>
    <row r="4" spans="1:13" s="7" customFormat="1" x14ac:dyDescent="0.15">
      <c r="A4" s="62" t="s">
        <v>72</v>
      </c>
      <c r="B4" s="21">
        <v>1.454</v>
      </c>
      <c r="C4" s="22">
        <v>1.5960000000000001</v>
      </c>
      <c r="D4" s="22">
        <v>1.9430000000000001</v>
      </c>
      <c r="E4" s="22">
        <v>2.9180000000000001</v>
      </c>
      <c r="F4" s="21">
        <v>3.601</v>
      </c>
      <c r="G4" s="22">
        <v>7.11</v>
      </c>
      <c r="H4" s="22">
        <v>5.93</v>
      </c>
      <c r="I4" s="22">
        <v>2.6989999999999998</v>
      </c>
      <c r="J4" s="21">
        <v>5.9580000000000002</v>
      </c>
      <c r="K4" s="22">
        <v>10.82</v>
      </c>
      <c r="L4" s="22"/>
      <c r="M4" s="22"/>
    </row>
    <row r="5" spans="1:13" s="7" customFormat="1" x14ac:dyDescent="0.15">
      <c r="A5" s="62" t="s">
        <v>73</v>
      </c>
      <c r="B5" s="21">
        <v>24.428000000000001</v>
      </c>
      <c r="C5" s="22">
        <v>27.41</v>
      </c>
      <c r="D5" s="22">
        <v>31.966000000000001</v>
      </c>
      <c r="E5" s="22">
        <v>35.6</v>
      </c>
      <c r="F5" s="21">
        <v>40.167999999999999</v>
      </c>
      <c r="G5" s="22">
        <v>45.073</v>
      </c>
      <c r="H5" s="22">
        <v>52.372</v>
      </c>
      <c r="I5" s="22">
        <v>49.116999999999997</v>
      </c>
      <c r="J5" s="21">
        <v>54.237000000000002</v>
      </c>
      <c r="K5" s="22">
        <v>73.856999999999999</v>
      </c>
      <c r="L5" s="22"/>
      <c r="M5" s="22"/>
    </row>
    <row r="6" spans="1:13" s="7" customFormat="1" x14ac:dyDescent="0.15">
      <c r="A6" s="62" t="s">
        <v>74</v>
      </c>
      <c r="B6" s="21">
        <f>2.094+0.74</f>
        <v>2.8339999999999996</v>
      </c>
      <c r="C6" s="22">
        <f>-0.191+0.98</f>
        <v>0.78899999999999992</v>
      </c>
      <c r="D6" s="22">
        <f>1.493+1.468</f>
        <v>2.9610000000000003</v>
      </c>
      <c r="E6" s="22">
        <f>-3.836+1.941</f>
        <v>-1.8949999999999998</v>
      </c>
      <c r="F6" s="21">
        <f>5.725+2.064</f>
        <v>7.7889999999999997</v>
      </c>
      <c r="G6" s="22">
        <f>4.738+5.291</f>
        <v>10.029</v>
      </c>
      <c r="H6" s="22">
        <f>9.866+2.755</f>
        <v>12.620999999999999</v>
      </c>
      <c r="I6" s="22">
        <f>11.578+4.689</f>
        <v>16.266999999999999</v>
      </c>
      <c r="J6" s="21">
        <f>16.434+4.084</f>
        <v>20.518000000000001</v>
      </c>
      <c r="K6" s="22">
        <f>14.56+5.174</f>
        <v>19.734000000000002</v>
      </c>
      <c r="L6" s="22"/>
      <c r="M6" s="22"/>
    </row>
    <row r="7" spans="1:13" s="7" customFormat="1" x14ac:dyDescent="0.15">
      <c r="A7" s="62"/>
      <c r="B7" s="21"/>
      <c r="C7" s="22"/>
      <c r="D7" s="22"/>
      <c r="E7" s="22"/>
      <c r="F7" s="21"/>
      <c r="G7" s="22"/>
      <c r="H7" s="22"/>
      <c r="I7" s="22"/>
      <c r="J7" s="21"/>
      <c r="K7" s="22"/>
      <c r="L7" s="22"/>
      <c r="M7" s="22"/>
    </row>
    <row r="8" spans="1:13" s="79" customFormat="1" x14ac:dyDescent="0.15">
      <c r="A8" s="76" t="s">
        <v>79</v>
      </c>
      <c r="B8" s="78"/>
      <c r="C8" s="77"/>
      <c r="D8" s="77"/>
      <c r="E8" s="77">
        <v>2.0449999999999999</v>
      </c>
      <c r="F8" s="78">
        <v>2.383</v>
      </c>
      <c r="G8" s="77">
        <v>3</v>
      </c>
      <c r="I8" s="77">
        <v>3.6179999999999999</v>
      </c>
      <c r="J8" s="78">
        <v>3.8820000000000001</v>
      </c>
      <c r="K8" s="77">
        <v>4.5</v>
      </c>
      <c r="L8" s="77"/>
      <c r="M8" s="77"/>
    </row>
    <row r="9" spans="1:13" s="7" customFormat="1" x14ac:dyDescent="0.15">
      <c r="A9" s="62" t="s">
        <v>80</v>
      </c>
      <c r="B9" s="21"/>
      <c r="C9" s="22"/>
      <c r="D9" s="22"/>
      <c r="E9" s="25">
        <f>SUM(E3:E6)/E8</f>
        <v>34.037163814180936</v>
      </c>
      <c r="F9" s="26">
        <f>SUM(F3:F6)/F8</f>
        <v>36.906000839278221</v>
      </c>
      <c r="G9" s="25">
        <f>SUM(G3:G6)/G8</f>
        <v>43.325333333333333</v>
      </c>
      <c r="I9" s="25">
        <f>SUM(I3:I6)/I8</f>
        <v>42.380320619126586</v>
      </c>
      <c r="J9" s="26">
        <f>SUM(J3:J6)/J8</f>
        <v>44.816589386913961</v>
      </c>
      <c r="K9" s="25">
        <f>SUM(K3:K6)/K8</f>
        <v>45.342444444444446</v>
      </c>
      <c r="L9" s="22"/>
      <c r="M9" s="22"/>
    </row>
    <row r="10" spans="1:13" s="22" customFormat="1" x14ac:dyDescent="0.15">
      <c r="A10" s="62"/>
      <c r="B10" s="21"/>
      <c r="F10" s="21"/>
      <c r="J10" s="21"/>
      <c r="L10" s="22">
        <v>185</v>
      </c>
      <c r="M10" s="22">
        <f>760-L11-K11-J11</f>
        <v>196.98099999999999</v>
      </c>
    </row>
    <row r="11" spans="1:13" s="16" customFormat="1" x14ac:dyDescent="0.15">
      <c r="A11" s="63" t="s">
        <v>0</v>
      </c>
      <c r="B11" s="24">
        <f>SUM(B3:B6)</f>
        <v>51.983000000000004</v>
      </c>
      <c r="C11" s="23">
        <f>SUM(C3:C6)</f>
        <v>69.652000000000001</v>
      </c>
      <c r="D11" s="23">
        <f>SUM(D3:D6)</f>
        <v>73.125999999999991</v>
      </c>
      <c r="E11" s="23">
        <f>E8*E9</f>
        <v>69.606000000000009</v>
      </c>
      <c r="F11" s="24">
        <f>F9*F8</f>
        <v>87.947000000000003</v>
      </c>
      <c r="G11" s="23">
        <f>G9*G8</f>
        <v>129.976</v>
      </c>
      <c r="H11" s="23">
        <f>SUM(H3:H6)</f>
        <v>138.273</v>
      </c>
      <c r="I11" s="23">
        <f>I8*I9</f>
        <v>153.33199999999999</v>
      </c>
      <c r="J11" s="24">
        <f>J9*J8</f>
        <v>173.97800000000001</v>
      </c>
      <c r="K11" s="23">
        <f>K9*K8</f>
        <v>204.041</v>
      </c>
      <c r="L11" s="44">
        <v>185</v>
      </c>
      <c r="M11" s="16">
        <v>197</v>
      </c>
    </row>
    <row r="12" spans="1:13" s="7" customFormat="1" x14ac:dyDescent="0.15">
      <c r="A12" s="62" t="s">
        <v>1</v>
      </c>
      <c r="B12" s="21">
        <f>11.975+19.805+4.766+6.758</f>
        <v>43.304000000000002</v>
      </c>
      <c r="C12" s="22">
        <f>22.646+24.872+6.127+8.778</f>
        <v>62.423000000000002</v>
      </c>
      <c r="D12" s="22">
        <f>20.576+16.508+7.342+8.315</f>
        <v>52.741</v>
      </c>
      <c r="E12" s="22">
        <f>18.186+16.84+7.66+8.818</f>
        <v>51.503999999999991</v>
      </c>
      <c r="F12" s="21">
        <f>19.961+24.844+8.128+9.695</f>
        <v>62.628</v>
      </c>
      <c r="G12" s="22">
        <f>42.661+30.178+8.167+11.652</f>
        <v>92.658000000000001</v>
      </c>
      <c r="H12" s="48">
        <f>43.519+82.216+8.204+13.678</f>
        <v>147.61699999999999</v>
      </c>
      <c r="I12" s="48">
        <f>55.311-32.171+7.817+14.806</f>
        <v>45.762999999999998</v>
      </c>
      <c r="J12" s="21">
        <f>65.868+40.267+10.352+13.498</f>
        <v>129.98499999999999</v>
      </c>
      <c r="K12" s="22">
        <f>67.768+17.468+12.06+16.802</f>
        <v>114.09800000000001</v>
      </c>
      <c r="L12" s="22">
        <f>L11-L13</f>
        <v>103.45043398140571</v>
      </c>
      <c r="M12" s="22">
        <f>M10-M13</f>
        <v>110.15010776265555</v>
      </c>
    </row>
    <row r="13" spans="1:13" s="7" customFormat="1" x14ac:dyDescent="0.15">
      <c r="A13" s="62" t="s">
        <v>2</v>
      </c>
      <c r="B13" s="26">
        <f>B11-B12</f>
        <v>8.679000000000002</v>
      </c>
      <c r="C13" s="25">
        <f>C11-C12</f>
        <v>7.2289999999999992</v>
      </c>
      <c r="D13" s="25">
        <f t="shared" ref="D13:F13" si="0">D11-D12</f>
        <v>20.384999999999991</v>
      </c>
      <c r="E13" s="25">
        <f t="shared" si="0"/>
        <v>18.102000000000018</v>
      </c>
      <c r="F13" s="26">
        <f t="shared" si="0"/>
        <v>25.319000000000003</v>
      </c>
      <c r="G13" s="25">
        <f t="shared" ref="G13:K13" si="1">G11-G12</f>
        <v>37.317999999999998</v>
      </c>
      <c r="H13" s="25">
        <f t="shared" si="1"/>
        <v>-9.3439999999999941</v>
      </c>
      <c r="I13" s="25">
        <f t="shared" si="1"/>
        <v>107.56899999999999</v>
      </c>
      <c r="J13" s="26">
        <f t="shared" ref="J13" si="2">J11-J12</f>
        <v>43.993000000000023</v>
      </c>
      <c r="K13" s="25">
        <f t="shared" si="1"/>
        <v>89.942999999999984</v>
      </c>
      <c r="L13" s="22">
        <f>L11*K26</f>
        <v>81.549566018594291</v>
      </c>
      <c r="M13" s="22">
        <f>M10*L26</f>
        <v>86.830892237344443</v>
      </c>
    </row>
    <row r="14" spans="1:13" s="7" customFormat="1" x14ac:dyDescent="0.15">
      <c r="A14" s="62" t="s">
        <v>3</v>
      </c>
      <c r="B14" s="21">
        <v>16</v>
      </c>
      <c r="C14" s="22">
        <v>21</v>
      </c>
      <c r="D14" s="22">
        <v>18</v>
      </c>
      <c r="E14" s="22">
        <v>21</v>
      </c>
      <c r="F14" s="21">
        <v>25</v>
      </c>
      <c r="G14" s="22">
        <v>32</v>
      </c>
      <c r="H14" s="48">
        <v>34</v>
      </c>
      <c r="I14" s="48">
        <v>32</v>
      </c>
      <c r="J14" s="21">
        <v>34</v>
      </c>
      <c r="K14" s="22">
        <v>42</v>
      </c>
      <c r="L14" s="22">
        <f>H14*1.3</f>
        <v>44.2</v>
      </c>
      <c r="M14" s="22">
        <f>I14*1.3</f>
        <v>41.6</v>
      </c>
    </row>
    <row r="15" spans="1:13" s="7" customFormat="1" x14ac:dyDescent="0.15">
      <c r="A15" s="62" t="s">
        <v>4</v>
      </c>
      <c r="B15" s="21">
        <v>4</v>
      </c>
      <c r="C15" s="22">
        <v>3</v>
      </c>
      <c r="D15" s="22">
        <v>4</v>
      </c>
      <c r="E15" s="22">
        <v>5</v>
      </c>
      <c r="F15" s="21">
        <v>5</v>
      </c>
      <c r="G15" s="22">
        <v>8</v>
      </c>
      <c r="H15" s="48">
        <v>7</v>
      </c>
      <c r="I15" s="48">
        <v>5</v>
      </c>
      <c r="J15" s="21">
        <v>23</v>
      </c>
      <c r="K15" s="22">
        <v>39</v>
      </c>
      <c r="L15" s="22">
        <f>H15*4</f>
        <v>28</v>
      </c>
      <c r="M15" s="22">
        <f>I15*3</f>
        <v>15</v>
      </c>
    </row>
    <row r="16" spans="1:13" s="7" customFormat="1" x14ac:dyDescent="0.15">
      <c r="A16" s="62" t="s">
        <v>5</v>
      </c>
      <c r="B16" s="21">
        <v>16</v>
      </c>
      <c r="C16" s="22">
        <v>22</v>
      </c>
      <c r="D16" s="22">
        <v>19</v>
      </c>
      <c r="E16" s="22">
        <v>32</v>
      </c>
      <c r="F16" s="21">
        <v>28</v>
      </c>
      <c r="G16" s="22">
        <v>31</v>
      </c>
      <c r="H16" s="48">
        <v>31</v>
      </c>
      <c r="I16" s="48">
        <v>31</v>
      </c>
      <c r="J16" s="21">
        <v>32</v>
      </c>
      <c r="K16" s="22">
        <v>41</v>
      </c>
      <c r="L16" s="22">
        <f>H16*1.25</f>
        <v>38.75</v>
      </c>
      <c r="M16" s="22">
        <f t="shared" ref="M16" si="3">I16*1.25</f>
        <v>38.75</v>
      </c>
    </row>
    <row r="17" spans="1:13" s="7" customFormat="1" x14ac:dyDescent="0.15">
      <c r="A17" s="62" t="s">
        <v>6</v>
      </c>
      <c r="B17" s="26">
        <f t="shared" ref="B17" si="4">SUM(B14:B16)</f>
        <v>36</v>
      </c>
      <c r="C17" s="25">
        <f t="shared" ref="C17:D17" si="5">SUM(C14:C16)</f>
        <v>46</v>
      </c>
      <c r="D17" s="25">
        <f t="shared" si="5"/>
        <v>41</v>
      </c>
      <c r="E17" s="25">
        <f t="shared" ref="E17:G17" si="6">SUM(E14:E16)</f>
        <v>58</v>
      </c>
      <c r="F17" s="26">
        <f t="shared" si="6"/>
        <v>58</v>
      </c>
      <c r="G17" s="25">
        <f t="shared" si="6"/>
        <v>71</v>
      </c>
      <c r="H17" s="25">
        <f t="shared" ref="H17:I17" si="7">SUM(H14:H16)</f>
        <v>72</v>
      </c>
      <c r="I17" s="25">
        <f t="shared" si="7"/>
        <v>68</v>
      </c>
      <c r="J17" s="26">
        <f t="shared" ref="J17:K17" si="8">SUM(J14:J16)</f>
        <v>89</v>
      </c>
      <c r="K17" s="25">
        <f t="shared" si="8"/>
        <v>122</v>
      </c>
      <c r="L17" s="25">
        <f t="shared" ref="L17:M17" si="9">SUM(L14:L16)</f>
        <v>110.95</v>
      </c>
      <c r="M17" s="25">
        <f t="shared" si="9"/>
        <v>95.35</v>
      </c>
    </row>
    <row r="18" spans="1:13" s="7" customFormat="1" x14ac:dyDescent="0.15">
      <c r="A18" s="62" t="s">
        <v>7</v>
      </c>
      <c r="B18" s="26">
        <f t="shared" ref="B18:D18" si="10">B13-B17</f>
        <v>-27.320999999999998</v>
      </c>
      <c r="C18" s="25">
        <f t="shared" si="10"/>
        <v>-38.771000000000001</v>
      </c>
      <c r="D18" s="25">
        <f t="shared" si="10"/>
        <v>-20.615000000000009</v>
      </c>
      <c r="E18" s="25">
        <f t="shared" ref="E18:G18" si="11">E13-E17</f>
        <v>-39.897999999999982</v>
      </c>
      <c r="F18" s="26">
        <f t="shared" si="11"/>
        <v>-32.680999999999997</v>
      </c>
      <c r="G18" s="25">
        <f t="shared" si="11"/>
        <v>-33.682000000000002</v>
      </c>
      <c r="H18" s="25">
        <f t="shared" ref="H18:I18" si="12">H13-H17</f>
        <v>-81.343999999999994</v>
      </c>
      <c r="I18" s="25">
        <f t="shared" si="12"/>
        <v>39.568999999999988</v>
      </c>
      <c r="J18" s="26">
        <f t="shared" ref="J18:K18" si="13">J13-J17</f>
        <v>-45.006999999999977</v>
      </c>
      <c r="K18" s="25">
        <f t="shared" si="13"/>
        <v>-32.057000000000016</v>
      </c>
      <c r="L18" s="25">
        <f t="shared" ref="L18:M18" si="14">L13-L17</f>
        <v>-29.400433981405712</v>
      </c>
      <c r="M18" s="25">
        <f t="shared" si="14"/>
        <v>-8.5191077626555511</v>
      </c>
    </row>
    <row r="19" spans="1:13" s="7" customFormat="1" x14ac:dyDescent="0.15">
      <c r="A19" s="62" t="s">
        <v>8</v>
      </c>
      <c r="B19" s="21">
        <v>1</v>
      </c>
      <c r="C19" s="22">
        <v>1</v>
      </c>
      <c r="D19" s="22">
        <v>1</v>
      </c>
      <c r="E19" s="22">
        <v>4</v>
      </c>
      <c r="F19" s="21">
        <v>2</v>
      </c>
      <c r="G19" s="22">
        <v>2</v>
      </c>
      <c r="H19" s="48">
        <v>-4</v>
      </c>
      <c r="I19" s="48">
        <v>-4</v>
      </c>
      <c r="J19" s="21">
        <v>30</v>
      </c>
      <c r="K19" s="22">
        <f>0+2</f>
        <v>2</v>
      </c>
      <c r="L19" s="22">
        <f>K19</f>
        <v>2</v>
      </c>
      <c r="M19" s="22">
        <f>L19</f>
        <v>2</v>
      </c>
    </row>
    <row r="20" spans="1:13" s="7" customFormat="1" x14ac:dyDescent="0.15">
      <c r="A20" s="62" t="s">
        <v>9</v>
      </c>
      <c r="B20" s="26">
        <f t="shared" ref="B20" si="15">B18+B19</f>
        <v>-26.320999999999998</v>
      </c>
      <c r="C20" s="25">
        <f t="shared" ref="C20" si="16">C18+C19</f>
        <v>-37.771000000000001</v>
      </c>
      <c r="D20" s="25">
        <f t="shared" ref="D20:H20" si="17">D18+D19</f>
        <v>-19.615000000000009</v>
      </c>
      <c r="E20" s="25">
        <v>4</v>
      </c>
      <c r="F20" s="26">
        <f t="shared" si="17"/>
        <v>-30.680999999999997</v>
      </c>
      <c r="G20" s="25">
        <f t="shared" si="17"/>
        <v>-31.682000000000002</v>
      </c>
      <c r="H20" s="25">
        <f t="shared" si="17"/>
        <v>-85.343999999999994</v>
      </c>
      <c r="I20" s="25">
        <f t="shared" ref="I20" si="18">I18+I19</f>
        <v>35.568999999999988</v>
      </c>
      <c r="J20" s="26">
        <f t="shared" ref="J20:M20" si="19">J18+J19</f>
        <v>-15.006999999999977</v>
      </c>
      <c r="K20" s="25">
        <f t="shared" si="19"/>
        <v>-30.057000000000016</v>
      </c>
      <c r="L20" s="25">
        <f t="shared" si="19"/>
        <v>-27.400433981405712</v>
      </c>
      <c r="M20" s="25">
        <f t="shared" si="19"/>
        <v>-6.5191077626555511</v>
      </c>
    </row>
    <row r="21" spans="1:13" s="7" customFormat="1" x14ac:dyDescent="0.15">
      <c r="A21" s="62" t="s">
        <v>10</v>
      </c>
      <c r="B21" s="21">
        <v>0</v>
      </c>
      <c r="C21" s="22">
        <v>0</v>
      </c>
      <c r="D21" s="22">
        <v>0</v>
      </c>
      <c r="E21" s="22">
        <v>0</v>
      </c>
      <c r="F21" s="21">
        <v>0</v>
      </c>
      <c r="G21" s="22">
        <v>0</v>
      </c>
      <c r="H21" s="22">
        <v>0</v>
      </c>
      <c r="I21" s="22">
        <v>0</v>
      </c>
      <c r="J21" s="21">
        <v>0</v>
      </c>
      <c r="K21" s="22">
        <v>0</v>
      </c>
      <c r="L21" s="22">
        <f>L20*K28</f>
        <v>0</v>
      </c>
      <c r="M21" s="22">
        <f>M20*L28</f>
        <v>0</v>
      </c>
    </row>
    <row r="22" spans="1:13" s="16" customFormat="1" x14ac:dyDescent="0.15">
      <c r="A22" s="63" t="s">
        <v>11</v>
      </c>
      <c r="B22" s="24">
        <f t="shared" ref="B22:K22" si="20">B20-B21</f>
        <v>-26.320999999999998</v>
      </c>
      <c r="C22" s="23">
        <f t="shared" si="20"/>
        <v>-37.771000000000001</v>
      </c>
      <c r="D22" s="23">
        <f t="shared" si="20"/>
        <v>-19.615000000000009</v>
      </c>
      <c r="E22" s="23">
        <f t="shared" si="20"/>
        <v>4</v>
      </c>
      <c r="F22" s="24">
        <f t="shared" si="20"/>
        <v>-30.680999999999997</v>
      </c>
      <c r="G22" s="23">
        <f t="shared" si="20"/>
        <v>-31.682000000000002</v>
      </c>
      <c r="H22" s="23">
        <f t="shared" si="20"/>
        <v>-85.343999999999994</v>
      </c>
      <c r="I22" s="23">
        <f t="shared" si="20"/>
        <v>35.568999999999988</v>
      </c>
      <c r="J22" s="24">
        <f t="shared" si="20"/>
        <v>-15.006999999999977</v>
      </c>
      <c r="K22" s="23">
        <f t="shared" si="20"/>
        <v>-30.057000000000016</v>
      </c>
      <c r="L22" s="23">
        <f t="shared" ref="L22:M22" si="21">L20-L21</f>
        <v>-27.400433981405712</v>
      </c>
      <c r="M22" s="23">
        <f t="shared" si="21"/>
        <v>-6.5191077626555511</v>
      </c>
    </row>
    <row r="23" spans="1:13" s="3" customFormat="1" x14ac:dyDescent="0.15">
      <c r="A23" s="64" t="s">
        <v>12</v>
      </c>
      <c r="B23" s="57">
        <f t="shared" ref="B23:G23" si="22">IFERROR(B22/B24,0)</f>
        <v>0</v>
      </c>
      <c r="C23" s="56">
        <f t="shared" si="22"/>
        <v>0</v>
      </c>
      <c r="D23" s="56">
        <f t="shared" si="22"/>
        <v>0</v>
      </c>
      <c r="E23" s="56">
        <f t="shared" si="22"/>
        <v>8.4485632880186193E-2</v>
      </c>
      <c r="F23" s="57">
        <f t="shared" si="22"/>
        <v>0</v>
      </c>
      <c r="G23" s="56">
        <f t="shared" si="22"/>
        <v>-0.65894525041011454</v>
      </c>
      <c r="H23" s="56">
        <f t="shared" ref="H23:I23" si="23">IFERROR(H22/H24,0)</f>
        <v>0</v>
      </c>
      <c r="I23" s="56">
        <f t="shared" si="23"/>
        <v>0.74323940295114221</v>
      </c>
      <c r="J23" s="57">
        <f t="shared" ref="J23:K23" si="24">IFERROR(J22/J24,0)</f>
        <v>0</v>
      </c>
      <c r="K23" s="56">
        <f t="shared" si="24"/>
        <v>-0.42452477821768858</v>
      </c>
      <c r="L23" s="56">
        <f t="shared" ref="L23:M23" si="25">IFERROR(L22/L24,0)</f>
        <v>0</v>
      </c>
      <c r="M23" s="56">
        <f t="shared" si="25"/>
        <v>0</v>
      </c>
    </row>
    <row r="24" spans="1:13" s="7" customFormat="1" x14ac:dyDescent="0.15">
      <c r="A24" s="62" t="s">
        <v>13</v>
      </c>
      <c r="B24" s="21"/>
      <c r="C24" s="22"/>
      <c r="D24" s="22"/>
      <c r="E24" s="22">
        <v>47.345328000000002</v>
      </c>
      <c r="F24" s="21"/>
      <c r="G24" s="22">
        <v>48.079867</v>
      </c>
      <c r="H24" s="48"/>
      <c r="I24" s="48">
        <v>47.856720000000003</v>
      </c>
      <c r="J24" s="21"/>
      <c r="K24" s="22">
        <v>70.801520999999994</v>
      </c>
      <c r="L24" s="22"/>
      <c r="M24" s="22"/>
    </row>
    <row r="25" spans="1:13" s="39" customFormat="1" x14ac:dyDescent="0.15">
      <c r="A25" s="65"/>
      <c r="B25" s="53"/>
      <c r="E25" s="38"/>
      <c r="F25" s="53"/>
      <c r="J25" s="53"/>
      <c r="K25" s="22"/>
      <c r="L25" s="22"/>
      <c r="M25" s="22"/>
    </row>
    <row r="26" spans="1:13" x14ac:dyDescent="0.15">
      <c r="A26" s="66" t="s">
        <v>15</v>
      </c>
      <c r="B26" s="33">
        <f t="shared" ref="B26:J26" si="26">IFERROR(B13/B11,0)</f>
        <v>0.16695842871708061</v>
      </c>
      <c r="C26" s="32">
        <f t="shared" si="26"/>
        <v>0.10378740021822774</v>
      </c>
      <c r="D26" s="32">
        <f t="shared" si="26"/>
        <v>0.27876541859256615</v>
      </c>
      <c r="E26" s="32">
        <f t="shared" si="26"/>
        <v>0.26006378760451709</v>
      </c>
      <c r="F26" s="33">
        <f t="shared" si="26"/>
        <v>0.28788929696294363</v>
      </c>
      <c r="G26" s="32">
        <f t="shared" si="26"/>
        <v>0.28711454422354893</v>
      </c>
      <c r="H26" s="32">
        <f t="shared" si="26"/>
        <v>-6.7576461058919637E-2</v>
      </c>
      <c r="I26" s="32">
        <f t="shared" si="26"/>
        <v>0.70154305689614682</v>
      </c>
      <c r="J26" s="33">
        <f t="shared" si="26"/>
        <v>0.2528653048086541</v>
      </c>
      <c r="K26" s="32">
        <f t="shared" ref="K26:L26" si="27">IFERROR(K13/K11,0)</f>
        <v>0.44080846496537451</v>
      </c>
      <c r="L26" s="32">
        <f t="shared" si="27"/>
        <v>0.44080846496537457</v>
      </c>
      <c r="M26" s="32">
        <f>IFERROR(M13/M10,0)</f>
        <v>0.44080846496537457</v>
      </c>
    </row>
    <row r="27" spans="1:13" x14ac:dyDescent="0.15">
      <c r="A27" s="66" t="s">
        <v>16</v>
      </c>
      <c r="B27" s="35">
        <f t="shared" ref="B27:J27" si="28">IFERROR(B18/B11,0)</f>
        <v>-0.52557566896870123</v>
      </c>
      <c r="C27" s="34">
        <f t="shared" si="28"/>
        <v>-0.55663871819904664</v>
      </c>
      <c r="D27" s="34">
        <f t="shared" si="28"/>
        <v>-0.28191067472581588</v>
      </c>
      <c r="E27" s="34">
        <f t="shared" si="28"/>
        <v>-0.57319771284084675</v>
      </c>
      <c r="F27" s="35">
        <f t="shared" si="28"/>
        <v>-0.37159880382503097</v>
      </c>
      <c r="G27" s="34">
        <f t="shared" si="28"/>
        <v>-0.25914014895057552</v>
      </c>
      <c r="H27" s="34">
        <f t="shared" si="28"/>
        <v>-0.5882854931910062</v>
      </c>
      <c r="I27" s="34">
        <f t="shared" si="28"/>
        <v>0.25806093966034482</v>
      </c>
      <c r="J27" s="35">
        <f t="shared" si="28"/>
        <v>-0.25869362792996803</v>
      </c>
      <c r="K27" s="34">
        <f t="shared" ref="K27:L27" si="29">IFERROR(K18/K11,0)</f>
        <v>-0.15711058071662076</v>
      </c>
      <c r="L27" s="34">
        <f t="shared" si="29"/>
        <v>-0.1589212647643552</v>
      </c>
      <c r="M27" s="34">
        <f>IFERROR(M18/M10,0)</f>
        <v>-4.3248373003769658E-2</v>
      </c>
    </row>
    <row r="28" spans="1:13" x14ac:dyDescent="0.15">
      <c r="A28" s="66" t="s">
        <v>17</v>
      </c>
      <c r="B28" s="35">
        <f t="shared" ref="B28:J28" si="30">IFERROR(B21/B20,0)</f>
        <v>0</v>
      </c>
      <c r="C28" s="34">
        <f t="shared" si="30"/>
        <v>0</v>
      </c>
      <c r="D28" s="34">
        <f t="shared" si="30"/>
        <v>0</v>
      </c>
      <c r="E28" s="34">
        <f t="shared" si="30"/>
        <v>0</v>
      </c>
      <c r="F28" s="35">
        <f t="shared" si="30"/>
        <v>0</v>
      </c>
      <c r="G28" s="34">
        <f t="shared" si="30"/>
        <v>0</v>
      </c>
      <c r="H28" s="34">
        <f t="shared" si="30"/>
        <v>0</v>
      </c>
      <c r="I28" s="34">
        <f t="shared" si="30"/>
        <v>0</v>
      </c>
      <c r="J28" s="35">
        <f t="shared" si="30"/>
        <v>0</v>
      </c>
      <c r="K28" s="34">
        <f t="shared" ref="K28:L28" si="31">IFERROR(K21/K20,0)</f>
        <v>0</v>
      </c>
      <c r="L28" s="34">
        <f t="shared" si="31"/>
        <v>0</v>
      </c>
      <c r="M28" s="34">
        <f t="shared" ref="M28" si="32">IFERROR(M21/M20,0)</f>
        <v>0</v>
      </c>
    </row>
    <row r="29" spans="1:13" s="39" customFormat="1" x14ac:dyDescent="0.15">
      <c r="A29" s="65"/>
      <c r="B29" s="53"/>
      <c r="E29" s="38"/>
      <c r="F29" s="53"/>
      <c r="J29" s="53"/>
      <c r="L29" s="22"/>
      <c r="M29" s="22"/>
    </row>
    <row r="30" spans="1:13" s="11" customFormat="1" x14ac:dyDescent="0.15">
      <c r="A30" s="67" t="s">
        <v>14</v>
      </c>
      <c r="B30" s="29"/>
      <c r="C30" s="28"/>
      <c r="D30" s="28"/>
      <c r="E30" s="28"/>
      <c r="F30" s="29">
        <f t="shared" ref="F30" si="33">IFERROR((F11/B11)-1,0)</f>
        <v>0.69184156358809612</v>
      </c>
      <c r="G30" s="28">
        <f t="shared" ref="G30:J30" si="34">IFERROR((G11/C11)-1,0)</f>
        <v>0.8660770688566013</v>
      </c>
      <c r="H30" s="28">
        <f t="shared" si="34"/>
        <v>0.89088696222957653</v>
      </c>
      <c r="I30" s="28">
        <f t="shared" si="34"/>
        <v>1.2028560756256641</v>
      </c>
      <c r="J30" s="29">
        <f t="shared" si="34"/>
        <v>0.97821415170500425</v>
      </c>
      <c r="K30" s="28">
        <f>IFERROR((K11/G11)-1,0)</f>
        <v>0.5698359697174864</v>
      </c>
      <c r="L30" s="28">
        <f>IFERROR((L11/H11)-1,0)</f>
        <v>0.33793292978383338</v>
      </c>
      <c r="M30" s="28">
        <f>IFERROR((M10/I11)-1,0)</f>
        <v>0.28466986669449312</v>
      </c>
    </row>
    <row r="31" spans="1:13" s="11" customFormat="1" x14ac:dyDescent="0.15">
      <c r="A31" s="66" t="s">
        <v>26</v>
      </c>
      <c r="B31" s="31"/>
      <c r="C31" s="30"/>
      <c r="D31" s="30"/>
      <c r="E31" s="30"/>
      <c r="F31" s="31">
        <f t="shared" ref="F31:K33" si="35">F14/B14-1</f>
        <v>0.5625</v>
      </c>
      <c r="G31" s="30">
        <f t="shared" si="35"/>
        <v>0.52380952380952372</v>
      </c>
      <c r="H31" s="30">
        <f t="shared" si="35"/>
        <v>0.88888888888888884</v>
      </c>
      <c r="I31" s="30">
        <f t="shared" si="35"/>
        <v>0.52380952380952372</v>
      </c>
      <c r="J31" s="31">
        <f t="shared" si="35"/>
        <v>0.3600000000000001</v>
      </c>
      <c r="K31" s="30">
        <f t="shared" si="35"/>
        <v>0.3125</v>
      </c>
      <c r="L31" s="30">
        <f t="shared" ref="L31:L34" si="36">L14/H14-1</f>
        <v>0.30000000000000004</v>
      </c>
      <c r="M31" s="30">
        <f t="shared" ref="M31:M34" si="37">M14/I14-1</f>
        <v>0.30000000000000004</v>
      </c>
    </row>
    <row r="32" spans="1:13" s="11" customFormat="1" x14ac:dyDescent="0.15">
      <c r="A32" s="66" t="s">
        <v>27</v>
      </c>
      <c r="B32" s="31"/>
      <c r="C32" s="30"/>
      <c r="D32" s="30"/>
      <c r="E32" s="30"/>
      <c r="F32" s="31">
        <f t="shared" si="35"/>
        <v>0.25</v>
      </c>
      <c r="G32" s="30">
        <f t="shared" si="35"/>
        <v>1.6666666666666665</v>
      </c>
      <c r="H32" s="30">
        <f t="shared" si="35"/>
        <v>0.75</v>
      </c>
      <c r="I32" s="30">
        <f t="shared" si="35"/>
        <v>0</v>
      </c>
      <c r="J32" s="31">
        <f t="shared" si="35"/>
        <v>3.5999999999999996</v>
      </c>
      <c r="K32" s="30">
        <f t="shared" si="35"/>
        <v>3.875</v>
      </c>
      <c r="L32" s="30">
        <f t="shared" si="36"/>
        <v>3</v>
      </c>
      <c r="M32" s="30">
        <f t="shared" si="37"/>
        <v>2</v>
      </c>
    </row>
    <row r="33" spans="1:13" s="11" customFormat="1" x14ac:dyDescent="0.15">
      <c r="A33" s="66" t="s">
        <v>28</v>
      </c>
      <c r="B33" s="31"/>
      <c r="C33" s="30"/>
      <c r="D33" s="30"/>
      <c r="E33" s="30"/>
      <c r="F33" s="31">
        <f t="shared" si="35"/>
        <v>0.75</v>
      </c>
      <c r="G33" s="30">
        <f t="shared" si="35"/>
        <v>0.40909090909090917</v>
      </c>
      <c r="H33" s="30">
        <f t="shared" si="35"/>
        <v>0.63157894736842102</v>
      </c>
      <c r="I33" s="30">
        <f t="shared" si="35"/>
        <v>-3.125E-2</v>
      </c>
      <c r="J33" s="31">
        <f t="shared" si="35"/>
        <v>0.14285714285714279</v>
      </c>
      <c r="K33" s="30">
        <f t="shared" si="35"/>
        <v>0.32258064516129026</v>
      </c>
      <c r="L33" s="30">
        <f t="shared" si="36"/>
        <v>0.25</v>
      </c>
      <c r="M33" s="30">
        <f t="shared" si="37"/>
        <v>0.25</v>
      </c>
    </row>
    <row r="34" spans="1:13" x14ac:dyDescent="0.15">
      <c r="A34" s="66" t="s">
        <v>52</v>
      </c>
      <c r="B34" s="33"/>
      <c r="C34" s="32"/>
      <c r="D34" s="32"/>
      <c r="E34" s="32"/>
      <c r="F34" s="33">
        <f t="shared" ref="F34:K34" si="38">F17/B17-1</f>
        <v>0.61111111111111116</v>
      </c>
      <c r="G34" s="32">
        <f t="shared" si="38"/>
        <v>0.54347826086956519</v>
      </c>
      <c r="H34" s="32">
        <f t="shared" si="38"/>
        <v>0.75609756097560976</v>
      </c>
      <c r="I34" s="32">
        <f t="shared" si="38"/>
        <v>0.17241379310344818</v>
      </c>
      <c r="J34" s="33">
        <f t="shared" si="38"/>
        <v>0.53448275862068972</v>
      </c>
      <c r="K34" s="32">
        <f t="shared" si="38"/>
        <v>0.71830985915492951</v>
      </c>
      <c r="L34" s="32">
        <f t="shared" si="36"/>
        <v>0.54097222222222219</v>
      </c>
      <c r="M34" s="32">
        <f t="shared" si="37"/>
        <v>0.40220588235294108</v>
      </c>
    </row>
    <row r="35" spans="1:13" x14ac:dyDescent="0.15">
      <c r="B35" s="43"/>
      <c r="C35" s="42"/>
      <c r="D35" s="42"/>
      <c r="E35" s="42"/>
      <c r="G35" s="42"/>
      <c r="K35" s="22"/>
      <c r="L35" s="22"/>
      <c r="M35" s="22"/>
    </row>
    <row r="36" spans="1:13" s="16" customFormat="1" x14ac:dyDescent="0.15">
      <c r="A36" s="63" t="s">
        <v>18</v>
      </c>
      <c r="B36" s="20"/>
      <c r="C36" s="42"/>
      <c r="D36" s="19"/>
      <c r="E36" s="42"/>
      <c r="F36" s="20"/>
      <c r="G36" s="42"/>
      <c r="H36" s="19"/>
      <c r="I36" s="23">
        <f t="shared" ref="I36:K36" si="39">I37-I38</f>
        <v>470</v>
      </c>
      <c r="J36" s="20"/>
      <c r="K36" s="23">
        <f t="shared" si="39"/>
        <v>903</v>
      </c>
      <c r="L36" s="22"/>
      <c r="M36" s="22"/>
    </row>
    <row r="37" spans="1:13" s="7" customFormat="1" x14ac:dyDescent="0.15">
      <c r="A37" s="62" t="s">
        <v>19</v>
      </c>
      <c r="B37" s="21"/>
      <c r="C37" s="22"/>
      <c r="D37" s="22"/>
      <c r="E37" s="42"/>
      <c r="F37" s="21"/>
      <c r="G37" s="22"/>
      <c r="H37" s="22"/>
      <c r="I37" s="22">
        <f>267+61+1034</f>
        <v>1362</v>
      </c>
      <c r="J37" s="21"/>
      <c r="K37" s="22">
        <f>521+116+1888</f>
        <v>2525</v>
      </c>
      <c r="L37" s="22"/>
      <c r="M37" s="22"/>
    </row>
    <row r="38" spans="1:13" s="7" customFormat="1" x14ac:dyDescent="0.15">
      <c r="A38" s="62" t="s">
        <v>20</v>
      </c>
      <c r="B38" s="21"/>
      <c r="C38" s="22"/>
      <c r="D38" s="22"/>
      <c r="E38" s="42"/>
      <c r="F38" s="21"/>
      <c r="G38" s="22"/>
      <c r="H38" s="22"/>
      <c r="I38" s="22">
        <f>74+818</f>
        <v>892</v>
      </c>
      <c r="J38" s="21"/>
      <c r="K38" s="22">
        <f>0+818+804</f>
        <v>1622</v>
      </c>
      <c r="L38" s="22"/>
      <c r="M38" s="22"/>
    </row>
    <row r="39" spans="1:13" s="7" customFormat="1" x14ac:dyDescent="0.15">
      <c r="A39" s="62"/>
      <c r="B39" s="21"/>
      <c r="C39" s="22"/>
      <c r="D39" s="22"/>
      <c r="E39" s="42"/>
      <c r="F39" s="21"/>
      <c r="G39" s="22"/>
      <c r="H39" s="22"/>
      <c r="I39" s="22"/>
      <c r="J39" s="21"/>
      <c r="K39" s="22"/>
      <c r="L39" s="22"/>
      <c r="M39" s="22"/>
    </row>
    <row r="40" spans="1:13" s="7" customFormat="1" x14ac:dyDescent="0.15">
      <c r="A40" s="68" t="s">
        <v>40</v>
      </c>
      <c r="B40" s="21"/>
      <c r="C40" s="22"/>
      <c r="D40" s="22"/>
      <c r="E40" s="42"/>
      <c r="F40" s="21"/>
      <c r="G40" s="22"/>
      <c r="H40" s="22"/>
      <c r="I40" s="22">
        <v>0</v>
      </c>
      <c r="J40" s="21"/>
      <c r="K40" s="22">
        <v>0</v>
      </c>
      <c r="L40" s="22"/>
      <c r="M40" s="22"/>
    </row>
    <row r="41" spans="1:13" s="7" customFormat="1" x14ac:dyDescent="0.15">
      <c r="A41" s="68" t="s">
        <v>41</v>
      </c>
      <c r="B41" s="21"/>
      <c r="C41" s="22"/>
      <c r="D41" s="22"/>
      <c r="E41" s="42"/>
      <c r="F41" s="21"/>
      <c r="G41" s="22"/>
      <c r="H41" s="22"/>
      <c r="I41" s="22">
        <v>1402</v>
      </c>
      <c r="J41" s="21"/>
      <c r="K41" s="22">
        <v>2708</v>
      </c>
      <c r="L41" s="22"/>
      <c r="M41" s="22"/>
    </row>
    <row r="42" spans="1:13" s="7" customFormat="1" x14ac:dyDescent="0.15">
      <c r="A42" s="68" t="s">
        <v>42</v>
      </c>
      <c r="B42" s="21"/>
      <c r="C42" s="22"/>
      <c r="D42" s="22"/>
      <c r="E42" s="42"/>
      <c r="F42" s="21"/>
      <c r="G42" s="22"/>
      <c r="H42" s="22"/>
      <c r="I42" s="22">
        <f>965+804</f>
        <v>1769</v>
      </c>
      <c r="J42" s="21"/>
      <c r="K42" s="22">
        <f>1730+1327</f>
        <v>3057</v>
      </c>
      <c r="L42" s="22"/>
      <c r="M42" s="22"/>
    </row>
    <row r="43" spans="1:13" s="7" customFormat="1" x14ac:dyDescent="0.15">
      <c r="A43" s="62"/>
      <c r="B43" s="21"/>
      <c r="C43" s="22"/>
      <c r="D43" s="22"/>
      <c r="E43" s="42"/>
      <c r="F43" s="21"/>
      <c r="G43" s="22"/>
      <c r="H43" s="22"/>
      <c r="I43" s="22"/>
      <c r="J43" s="21"/>
      <c r="K43" s="22"/>
      <c r="L43" s="22"/>
      <c r="M43" s="22"/>
    </row>
    <row r="44" spans="1:13" s="7" customFormat="1" x14ac:dyDescent="0.15">
      <c r="A44" s="68" t="s">
        <v>43</v>
      </c>
      <c r="B44" s="21"/>
      <c r="C44" s="22"/>
      <c r="D44" s="22"/>
      <c r="E44" s="42"/>
      <c r="F44" s="21"/>
      <c r="G44" s="22"/>
      <c r="H44" s="22"/>
      <c r="I44" s="25">
        <f t="shared" ref="I44" si="40">I41-I37-I40</f>
        <v>40</v>
      </c>
      <c r="J44" s="21"/>
      <c r="K44" s="25">
        <f t="shared" ref="K44" si="41">K41-K37-K40</f>
        <v>183</v>
      </c>
      <c r="L44" s="22"/>
      <c r="M44" s="22"/>
    </row>
    <row r="45" spans="1:13" s="7" customFormat="1" x14ac:dyDescent="0.15">
      <c r="A45" s="68" t="s">
        <v>44</v>
      </c>
      <c r="B45" s="21"/>
      <c r="C45" s="22"/>
      <c r="D45" s="22"/>
      <c r="E45" s="42"/>
      <c r="F45" s="21"/>
      <c r="G45" s="22"/>
      <c r="H45" s="22"/>
      <c r="I45" s="25">
        <f>I41-I42</f>
        <v>-367</v>
      </c>
      <c r="J45" s="21"/>
      <c r="K45" s="25">
        <f>K41-K42</f>
        <v>-349</v>
      </c>
      <c r="L45" s="22"/>
      <c r="M45" s="22"/>
    </row>
    <row r="46" spans="1:13" s="7" customFormat="1" x14ac:dyDescent="0.15">
      <c r="A46" s="62"/>
      <c r="B46" s="21"/>
      <c r="C46" s="22"/>
      <c r="D46" s="22"/>
      <c r="E46" s="42"/>
      <c r="F46" s="21"/>
      <c r="G46" s="22"/>
      <c r="H46" s="22"/>
      <c r="I46" s="22"/>
      <c r="J46" s="21"/>
      <c r="K46" s="22"/>
      <c r="L46" s="22"/>
      <c r="M46" s="22"/>
    </row>
    <row r="47" spans="1:13" s="16" customFormat="1" x14ac:dyDescent="0.15">
      <c r="A47" s="69" t="s">
        <v>45</v>
      </c>
      <c r="B47" s="21"/>
      <c r="C47" s="22"/>
      <c r="D47" s="22"/>
      <c r="E47" s="42"/>
      <c r="F47" s="21"/>
      <c r="G47" s="22"/>
      <c r="H47" s="22"/>
      <c r="I47" s="23">
        <f t="shared" ref="I47:K47" si="42">SUM(F22:I22)</f>
        <v>-112.13800000000001</v>
      </c>
      <c r="J47" s="21"/>
      <c r="K47" s="23">
        <f t="shared" si="42"/>
        <v>-94.838999999999999</v>
      </c>
      <c r="L47" s="22"/>
      <c r="M47" s="22"/>
    </row>
    <row r="48" spans="1:13" x14ac:dyDescent="0.15">
      <c r="A48" s="70" t="s">
        <v>46</v>
      </c>
      <c r="B48" s="21"/>
      <c r="C48" s="22"/>
      <c r="D48" s="22"/>
      <c r="E48" s="42"/>
      <c r="F48" s="21"/>
      <c r="G48" s="22"/>
      <c r="H48" s="22"/>
      <c r="I48" s="32">
        <f t="shared" ref="I48" si="43">I47/I45</f>
        <v>0.30555313351498636</v>
      </c>
      <c r="J48" s="21"/>
      <c r="K48" s="32">
        <f t="shared" ref="K48" si="44">K47/K45</f>
        <v>0.27174498567335242</v>
      </c>
      <c r="L48" s="22"/>
      <c r="M48" s="22"/>
    </row>
    <row r="49" spans="1:13" x14ac:dyDescent="0.15">
      <c r="A49" s="70" t="s">
        <v>47</v>
      </c>
      <c r="B49" s="21"/>
      <c r="C49" s="22"/>
      <c r="D49" s="22"/>
      <c r="E49" s="42"/>
      <c r="F49" s="21"/>
      <c r="G49" s="22"/>
      <c r="H49" s="22"/>
      <c r="I49" s="32">
        <f t="shared" ref="I49" si="45">I47/I41</f>
        <v>-7.9984308131241091E-2</v>
      </c>
      <c r="J49" s="21"/>
      <c r="K49" s="32">
        <f t="shared" ref="K49" si="46">K47/K41</f>
        <v>-3.5021787296898081E-2</v>
      </c>
      <c r="L49" s="22"/>
      <c r="M49" s="22"/>
    </row>
    <row r="50" spans="1:13" x14ac:dyDescent="0.15">
      <c r="A50" s="70" t="s">
        <v>48</v>
      </c>
      <c r="B50" s="21"/>
      <c r="C50" s="22"/>
      <c r="D50" s="22"/>
      <c r="E50" s="42"/>
      <c r="F50" s="21"/>
      <c r="G50" s="22"/>
      <c r="H50" s="22"/>
      <c r="I50" s="32">
        <f t="shared" ref="I50" si="47">I47/(I45-I40)</f>
        <v>0.30555313351498636</v>
      </c>
      <c r="J50" s="21"/>
      <c r="K50" s="32">
        <f t="shared" ref="K50" si="48">K47/(K45-K40)</f>
        <v>0.27174498567335242</v>
      </c>
      <c r="L50" s="22"/>
      <c r="M50" s="22"/>
    </row>
    <row r="51" spans="1:13" x14ac:dyDescent="0.15">
      <c r="A51" s="70" t="s">
        <v>49</v>
      </c>
      <c r="B51" s="21"/>
      <c r="C51" s="22"/>
      <c r="D51" s="22"/>
      <c r="E51" s="42"/>
      <c r="F51" s="21"/>
      <c r="G51" s="22"/>
      <c r="H51" s="22"/>
      <c r="I51" s="32">
        <f t="shared" ref="I51" si="49">I47/I44</f>
        <v>-2.8034500000000002</v>
      </c>
      <c r="J51" s="21"/>
      <c r="K51" s="32">
        <f t="shared" ref="K51" si="50">K47/K44</f>
        <v>-0.51824590163934425</v>
      </c>
      <c r="L51" s="22"/>
      <c r="M51" s="22"/>
    </row>
    <row r="52" spans="1:13" x14ac:dyDescent="0.15">
      <c r="E52" s="42"/>
      <c r="K52" s="22"/>
      <c r="L52" s="22"/>
      <c r="M52" s="22"/>
    </row>
    <row r="53" spans="1:13" x14ac:dyDescent="0.15">
      <c r="A53" s="66" t="s">
        <v>75</v>
      </c>
      <c r="B53" s="33"/>
      <c r="C53" s="32"/>
      <c r="D53" s="32"/>
      <c r="E53" s="42"/>
      <c r="F53" s="33">
        <f t="shared" ref="F53:K56" si="51">F3/B3-1</f>
        <v>0.56397472815575722</v>
      </c>
      <c r="G53" s="32">
        <f t="shared" si="51"/>
        <v>0.70017813683920016</v>
      </c>
      <c r="H53" s="32">
        <f t="shared" si="51"/>
        <v>0.85762356575463361</v>
      </c>
      <c r="I53" s="32">
        <f t="shared" si="51"/>
        <v>1.584634508686293</v>
      </c>
      <c r="J53" s="33">
        <f t="shared" si="51"/>
        <v>1.5629998076341751</v>
      </c>
      <c r="K53" s="32">
        <f t="shared" si="51"/>
        <v>0.47024969010093853</v>
      </c>
      <c r="L53" s="32"/>
      <c r="M53" s="32"/>
    </row>
    <row r="54" spans="1:13" x14ac:dyDescent="0.15">
      <c r="A54" s="66" t="s">
        <v>76</v>
      </c>
      <c r="B54" s="33"/>
      <c r="C54" s="32"/>
      <c r="D54" s="32"/>
      <c r="E54" s="32"/>
      <c r="F54" s="33">
        <f t="shared" si="51"/>
        <v>1.4766162310866577</v>
      </c>
      <c r="G54" s="32">
        <f t="shared" si="51"/>
        <v>3.4548872180451129</v>
      </c>
      <c r="H54" s="32">
        <f t="shared" si="51"/>
        <v>2.0519814719505916</v>
      </c>
      <c r="I54" s="32">
        <f t="shared" si="51"/>
        <v>-7.505140507196717E-2</v>
      </c>
      <c r="J54" s="33">
        <f t="shared" si="51"/>
        <v>0.65454040544293268</v>
      </c>
      <c r="K54" s="32">
        <f t="shared" si="51"/>
        <v>0.52180028129395217</v>
      </c>
      <c r="L54" s="32"/>
      <c r="M54" s="32"/>
    </row>
    <row r="55" spans="1:13" x14ac:dyDescent="0.15">
      <c r="A55" s="66" t="s">
        <v>77</v>
      </c>
      <c r="B55" s="33"/>
      <c r="C55" s="32"/>
      <c r="D55" s="32"/>
      <c r="E55" s="32"/>
      <c r="F55" s="33">
        <f t="shared" si="51"/>
        <v>0.6443425577206483</v>
      </c>
      <c r="G55" s="32">
        <f t="shared" si="51"/>
        <v>0.64439985406785838</v>
      </c>
      <c r="H55" s="32">
        <f t="shared" si="51"/>
        <v>0.63836576362385022</v>
      </c>
      <c r="I55" s="32">
        <f t="shared" si="51"/>
        <v>0.37969101123595483</v>
      </c>
      <c r="J55" s="33">
        <f t="shared" si="51"/>
        <v>0.3502539334793866</v>
      </c>
      <c r="K55" s="32">
        <f t="shared" si="51"/>
        <v>0.63860847957757416</v>
      </c>
      <c r="L55" s="32"/>
      <c r="M55" s="32"/>
    </row>
    <row r="56" spans="1:13" x14ac:dyDescent="0.15">
      <c r="A56" s="66" t="s">
        <v>78</v>
      </c>
      <c r="B56" s="33"/>
      <c r="C56" s="32"/>
      <c r="D56" s="32"/>
      <c r="E56" s="32"/>
      <c r="F56" s="33">
        <f t="shared" si="51"/>
        <v>1.7484121383203957</v>
      </c>
      <c r="G56" s="32">
        <f t="shared" si="51"/>
        <v>11.711026615969583</v>
      </c>
      <c r="H56" s="32">
        <f t="shared" si="51"/>
        <v>3.2624113475177294</v>
      </c>
      <c r="I56" s="32">
        <f t="shared" si="51"/>
        <v>-9.5841688654353572</v>
      </c>
      <c r="J56" s="33">
        <f t="shared" si="51"/>
        <v>1.634227757093337</v>
      </c>
      <c r="K56" s="32">
        <f t="shared" si="51"/>
        <v>0.96769368830391889</v>
      </c>
      <c r="L56" s="32"/>
      <c r="M56" s="32"/>
    </row>
    <row r="57" spans="1:13" x14ac:dyDescent="0.15">
      <c r="L57" s="22"/>
    </row>
    <row r="58" spans="1:13" s="73" customFormat="1" x14ac:dyDescent="0.15">
      <c r="A58" s="72" t="s">
        <v>81</v>
      </c>
      <c r="B58" s="33"/>
      <c r="C58" s="32"/>
      <c r="D58" s="32"/>
      <c r="E58" s="32"/>
      <c r="F58" s="33"/>
      <c r="G58" s="32"/>
      <c r="H58" s="32"/>
      <c r="I58" s="32"/>
      <c r="J58" s="33">
        <f>J8/F8-1</f>
        <v>0.62903902643726406</v>
      </c>
      <c r="K58" s="32">
        <f>K8/G8-1</f>
        <v>0.5</v>
      </c>
      <c r="L58" s="22"/>
      <c r="M58" s="32"/>
    </row>
    <row r="59" spans="1:13" x14ac:dyDescent="0.15">
      <c r="A59" s="66" t="s">
        <v>65</v>
      </c>
      <c r="J59" s="33">
        <f>J9/F9-1</f>
        <v>0.21434423583540041</v>
      </c>
      <c r="K59" s="32">
        <f>K9/G9-1</f>
        <v>4.6557313144991008E-2</v>
      </c>
      <c r="L59" s="22"/>
      <c r="M59" s="32"/>
    </row>
    <row r="60" spans="1:13" x14ac:dyDescent="0.15">
      <c r="K60" s="22"/>
      <c r="L60" s="22">
        <v>1800</v>
      </c>
    </row>
    <row r="61" spans="1:13" s="7" customFormat="1" x14ac:dyDescent="0.15">
      <c r="A61" s="62" t="s">
        <v>66</v>
      </c>
      <c r="B61" s="21"/>
      <c r="C61" s="22"/>
      <c r="D61" s="22"/>
      <c r="E61" s="22"/>
      <c r="F61" s="21">
        <v>861.30600000000004</v>
      </c>
      <c r="G61" s="22">
        <v>1341.5840000000001</v>
      </c>
      <c r="I61" s="22"/>
      <c r="J61" s="21">
        <v>1475.9290000000001</v>
      </c>
      <c r="K61" s="22">
        <v>2075.1120000000001</v>
      </c>
      <c r="L61" s="22">
        <v>1800</v>
      </c>
      <c r="M61" s="22">
        <f>M10/0.1</f>
        <v>1969.81</v>
      </c>
    </row>
    <row r="62" spans="1:13" s="73" customFormat="1" x14ac:dyDescent="0.15">
      <c r="A62" s="72" t="s">
        <v>67</v>
      </c>
      <c r="B62" s="33"/>
      <c r="C62" s="32"/>
      <c r="D62" s="32"/>
      <c r="E62" s="32"/>
      <c r="F62" s="33"/>
      <c r="G62" s="32"/>
      <c r="H62" s="32"/>
      <c r="I62" s="32"/>
      <c r="J62" s="33">
        <f>J61/F61-1</f>
        <v>0.71359423944567912</v>
      </c>
      <c r="K62" s="32">
        <f>K61/G61-1</f>
        <v>0.54676263282805992</v>
      </c>
      <c r="L62" s="32"/>
      <c r="M62" s="32"/>
    </row>
    <row r="63" spans="1:13" x14ac:dyDescent="0.15">
      <c r="K63" s="22"/>
      <c r="L63" s="22"/>
    </row>
    <row r="64" spans="1:13" s="73" customFormat="1" x14ac:dyDescent="0.15">
      <c r="A64" s="72" t="s">
        <v>68</v>
      </c>
      <c r="B64" s="33"/>
      <c r="C64" s="32"/>
      <c r="D64" s="32"/>
      <c r="E64" s="32"/>
      <c r="F64" s="33">
        <f>F11/F61</f>
        <v>0.102108890452406</v>
      </c>
      <c r="G64" s="32">
        <f>G11/G61</f>
        <v>9.6882491144795996E-2</v>
      </c>
      <c r="H64" s="32"/>
      <c r="I64" s="32"/>
      <c r="J64" s="33">
        <f>J11/J61</f>
        <v>0.11787694394513556</v>
      </c>
      <c r="K64" s="32">
        <f>K11/K61</f>
        <v>9.8327704721480086E-2</v>
      </c>
      <c r="L64" s="32">
        <f>L11/L61</f>
        <v>0.10277777777777777</v>
      </c>
      <c r="M64" s="32">
        <f>M11/M61</f>
        <v>0.10000964560033709</v>
      </c>
    </row>
  </sheetData>
  <hyperlinks>
    <hyperlink ref="A1" r:id="rId1" xr:uid="{00000000-0004-0000-0100-000000000000}"/>
  </hyperlink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4:C7"/>
  <sheetViews>
    <sheetView zoomScale="130" zoomScaleNormal="130" workbookViewId="0">
      <selection activeCell="C10" sqref="C10"/>
    </sheetView>
  </sheetViews>
  <sheetFormatPr baseColWidth="10" defaultRowHeight="13" x14ac:dyDescent="0.15"/>
  <cols>
    <col min="1" max="1" width="10.83203125" style="2"/>
    <col min="2" max="2" width="15.83203125" style="2" bestFit="1" customWidth="1"/>
    <col min="3" max="3" width="35.6640625" style="2" bestFit="1" customWidth="1"/>
    <col min="4" max="16384" width="10.83203125" style="2"/>
  </cols>
  <sheetData>
    <row r="4" spans="2:3" x14ac:dyDescent="0.15">
      <c r="B4" s="60" t="s">
        <v>60</v>
      </c>
    </row>
    <row r="6" spans="2:3" x14ac:dyDescent="0.15">
      <c r="B6" s="2" t="s">
        <v>82</v>
      </c>
      <c r="C6" s="2" t="s">
        <v>84</v>
      </c>
    </row>
    <row r="7" spans="2:3" x14ac:dyDescent="0.15">
      <c r="B7" s="2" t="s">
        <v>83</v>
      </c>
      <c r="C7" s="2" t="s">
        <v>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Reports</vt:lpstr>
      <vt:lpstr>Products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Michael Sjoeberg</cp:lastModifiedBy>
  <dcterms:created xsi:type="dcterms:W3CDTF">2018-01-04T19:16:18Z</dcterms:created>
  <dcterms:modified xsi:type="dcterms:W3CDTF">2021-02-18T23:55:59Z</dcterms:modified>
</cp:coreProperties>
</file>