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772BFAB-9667-1D41-9BE9-7D0C2BE6BE76}" xr6:coauthVersionLast="46" xr6:coauthVersionMax="46" xr10:uidLastSave="{00000000-0000-0000-0000-000000000000}"/>
  <bookViews>
    <workbookView xWindow="-51300" yWindow="-5940" windowWidth="25640" windowHeight="2690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G44" i="2"/>
  <c r="G41" i="2"/>
  <c r="G27" i="2"/>
  <c r="G24" i="2"/>
  <c r="G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G15" i="2"/>
  <c r="G12" i="2"/>
  <c r="H12" i="2" s="1"/>
  <c r="I12" i="2" s="1"/>
  <c r="J12" i="2" s="1"/>
  <c r="K12" i="2" s="1"/>
  <c r="L12" i="2" s="1"/>
  <c r="L56" i="2" s="1"/>
  <c r="G11" i="2"/>
  <c r="H11" i="2" s="1"/>
  <c r="F44" i="2"/>
  <c r="F41" i="2"/>
  <c r="F27" i="2"/>
  <c r="F24" i="2"/>
  <c r="F19" i="2"/>
  <c r="F18" i="2"/>
  <c r="F17" i="2"/>
  <c r="F15" i="2"/>
  <c r="F12" i="2"/>
  <c r="F11" i="2"/>
  <c r="E44" i="2"/>
  <c r="E41" i="2"/>
  <c r="E27" i="2"/>
  <c r="E24" i="2"/>
  <c r="E19" i="2"/>
  <c r="E18" i="2"/>
  <c r="E17" i="2"/>
  <c r="E15" i="2"/>
  <c r="E12" i="2"/>
  <c r="E11" i="2"/>
  <c r="C45" i="2"/>
  <c r="C44" i="2"/>
  <c r="C41" i="2"/>
  <c r="C27" i="2"/>
  <c r="C24" i="2"/>
  <c r="C18" i="2"/>
  <c r="C17" i="2"/>
  <c r="C15" i="2"/>
  <c r="C12" i="2"/>
  <c r="C11" i="2"/>
  <c r="C14" i="2" s="1"/>
  <c r="C16" i="2" s="1"/>
  <c r="D10" i="2"/>
  <c r="D45" i="2"/>
  <c r="D44" i="2"/>
  <c r="D43" i="2"/>
  <c r="D41" i="2"/>
  <c r="D27" i="2"/>
  <c r="D24" i="2"/>
  <c r="D19" i="2"/>
  <c r="D18" i="2"/>
  <c r="D17" i="2"/>
  <c r="D15" i="2"/>
  <c r="D12" i="2"/>
  <c r="D11" i="2"/>
  <c r="D14" i="2" s="1"/>
  <c r="C15" i="1"/>
  <c r="C12" i="1"/>
  <c r="C19" i="2" s="1"/>
  <c r="E15" i="1"/>
  <c r="D15" i="1"/>
  <c r="D13" i="1"/>
  <c r="D7" i="1"/>
  <c r="D9" i="1" s="1"/>
  <c r="F39" i="1"/>
  <c r="F42" i="1" s="1"/>
  <c r="F37" i="1"/>
  <c r="C43" i="2" s="1"/>
  <c r="F34" i="1"/>
  <c r="C40" i="2" s="1"/>
  <c r="C39" i="2" s="1"/>
  <c r="F15" i="1"/>
  <c r="G15" i="1"/>
  <c r="K15" i="1"/>
  <c r="H15" i="1"/>
  <c r="L15" i="1"/>
  <c r="I15" i="1"/>
  <c r="M15" i="1"/>
  <c r="J39" i="1"/>
  <c r="J37" i="1"/>
  <c r="J34" i="1"/>
  <c r="D40" i="2" s="1"/>
  <c r="N39" i="1"/>
  <c r="E45" i="2" s="1"/>
  <c r="N37" i="1"/>
  <c r="E43" i="2" s="1"/>
  <c r="N34" i="1"/>
  <c r="E40" i="2" s="1"/>
  <c r="J15" i="1"/>
  <c r="N15" i="1"/>
  <c r="S54" i="1"/>
  <c r="S53" i="1"/>
  <c r="O15" i="1"/>
  <c r="S15" i="1"/>
  <c r="T54" i="1"/>
  <c r="T53" i="1"/>
  <c r="P15" i="1"/>
  <c r="T15" i="1"/>
  <c r="U54" i="1"/>
  <c r="U53" i="1"/>
  <c r="U30" i="1"/>
  <c r="U29" i="1"/>
  <c r="U28" i="1"/>
  <c r="Q15" i="1"/>
  <c r="U15" i="1"/>
  <c r="U13" i="1"/>
  <c r="U7" i="1"/>
  <c r="U9" i="1" s="1"/>
  <c r="U23" i="1" s="1"/>
  <c r="R39" i="1"/>
  <c r="F45" i="2" s="1"/>
  <c r="R37" i="1"/>
  <c r="F43" i="2" s="1"/>
  <c r="R34" i="1"/>
  <c r="V39" i="1"/>
  <c r="V42" i="1" s="1"/>
  <c r="V37" i="1"/>
  <c r="G43" i="2" s="1"/>
  <c r="V34" i="1"/>
  <c r="G40" i="2" s="1"/>
  <c r="V54" i="1"/>
  <c r="V53" i="1"/>
  <c r="V41" i="1"/>
  <c r="V33" i="1"/>
  <c r="D6" i="2" s="1"/>
  <c r="V30" i="1"/>
  <c r="V29" i="1"/>
  <c r="V28" i="1"/>
  <c r="V27" i="1"/>
  <c r="V23" i="1"/>
  <c r="R15" i="1"/>
  <c r="V15" i="1"/>
  <c r="V13" i="1"/>
  <c r="V7" i="1"/>
  <c r="V9" i="1" s="1"/>
  <c r="R7" i="1"/>
  <c r="R54" i="1"/>
  <c r="R53" i="1"/>
  <c r="R29" i="1"/>
  <c r="R28" i="1"/>
  <c r="S29" i="1"/>
  <c r="S28" i="1"/>
  <c r="S13" i="1"/>
  <c r="S7" i="1"/>
  <c r="R33" i="1"/>
  <c r="T29" i="1"/>
  <c r="T28" i="1"/>
  <c r="P13" i="1"/>
  <c r="T13" i="1"/>
  <c r="P7" i="1"/>
  <c r="T7" i="1"/>
  <c r="P54" i="1"/>
  <c r="P53" i="1"/>
  <c r="P29" i="1"/>
  <c r="P28" i="1"/>
  <c r="Q54" i="1"/>
  <c r="Q53" i="1"/>
  <c r="Q29" i="1"/>
  <c r="Q28" i="1"/>
  <c r="Q7" i="1"/>
  <c r="S50" i="1" s="1"/>
  <c r="D22" i="2" l="1"/>
  <c r="U50" i="1"/>
  <c r="T50" i="1"/>
  <c r="C22" i="2"/>
  <c r="V50" i="1"/>
  <c r="F22" i="2"/>
  <c r="D34" i="2"/>
  <c r="G22" i="2"/>
  <c r="D56" i="2"/>
  <c r="F33" i="1"/>
  <c r="R41" i="1"/>
  <c r="E22" i="2"/>
  <c r="D35" i="2"/>
  <c r="C20" i="2"/>
  <c r="C21" i="2" s="1"/>
  <c r="C47" i="2"/>
  <c r="D36" i="2"/>
  <c r="F40" i="2"/>
  <c r="G45" i="2"/>
  <c r="U14" i="1"/>
  <c r="U27" i="1"/>
  <c r="R42" i="1"/>
  <c r="D33" i="2"/>
  <c r="G14" i="2"/>
  <c r="G16" i="2" s="1"/>
  <c r="E14" i="2"/>
  <c r="H14" i="2"/>
  <c r="I11" i="2"/>
  <c r="D55" i="2"/>
  <c r="C29" i="2"/>
  <c r="C48" i="2"/>
  <c r="D23" i="1"/>
  <c r="D14" i="1"/>
  <c r="D48" i="2"/>
  <c r="T27" i="1"/>
  <c r="G48" i="2"/>
  <c r="V14" i="1"/>
  <c r="G39" i="2"/>
  <c r="H22" i="2" s="1"/>
  <c r="D16" i="2"/>
  <c r="T30" i="1"/>
  <c r="T31" i="1"/>
  <c r="R30" i="1"/>
  <c r="R13" i="1"/>
  <c r="V31" i="1" s="1"/>
  <c r="S30" i="1"/>
  <c r="T9" i="1"/>
  <c r="T23" i="1" s="1"/>
  <c r="Q9" i="1"/>
  <c r="Q23" i="1" s="1"/>
  <c r="D39" i="2"/>
  <c r="G47" i="2"/>
  <c r="S9" i="1"/>
  <c r="S23" i="1" s="1"/>
  <c r="R9" i="1"/>
  <c r="R23" i="1" s="1"/>
  <c r="D47" i="2"/>
  <c r="F41" i="1"/>
  <c r="Q13" i="1"/>
  <c r="U31" i="1" s="1"/>
  <c r="P9" i="1"/>
  <c r="P23" i="1" s="1"/>
  <c r="O54" i="1"/>
  <c r="O53" i="1"/>
  <c r="O29" i="1"/>
  <c r="O28" i="1"/>
  <c r="O13" i="1"/>
  <c r="S31" i="1" s="1"/>
  <c r="O7" i="1"/>
  <c r="N7" i="1"/>
  <c r="S27" i="1" l="1"/>
  <c r="R50" i="1"/>
  <c r="V51" i="1"/>
  <c r="R27" i="1"/>
  <c r="Q50" i="1"/>
  <c r="U51" i="1"/>
  <c r="U16" i="1"/>
  <c r="U24" i="1"/>
  <c r="V16" i="1"/>
  <c r="V24" i="1"/>
  <c r="J11" i="2"/>
  <c r="I14" i="2"/>
  <c r="C23" i="2"/>
  <c r="C30" i="2"/>
  <c r="D16" i="1"/>
  <c r="D24" i="1"/>
  <c r="Q14" i="1"/>
  <c r="Q16" i="1" s="1"/>
  <c r="G20" i="2"/>
  <c r="G21" i="2" s="1"/>
  <c r="G23" i="2" s="1"/>
  <c r="R14" i="1"/>
  <c r="T14" i="1"/>
  <c r="T24" i="1" s="1"/>
  <c r="R24" i="1"/>
  <c r="R16" i="1"/>
  <c r="S14" i="1"/>
  <c r="N13" i="1"/>
  <c r="R31" i="1" s="1"/>
  <c r="O9" i="1"/>
  <c r="O23" i="1" s="1"/>
  <c r="N9" i="1"/>
  <c r="P14" i="1"/>
  <c r="R35" i="2"/>
  <c r="N29" i="1"/>
  <c r="N28" i="1"/>
  <c r="N53" i="1"/>
  <c r="N54" i="1"/>
  <c r="N42" i="1"/>
  <c r="N33" i="1"/>
  <c r="J54" i="1"/>
  <c r="I54" i="1"/>
  <c r="H54" i="1"/>
  <c r="G54" i="1"/>
  <c r="J53" i="1"/>
  <c r="C7" i="1"/>
  <c r="E7" i="1"/>
  <c r="F7" i="1"/>
  <c r="F13" i="1"/>
  <c r="J7" i="1"/>
  <c r="J27" i="1" l="1"/>
  <c r="F50" i="1"/>
  <c r="T16" i="1"/>
  <c r="T25" i="1" s="1"/>
  <c r="Q24" i="1"/>
  <c r="V19" i="1"/>
  <c r="V20" i="1" s="1"/>
  <c r="V25" i="1"/>
  <c r="U25" i="1"/>
  <c r="U19" i="1"/>
  <c r="U20" i="1" s="1"/>
  <c r="K11" i="2"/>
  <c r="J14" i="2"/>
  <c r="C25" i="2"/>
  <c r="C31" i="2"/>
  <c r="D25" i="1"/>
  <c r="D19" i="1"/>
  <c r="N14" i="1"/>
  <c r="N16" i="1" s="1"/>
  <c r="S24" i="1"/>
  <c r="S16" i="1"/>
  <c r="R25" i="1"/>
  <c r="R19" i="1"/>
  <c r="O14" i="1"/>
  <c r="P24" i="1"/>
  <c r="P16" i="1"/>
  <c r="E56" i="2"/>
  <c r="Q25" i="1"/>
  <c r="Q19" i="1"/>
  <c r="F14" i="2"/>
  <c r="F48" i="2"/>
  <c r="F56" i="2"/>
  <c r="N41" i="1"/>
  <c r="E55" i="2"/>
  <c r="F39" i="2"/>
  <c r="F55" i="2"/>
  <c r="F9" i="1"/>
  <c r="G7" i="1"/>
  <c r="O30" i="1"/>
  <c r="K54" i="1"/>
  <c r="K53" i="1"/>
  <c r="K30" i="1"/>
  <c r="K29" i="1"/>
  <c r="K28" i="1"/>
  <c r="K7" i="1"/>
  <c r="H7" i="1"/>
  <c r="L54" i="1"/>
  <c r="L53" i="1"/>
  <c r="L29" i="1"/>
  <c r="L28" i="1"/>
  <c r="L7" i="1"/>
  <c r="I7" i="1"/>
  <c r="L50" i="1" s="1"/>
  <c r="M7" i="1"/>
  <c r="P50" i="1" s="1"/>
  <c r="M54" i="1"/>
  <c r="M53" i="1"/>
  <c r="M29" i="1"/>
  <c r="M28" i="1"/>
  <c r="J50" i="1" l="1"/>
  <c r="J51" i="1" s="1"/>
  <c r="H50" i="1"/>
  <c r="L51" i="1" s="1"/>
  <c r="T19" i="1"/>
  <c r="D20" i="1"/>
  <c r="M50" i="1"/>
  <c r="R20" i="1"/>
  <c r="P51" i="1"/>
  <c r="T51" i="1"/>
  <c r="O50" i="1"/>
  <c r="G50" i="1"/>
  <c r="I50" i="1"/>
  <c r="K50" i="1"/>
  <c r="K51" i="1" s="1"/>
  <c r="N50" i="1"/>
  <c r="T44" i="1"/>
  <c r="L11" i="2"/>
  <c r="K14" i="2"/>
  <c r="C53" i="2"/>
  <c r="C26" i="2"/>
  <c r="C52" i="2"/>
  <c r="C50" i="2"/>
  <c r="C51" i="2"/>
  <c r="T20" i="1"/>
  <c r="S25" i="1"/>
  <c r="S19" i="1"/>
  <c r="S20" i="1" s="1"/>
  <c r="T35" i="2"/>
  <c r="U34" i="2"/>
  <c r="Q20" i="1"/>
  <c r="N30" i="1"/>
  <c r="Q30" i="1"/>
  <c r="O24" i="1"/>
  <c r="O16" i="1"/>
  <c r="O27" i="1"/>
  <c r="Q27" i="1"/>
  <c r="L30" i="1"/>
  <c r="P30" i="1"/>
  <c r="L9" i="1"/>
  <c r="L23" i="1" s="1"/>
  <c r="P27" i="1"/>
  <c r="S35" i="2"/>
  <c r="P19" i="1"/>
  <c r="P25" i="1"/>
  <c r="G55" i="2"/>
  <c r="F47" i="2"/>
  <c r="G56" i="2"/>
  <c r="N27" i="1"/>
  <c r="M30" i="1"/>
  <c r="K13" i="1"/>
  <c r="M13" i="1"/>
  <c r="L13" i="1"/>
  <c r="F23" i="1"/>
  <c r="F14" i="1"/>
  <c r="K9" i="1"/>
  <c r="I13" i="1"/>
  <c r="J13" i="1"/>
  <c r="H27" i="2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J41" i="1"/>
  <c r="J42" i="1"/>
  <c r="J33" i="1"/>
  <c r="J30" i="1"/>
  <c r="G53" i="1"/>
  <c r="K27" i="1"/>
  <c r="G13" i="1"/>
  <c r="G31" i="1" s="1"/>
  <c r="G30" i="1"/>
  <c r="G29" i="1"/>
  <c r="G28" i="1"/>
  <c r="H53" i="1"/>
  <c r="H13" i="1"/>
  <c r="H30" i="1"/>
  <c r="H29" i="1"/>
  <c r="H28" i="1"/>
  <c r="L27" i="1"/>
  <c r="C13" i="1"/>
  <c r="E13" i="1"/>
  <c r="J28" i="1"/>
  <c r="J29" i="1"/>
  <c r="I53" i="1"/>
  <c r="I30" i="1"/>
  <c r="I29" i="1"/>
  <c r="I28" i="1"/>
  <c r="D5" i="2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O51" i="1" l="1"/>
  <c r="S51" i="1"/>
  <c r="S44" i="1"/>
  <c r="M51" i="1"/>
  <c r="Q51" i="1"/>
  <c r="N51" i="1"/>
  <c r="R51" i="1"/>
  <c r="U44" i="1"/>
  <c r="L14" i="2"/>
  <c r="M14" i="2" s="1"/>
  <c r="N14" i="2" s="1"/>
  <c r="O14" i="2" s="1"/>
  <c r="P14" i="2" s="1"/>
  <c r="Q14" i="2" s="1"/>
  <c r="R14" i="2" s="1"/>
  <c r="S14" i="2" s="1"/>
  <c r="T14" i="2" s="1"/>
  <c r="U14" i="2" s="1"/>
  <c r="L55" i="2"/>
  <c r="V44" i="1"/>
  <c r="V48" i="1" s="1"/>
  <c r="U35" i="2"/>
  <c r="V35" i="2"/>
  <c r="V34" i="2"/>
  <c r="I31" i="1"/>
  <c r="H31" i="1"/>
  <c r="G33" i="2"/>
  <c r="M31" i="1"/>
  <c r="Q31" i="1"/>
  <c r="K31" i="1"/>
  <c r="O31" i="1"/>
  <c r="J31" i="1"/>
  <c r="N31" i="1"/>
  <c r="O25" i="1"/>
  <c r="O19" i="1"/>
  <c r="R44" i="1" s="1"/>
  <c r="L14" i="1"/>
  <c r="L24" i="1" s="1"/>
  <c r="L31" i="1"/>
  <c r="P31" i="1"/>
  <c r="P20" i="1"/>
  <c r="H33" i="2"/>
  <c r="R10" i="2"/>
  <c r="S10" i="2" s="1"/>
  <c r="T10" i="2" s="1"/>
  <c r="U10" i="2" s="1"/>
  <c r="V10" i="2" s="1"/>
  <c r="R34" i="2"/>
  <c r="H55" i="2"/>
  <c r="H56" i="2"/>
  <c r="I56" i="2"/>
  <c r="F20" i="2"/>
  <c r="F36" i="2"/>
  <c r="I55" i="2"/>
  <c r="E39" i="2"/>
  <c r="E48" i="2"/>
  <c r="F24" i="1"/>
  <c r="F16" i="1"/>
  <c r="K23" i="1"/>
  <c r="K14" i="1"/>
  <c r="I27" i="1"/>
  <c r="E20" i="2"/>
  <c r="M27" i="1"/>
  <c r="M9" i="1"/>
  <c r="D7" i="2"/>
  <c r="D8" i="2" s="1"/>
  <c r="F34" i="2"/>
  <c r="F35" i="2"/>
  <c r="J9" i="1"/>
  <c r="G9" i="1"/>
  <c r="G27" i="1"/>
  <c r="H9" i="1"/>
  <c r="H27" i="1"/>
  <c r="C9" i="1"/>
  <c r="E9" i="1"/>
  <c r="I9" i="1"/>
  <c r="E36" i="2"/>
  <c r="E47" i="2"/>
  <c r="V47" i="1" l="1"/>
  <c r="V14" i="2"/>
  <c r="V33" i="2" s="1"/>
  <c r="U33" i="2"/>
  <c r="V46" i="1"/>
  <c r="V45" i="1"/>
  <c r="U36" i="2"/>
  <c r="U20" i="2"/>
  <c r="O20" i="1"/>
  <c r="L16" i="1"/>
  <c r="L19" i="1" s="1"/>
  <c r="S34" i="2"/>
  <c r="F37" i="2"/>
  <c r="K20" i="2"/>
  <c r="J55" i="2"/>
  <c r="F19" i="1"/>
  <c r="F25" i="1"/>
  <c r="K24" i="1"/>
  <c r="K16" i="1"/>
  <c r="M23" i="1"/>
  <c r="M14" i="1"/>
  <c r="E35" i="2"/>
  <c r="G36" i="2"/>
  <c r="C14" i="1"/>
  <c r="C23" i="1"/>
  <c r="H14" i="1"/>
  <c r="H23" i="1"/>
  <c r="J14" i="1"/>
  <c r="J23" i="1"/>
  <c r="D20" i="2"/>
  <c r="E34" i="2"/>
  <c r="G35" i="2"/>
  <c r="E23" i="1"/>
  <c r="E14" i="1"/>
  <c r="G37" i="2"/>
  <c r="G34" i="2"/>
  <c r="G14" i="1"/>
  <c r="G23" i="1"/>
  <c r="I14" i="1"/>
  <c r="I23" i="1"/>
  <c r="F20" i="1" l="1"/>
  <c r="E37" i="2"/>
  <c r="D37" i="2"/>
  <c r="V36" i="2"/>
  <c r="V20" i="2"/>
  <c r="V37" i="2" s="1"/>
  <c r="R48" i="1"/>
  <c r="R46" i="1"/>
  <c r="R47" i="1"/>
  <c r="R45" i="1"/>
  <c r="L25" i="1"/>
  <c r="J56" i="2"/>
  <c r="R36" i="2"/>
  <c r="R20" i="2"/>
  <c r="T34" i="2"/>
  <c r="F16" i="2"/>
  <c r="F21" i="2" s="1"/>
  <c r="F23" i="2" s="1"/>
  <c r="N23" i="1"/>
  <c r="K55" i="2"/>
  <c r="E33" i="2"/>
  <c r="K19" i="1"/>
  <c r="K25" i="1"/>
  <c r="L20" i="1"/>
  <c r="M24" i="1"/>
  <c r="M16" i="1"/>
  <c r="J16" i="1"/>
  <c r="J24" i="1"/>
  <c r="I16" i="1"/>
  <c r="I24" i="1"/>
  <c r="H24" i="1"/>
  <c r="H16" i="1"/>
  <c r="G24" i="1"/>
  <c r="G16" i="1"/>
  <c r="H36" i="2"/>
  <c r="E24" i="1"/>
  <c r="E16" i="1"/>
  <c r="H35" i="2"/>
  <c r="E16" i="2"/>
  <c r="C16" i="1"/>
  <c r="C24" i="1"/>
  <c r="H34" i="2"/>
  <c r="H20" i="2"/>
  <c r="H37" i="2" s="1"/>
  <c r="K56" i="2" l="1"/>
  <c r="S36" i="2"/>
  <c r="S20" i="2"/>
  <c r="S37" i="2" s="1"/>
  <c r="N24" i="1"/>
  <c r="D29" i="2"/>
  <c r="K20" i="1"/>
  <c r="M25" i="1"/>
  <c r="M19" i="1"/>
  <c r="I20" i="2"/>
  <c r="I37" i="2" s="1"/>
  <c r="I34" i="2"/>
  <c r="E21" i="2"/>
  <c r="E29" i="2"/>
  <c r="F33" i="2"/>
  <c r="J25" i="1"/>
  <c r="J19" i="1"/>
  <c r="E25" i="1"/>
  <c r="E19" i="1"/>
  <c r="G25" i="1"/>
  <c r="G19" i="1"/>
  <c r="H19" i="1"/>
  <c r="H25" i="1"/>
  <c r="I35" i="2"/>
  <c r="C25" i="1"/>
  <c r="C19" i="1"/>
  <c r="I36" i="2"/>
  <c r="H20" i="1" l="1"/>
  <c r="H44" i="1"/>
  <c r="G44" i="1"/>
  <c r="J20" i="1"/>
  <c r="M44" i="1"/>
  <c r="I25" i="1"/>
  <c r="I19" i="1"/>
  <c r="K44" i="1" s="1"/>
  <c r="F44" i="1"/>
  <c r="F47" i="1" s="1"/>
  <c r="T36" i="2"/>
  <c r="T20" i="2"/>
  <c r="N25" i="1"/>
  <c r="N19" i="1"/>
  <c r="Q44" i="1" s="1"/>
  <c r="D21" i="2"/>
  <c r="D23" i="2" s="1"/>
  <c r="D25" i="2" s="1"/>
  <c r="M20" i="1"/>
  <c r="G20" i="1"/>
  <c r="J20" i="2"/>
  <c r="J37" i="2" s="1"/>
  <c r="J34" i="2"/>
  <c r="J36" i="2"/>
  <c r="J35" i="2"/>
  <c r="E20" i="1"/>
  <c r="E30" i="2"/>
  <c r="E23" i="2"/>
  <c r="C20" i="1"/>
  <c r="N44" i="1" l="1"/>
  <c r="O44" i="1"/>
  <c r="J44" i="1"/>
  <c r="I44" i="1"/>
  <c r="I20" i="1"/>
  <c r="L44" i="1"/>
  <c r="P44" i="1"/>
  <c r="T37" i="2"/>
  <c r="U37" i="2"/>
  <c r="D51" i="2"/>
  <c r="D53" i="2"/>
  <c r="D50" i="2"/>
  <c r="D52" i="2"/>
  <c r="F48" i="1"/>
  <c r="F46" i="1"/>
  <c r="F45" i="1"/>
  <c r="R33" i="2"/>
  <c r="N20" i="1"/>
  <c r="S33" i="2"/>
  <c r="D30" i="2"/>
  <c r="F29" i="2"/>
  <c r="K35" i="2"/>
  <c r="J48" i="1"/>
  <c r="J47" i="1"/>
  <c r="J46" i="1"/>
  <c r="J45" i="1"/>
  <c r="K36" i="2"/>
  <c r="E25" i="2"/>
  <c r="E31" i="2"/>
  <c r="K34" i="2"/>
  <c r="K37" i="2"/>
  <c r="D31" i="2"/>
  <c r="F30" i="2"/>
  <c r="T33" i="2" l="1"/>
  <c r="N47" i="1"/>
  <c r="N46" i="1"/>
  <c r="N48" i="1"/>
  <c r="N45" i="1"/>
  <c r="E53" i="2"/>
  <c r="E52" i="2"/>
  <c r="E51" i="2"/>
  <c r="E50" i="2"/>
  <c r="E26" i="2"/>
  <c r="L36" i="2"/>
  <c r="L35" i="2"/>
  <c r="L20" i="2"/>
  <c r="L37" i="2" s="1"/>
  <c r="L34" i="2"/>
  <c r="F31" i="2"/>
  <c r="I33" i="2"/>
  <c r="D26" i="2"/>
  <c r="G29" i="2" l="1"/>
  <c r="H16" i="2" s="1"/>
  <c r="H15" i="2" s="1"/>
  <c r="G30" i="2"/>
  <c r="F25" i="2"/>
  <c r="F26" i="2" s="1"/>
  <c r="M35" i="2"/>
  <c r="M36" i="2"/>
  <c r="J33" i="2"/>
  <c r="M34" i="2"/>
  <c r="M20" i="2"/>
  <c r="M37" i="2" s="1"/>
  <c r="H21" i="2" l="1"/>
  <c r="H30" i="2" s="1"/>
  <c r="H29" i="2"/>
  <c r="I16" i="2" s="1"/>
  <c r="I21" i="2" s="1"/>
  <c r="I30" i="2" s="1"/>
  <c r="F51" i="2"/>
  <c r="F52" i="2"/>
  <c r="F53" i="2"/>
  <c r="F50" i="2"/>
  <c r="N36" i="2"/>
  <c r="N20" i="2"/>
  <c r="N37" i="2" s="1"/>
  <c r="N34" i="2"/>
  <c r="K33" i="2"/>
  <c r="N35" i="2"/>
  <c r="I15" i="2" l="1"/>
  <c r="I29" i="2"/>
  <c r="J16" i="2" s="1"/>
  <c r="J15" i="2" s="1"/>
  <c r="G31" i="2"/>
  <c r="L33" i="2"/>
  <c r="O34" i="2"/>
  <c r="O20" i="2"/>
  <c r="O37" i="2" s="1"/>
  <c r="O35" i="2"/>
  <c r="O36" i="2"/>
  <c r="J29" i="2" l="1"/>
  <c r="K16" i="2" s="1"/>
  <c r="K21" i="2" s="1"/>
  <c r="K30" i="2" s="1"/>
  <c r="J21" i="2"/>
  <c r="J30" i="2" s="1"/>
  <c r="G25" i="2"/>
  <c r="P35" i="2"/>
  <c r="Q35" i="2"/>
  <c r="P34" i="2"/>
  <c r="P20" i="2"/>
  <c r="P37" i="2" s="1"/>
  <c r="M33" i="2"/>
  <c r="P36" i="2"/>
  <c r="Q36" i="2"/>
  <c r="G52" i="2" l="1"/>
  <c r="G51" i="2"/>
  <c r="G50" i="2"/>
  <c r="G53" i="2"/>
  <c r="H23" i="2"/>
  <c r="H24" i="2" s="1"/>
  <c r="G26" i="2"/>
  <c r="K29" i="2"/>
  <c r="L16" i="2" s="1"/>
  <c r="K15" i="2"/>
  <c r="N33" i="2"/>
  <c r="Q34" i="2"/>
  <c r="Q20" i="2"/>
  <c r="Q37" i="2" l="1"/>
  <c r="R37" i="2"/>
  <c r="L15" i="2"/>
  <c r="L29" i="2"/>
  <c r="M16" i="2" s="1"/>
  <c r="L21" i="2"/>
  <c r="L30" i="2" s="1"/>
  <c r="O33" i="2"/>
  <c r="H31" i="2"/>
  <c r="M15" i="2" l="1"/>
  <c r="M21" i="2"/>
  <c r="M30" i="2" s="1"/>
  <c r="M29" i="2"/>
  <c r="N16" i="2" s="1"/>
  <c r="H25" i="2"/>
  <c r="P33" i="2"/>
  <c r="N15" i="2" l="1"/>
  <c r="N29" i="2"/>
  <c r="O16" i="2" s="1"/>
  <c r="N21" i="2"/>
  <c r="N30" i="2" s="1"/>
  <c r="H26" i="2"/>
  <c r="H39" i="2"/>
  <c r="I22" i="2" s="1"/>
  <c r="I23" i="2" s="1"/>
  <c r="I24" i="2" s="1"/>
  <c r="Q33" i="2"/>
  <c r="O29" i="2" l="1"/>
  <c r="P16" i="2" s="1"/>
  <c r="O21" i="2"/>
  <c r="O30" i="2" s="1"/>
  <c r="O15" i="2"/>
  <c r="I31" i="2"/>
  <c r="P15" i="2" l="1"/>
  <c r="P21" i="2"/>
  <c r="P30" i="2" s="1"/>
  <c r="P29" i="2"/>
  <c r="Q16" i="2" s="1"/>
  <c r="I25" i="2"/>
  <c r="Q15" i="2" l="1"/>
  <c r="Q29" i="2"/>
  <c r="R16" i="2" s="1"/>
  <c r="Q21" i="2"/>
  <c r="Q30" i="2" s="1"/>
  <c r="I26" i="2"/>
  <c r="I39" i="2"/>
  <c r="J22" i="2" s="1"/>
  <c r="J23" i="2" s="1"/>
  <c r="J24" i="2" s="1"/>
  <c r="R21" i="2" l="1"/>
  <c r="R29" i="2"/>
  <c r="S16" i="2" s="1"/>
  <c r="R15" i="2"/>
  <c r="J31" i="2"/>
  <c r="S21" i="2" l="1"/>
  <c r="S29" i="2"/>
  <c r="T16" i="2" s="1"/>
  <c r="S15" i="2"/>
  <c r="R30" i="2"/>
  <c r="J25" i="2"/>
  <c r="T29" i="2" l="1"/>
  <c r="U16" i="2" s="1"/>
  <c r="T21" i="2"/>
  <c r="T15" i="2"/>
  <c r="S30" i="2"/>
  <c r="J26" i="2"/>
  <c r="J39" i="2"/>
  <c r="K22" i="2" s="1"/>
  <c r="K23" i="2" s="1"/>
  <c r="K24" i="2" s="1"/>
  <c r="U29" i="2" l="1"/>
  <c r="V16" i="2" s="1"/>
  <c r="U15" i="2"/>
  <c r="U21" i="2"/>
  <c r="U30" i="2" s="1"/>
  <c r="T30" i="2"/>
  <c r="K31" i="2"/>
  <c r="V29" i="2" l="1"/>
  <c r="V15" i="2"/>
  <c r="V21" i="2"/>
  <c r="V30" i="2" s="1"/>
  <c r="K25" i="2"/>
  <c r="K26" i="2" l="1"/>
  <c r="K39" i="2"/>
  <c r="L22" i="2" s="1"/>
  <c r="L23" i="2" s="1"/>
  <c r="L24" i="2" s="1"/>
  <c r="L31" i="2" l="1"/>
  <c r="L25" i="2" l="1"/>
  <c r="L26" i="2" l="1"/>
  <c r="L39" i="2"/>
  <c r="M22" i="2" l="1"/>
  <c r="M23" i="2" s="1"/>
  <c r="M24" i="2" s="1"/>
  <c r="M31" i="2" l="1"/>
  <c r="M25" i="2" l="1"/>
  <c r="M26" i="2" s="1"/>
  <c r="M39" i="2" l="1"/>
  <c r="N22" i="2" s="1"/>
  <c r="N23" i="2" s="1"/>
  <c r="N24" i="2" s="1"/>
  <c r="N31" i="2" l="1"/>
  <c r="N25" i="2" l="1"/>
  <c r="N26" i="2" s="1"/>
  <c r="N39" i="2" l="1"/>
  <c r="O22" i="2" s="1"/>
  <c r="O23" i="2" s="1"/>
  <c r="O24" i="2" s="1"/>
  <c r="O31" i="2" l="1"/>
  <c r="O25" i="2" l="1"/>
  <c r="O26" i="2" s="1"/>
  <c r="O39" i="2" l="1"/>
  <c r="P22" i="2"/>
  <c r="P23" i="2" s="1"/>
  <c r="P24" i="2" s="1"/>
  <c r="P31" i="2" l="1"/>
  <c r="P25" i="2" l="1"/>
  <c r="P26" i="2" s="1"/>
  <c r="P39" i="2" l="1"/>
  <c r="Q22" i="2" s="1"/>
  <c r="Q23" i="2" s="1"/>
  <c r="Q24" i="2" s="1"/>
  <c r="Q31" i="2" l="1"/>
  <c r="Q25" i="2" l="1"/>
  <c r="Q26" i="2" s="1"/>
  <c r="Q39" i="2" l="1"/>
  <c r="R22" i="2" s="1"/>
  <c r="R23" i="2" s="1"/>
  <c r="R24" i="2" s="1"/>
  <c r="R31" i="2" l="1"/>
  <c r="R25" i="2" l="1"/>
  <c r="R26" i="2" s="1"/>
  <c r="R39" i="2" l="1"/>
  <c r="S22" i="2" s="1"/>
  <c r="S23" i="2" s="1"/>
  <c r="S24" i="2" s="1"/>
  <c r="S31" i="2" l="1"/>
  <c r="S25" i="2" l="1"/>
  <c r="S26" i="2" s="1"/>
  <c r="S39" i="2"/>
  <c r="T22" i="2" l="1"/>
  <c r="T23" i="2" s="1"/>
  <c r="T24" i="2" s="1"/>
  <c r="T31" i="2" l="1"/>
  <c r="T25" i="2" l="1"/>
  <c r="T26" i="2" s="1"/>
  <c r="T39" i="2" l="1"/>
  <c r="U22" i="2" s="1"/>
  <c r="U23" i="2" s="1"/>
  <c r="U24" i="2" s="1"/>
  <c r="U31" i="2" l="1"/>
  <c r="U25" i="2" l="1"/>
  <c r="U26" i="2" l="1"/>
  <c r="U39" i="2"/>
  <c r="V22" i="2" l="1"/>
  <c r="V23" i="2" s="1"/>
  <c r="V24" i="2" s="1"/>
  <c r="V31" i="2" l="1"/>
  <c r="V25" i="2" l="1"/>
  <c r="V26" i="2" l="1"/>
  <c r="W25" i="2"/>
  <c r="V39" i="2"/>
  <c r="X25" i="2" l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FI25" i="2" s="1"/>
  <c r="FJ25" i="2" s="1"/>
  <c r="FK25" i="2" s="1"/>
  <c r="FL25" i="2" s="1"/>
  <c r="FM25" i="2" s="1"/>
  <c r="FN25" i="2" s="1"/>
  <c r="FO25" i="2" s="1"/>
  <c r="FP25" i="2" s="1"/>
  <c r="FQ25" i="2" s="1"/>
  <c r="FR25" i="2" s="1"/>
  <c r="FS25" i="2" s="1"/>
  <c r="FT25" i="2" s="1"/>
  <c r="FU25" i="2" s="1"/>
  <c r="FV25" i="2" s="1"/>
  <c r="FW25" i="2" s="1"/>
  <c r="FX25" i="2" s="1"/>
  <c r="FY25" i="2" s="1"/>
  <c r="FZ25" i="2" s="1"/>
  <c r="GA25" i="2" s="1"/>
  <c r="GB25" i="2" s="1"/>
  <c r="GC25" i="2" s="1"/>
  <c r="GD25" i="2" s="1"/>
  <c r="GE25" i="2" s="1"/>
  <c r="GF25" i="2" s="1"/>
  <c r="GG25" i="2" s="1"/>
  <c r="GH25" i="2" s="1"/>
  <c r="GI25" i="2" s="1"/>
  <c r="GJ25" i="2" s="1"/>
  <c r="GK25" i="2" s="1"/>
  <c r="GL25" i="2" s="1"/>
  <c r="GM25" i="2" s="1"/>
  <c r="GN25" i="2" s="1"/>
  <c r="GO25" i="2" s="1"/>
  <c r="GP25" i="2" s="1"/>
  <c r="GQ25" i="2" s="1"/>
  <c r="GR25" i="2" s="1"/>
  <c r="GS25" i="2" s="1"/>
  <c r="GT25" i="2" s="1"/>
  <c r="GU25" i="2" s="1"/>
  <c r="GV25" i="2" s="1"/>
  <c r="GW25" i="2" s="1"/>
  <c r="GX25" i="2" s="1"/>
  <c r="GY25" i="2" s="1"/>
  <c r="GZ25" i="2" s="1"/>
  <c r="HA25" i="2" s="1"/>
  <c r="HB25" i="2" s="1"/>
  <c r="HC25" i="2" s="1"/>
  <c r="HD25" i="2" s="1"/>
  <c r="HE25" i="2" s="1"/>
  <c r="HF25" i="2" s="1"/>
  <c r="HG25" i="2" s="1"/>
  <c r="HH25" i="2" s="1"/>
  <c r="HI25" i="2" s="1"/>
  <c r="HJ25" i="2" s="1"/>
  <c r="HK25" i="2" s="1"/>
  <c r="HL25" i="2" s="1"/>
  <c r="HM25" i="2" s="1"/>
  <c r="HN25" i="2" s="1"/>
  <c r="HO25" i="2" s="1"/>
  <c r="HP25" i="2" s="1"/>
  <c r="HQ25" i="2" s="1"/>
  <c r="HR25" i="2" s="1"/>
  <c r="HS25" i="2" s="1"/>
  <c r="HT25" i="2" s="1"/>
  <c r="HU25" i="2" s="1"/>
  <c r="HV25" i="2" s="1"/>
  <c r="HW25" i="2" s="1"/>
  <c r="HX25" i="2" s="1"/>
  <c r="HY25" i="2" s="1"/>
  <c r="HZ25" i="2" s="1"/>
  <c r="IA25" i="2" s="1"/>
  <c r="IB25" i="2" s="1"/>
  <c r="IC25" i="2" s="1"/>
  <c r="ID25" i="2" s="1"/>
  <c r="IE25" i="2" s="1"/>
  <c r="IF25" i="2" s="1"/>
  <c r="IG25" i="2" s="1"/>
  <c r="IH25" i="2" s="1"/>
  <c r="II25" i="2" s="1"/>
  <c r="IJ25" i="2" s="1"/>
  <c r="IK25" i="2" s="1"/>
  <c r="G6" i="2" l="1"/>
  <c r="G7" i="2" l="1"/>
  <c r="G8" i="2" s="1"/>
  <c r="H8" i="2" s="1"/>
</calcChain>
</file>

<file path=xl/sharedStrings.xml><?xml version="1.0" encoding="utf-8"?>
<sst xmlns="http://schemas.openxmlformats.org/spreadsheetml/2006/main" count="125" uniqueCount="82">
  <si>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</si>
  <si>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</si>
  <si>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</si>
  <si>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</si>
  <si>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</si>
  <si>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</si>
  <si>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</si>
  <si>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</si>
  <si>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</si>
  <si>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</si>
  <si>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</si>
  <si>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</si>
  <si>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</si>
  <si>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</si>
  <si>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</si>
  <si>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</si>
  <si>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</si>
  <si>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</si>
  <si>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</si>
  <si>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</si>
  <si>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</si>
  <si>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</si>
  <si>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</si>
  <si>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</si>
  <si>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</si>
  <si>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</si>
  <si>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</si>
  <si>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</si>
  <si>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</si>
  <si>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</si>
  <si>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</si>
  <si>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</si>
  <si>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</si>
  <si>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</si>
  <si>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</si>
  <si>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</si>
  <si>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</si>
  <si>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</si>
  <si>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</si>
  <si>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</si>
  <si>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</si>
  <si>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</si>
  <si>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</si>
  <si>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</si>
  <si>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</si>
  <si>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</si>
  <si>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</si>
  <si>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</si>
  <si>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</si>
  <si>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</si>
  <si>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</si>
  <si>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</si>
  <si>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</si>
  <si>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</si>
  <si>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</si>
  <si>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</si>
  <si>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</si>
  <si>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</si>
  <si>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</si>
  <si>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</si>
  <si>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</si>
  <si>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</si>
  <si>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</si>
  <si>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Tax anomaly</t>
  </si>
  <si>
    <t>ServiceNow Inc (NOW)</t>
  </si>
  <si>
    <t>Q116</t>
  </si>
  <si>
    <t>Q216</t>
  </si>
  <si>
    <t>Q316</t>
  </si>
  <si>
    <t>Q416</t>
  </si>
  <si>
    <t>Subscription</t>
  </si>
  <si>
    <t>Professional services</t>
  </si>
  <si>
    <t>Subscription y/y</t>
  </si>
  <si>
    <t>Professional services y/y</t>
  </si>
  <si>
    <t>ServiceNow</t>
  </si>
  <si>
    <t>IT automation and workflow platform</t>
  </si>
  <si>
    <t>Bill McDermott</t>
  </si>
  <si>
    <t>Fred Luddy</t>
  </si>
  <si>
    <t>David Loo</t>
  </si>
  <si>
    <t>INVESTOR</t>
  </si>
  <si>
    <t>Net Income TTM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</si>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</sst>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Border="1" applyAlignment="1">
      <alignment horizontal="right"/>
    </xf>
    <xf numFmtId="14" fontId="8" fillId="0" borderId="0" xfId="0" applyNumberFormat="1" applyFont="1"/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7" fillId="0" borderId="0" xfId="4"/>
    <xf numFmtId="14" fontId="8" fillId="0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9" fontId="6" fillId="0" borderId="0" xfId="0" applyNumberFormat="1" applyFont="1" applyFill="1" applyBorder="1"/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137746</xdr:colOff>
      <xdr:row>9</xdr:row>
      <xdr:rowOff>0</xdr:rowOff>
    </xdr:from>
    <xdr:to>
      <xdr:col>7</xdr:col>
      <xdr:colOff>137746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10284" y="1328615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176824</xdr:colOff>
      <xdr:row>2</xdr:row>
      <xdr:rowOff>12700</xdr:rowOff>
    </xdr:from>
    <xdr:to>
      <xdr:col>22</xdr:col>
      <xdr:colOff>176824</xdr:colOff>
      <xdr:row>54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8318286" y="178777"/>
          <a:ext cx="0" cy="86135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fred_luddy" TargetMode="External"/><Relationship Id="rId2" Type="http://schemas.openxmlformats.org/officeDocument/2006/relationships/hyperlink" Target="https://twitter.com/billrmcdermott" TargetMode="External"/><Relationship Id="rId1" Type="http://schemas.openxmlformats.org/officeDocument/2006/relationships/hyperlink" Target="https://www.servicenow.com/company/investor-relations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linkedin.com/in/david-loo-283922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373715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56"/>
  <sheetViews>
    <sheetView zoomScale="130" zoomScaleNormal="130" workbookViewId="0">
      <pane xSplit="2" ySplit="10" topLeftCell="C12" activePane="bottomRight" state="frozen"/>
      <selection pane="topRight" activeCell="B1" sqref="B1"/>
      <selection pane="bottomLeft" activeCell="A11" sqref="A11"/>
      <selection pane="bottomRight" activeCell="J43" sqref="J43"/>
    </sheetView>
  </sheetViews>
  <sheetFormatPr baseColWidth="10" defaultRowHeight="13" x14ac:dyDescent="0.15"/>
  <cols>
    <col min="1" max="1" width="9.83203125" style="1" bestFit="1" customWidth="1"/>
    <col min="2" max="2" width="20.1640625" style="1" bestFit="1" customWidth="1"/>
    <col min="3" max="16384" width="10.83203125" style="1"/>
  </cols>
  <sheetData>
    <row r="1" spans="1:22" x14ac:dyDescent="0.15">
      <c r="A1" s="80" t="s">
        <v>78</v>
      </c>
    </row>
    <row r="2" spans="1:22" x14ac:dyDescent="0.15">
      <c r="C2" s="15" t="s">
        <v>64</v>
      </c>
    </row>
    <row r="3" spans="1:22" x14ac:dyDescent="0.15">
      <c r="C3" s="1" t="s">
        <v>40</v>
      </c>
      <c r="D3" s="2">
        <v>577.46</v>
      </c>
      <c r="E3" s="69">
        <v>44245</v>
      </c>
      <c r="F3" s="3" t="s">
        <v>25</v>
      </c>
      <c r="G3" s="4">
        <v>-5.0000000000000001E-3</v>
      </c>
      <c r="K3" s="16"/>
    </row>
    <row r="4" spans="1:22" x14ac:dyDescent="0.15">
      <c r="B4" s="15" t="s">
        <v>38</v>
      </c>
      <c r="C4" s="1" t="s">
        <v>17</v>
      </c>
      <c r="D4" s="5">
        <f>Reports!V21</f>
        <v>202.45500000000001</v>
      </c>
      <c r="E4" s="70" t="s">
        <v>61</v>
      </c>
      <c r="F4" s="3" t="s">
        <v>26</v>
      </c>
      <c r="G4" s="4">
        <v>0.02</v>
      </c>
      <c r="H4" s="6"/>
      <c r="K4" s="16"/>
    </row>
    <row r="5" spans="1:22" x14ac:dyDescent="0.15">
      <c r="B5" s="80" t="s">
        <v>75</v>
      </c>
      <c r="C5" s="1" t="s">
        <v>41</v>
      </c>
      <c r="D5" s="7">
        <f>D3*D4</f>
        <v>116909.66430000002</v>
      </c>
      <c r="E5" s="71"/>
      <c r="F5" s="3" t="s">
        <v>27</v>
      </c>
      <c r="G5" s="4">
        <v>0.06</v>
      </c>
      <c r="H5" s="6"/>
      <c r="K5" s="14"/>
    </row>
    <row r="6" spans="1:22" x14ac:dyDescent="0.15">
      <c r="C6" s="1" t="s">
        <v>22</v>
      </c>
      <c r="D6" s="5">
        <f>Reports!V33</f>
        <v>2920</v>
      </c>
      <c r="E6" s="70" t="s">
        <v>61</v>
      </c>
      <c r="F6" s="3" t="s">
        <v>28</v>
      </c>
      <c r="G6" s="8">
        <f>NPV(G5,H25:DR25)</f>
        <v>98025.158245130835</v>
      </c>
      <c r="H6" s="6"/>
      <c r="K6" s="14"/>
    </row>
    <row r="7" spans="1:22" x14ac:dyDescent="0.15">
      <c r="B7" s="15" t="s">
        <v>39</v>
      </c>
      <c r="C7" s="1" t="s">
        <v>42</v>
      </c>
      <c r="D7" s="7">
        <f>D5-D6</f>
        <v>113989.66430000002</v>
      </c>
      <c r="E7" s="71"/>
      <c r="F7" s="9" t="s">
        <v>29</v>
      </c>
      <c r="G7" s="10">
        <f>G6+D6</f>
        <v>100945.15824513083</v>
      </c>
      <c r="K7" s="14"/>
    </row>
    <row r="8" spans="1:22" x14ac:dyDescent="0.15">
      <c r="B8" s="80" t="s">
        <v>76</v>
      </c>
      <c r="C8" s="6" t="s">
        <v>43</v>
      </c>
      <c r="D8" s="11">
        <f>D7/D4</f>
        <v>563.03704181176067</v>
      </c>
      <c r="E8" s="71"/>
      <c r="F8" s="12" t="s">
        <v>43</v>
      </c>
      <c r="G8" s="13">
        <f>G7/D4</f>
        <v>498.60540982011224</v>
      </c>
      <c r="H8" s="14">
        <f>G8/D3-1</f>
        <v>-0.13655420320002731</v>
      </c>
    </row>
    <row r="9" spans="1:22" x14ac:dyDescent="0.15">
      <c r="B9" s="80" t="s">
        <v>77</v>
      </c>
    </row>
    <row r="10" spans="1:22" x14ac:dyDescent="0.15">
      <c r="C10" s="1">
        <v>2016</v>
      </c>
      <c r="D10" s="1">
        <f>C10+1</f>
        <v>2017</v>
      </c>
      <c r="E10" s="1">
        <f>D10+1</f>
        <v>2018</v>
      </c>
      <c r="F10" s="1">
        <f t="shared" ref="F10:V10" si="0">E10+1</f>
        <v>2019</v>
      </c>
      <c r="G10" s="1">
        <f t="shared" si="0"/>
        <v>2020</v>
      </c>
      <c r="H10" s="1">
        <f t="shared" si="0"/>
        <v>2021</v>
      </c>
      <c r="I10" s="1">
        <f t="shared" si="0"/>
        <v>2022</v>
      </c>
      <c r="J10" s="1">
        <f t="shared" si="0"/>
        <v>2023</v>
      </c>
      <c r="K10" s="1">
        <f t="shared" si="0"/>
        <v>2024</v>
      </c>
      <c r="L10" s="1">
        <f t="shared" si="0"/>
        <v>2025</v>
      </c>
      <c r="M10" s="1">
        <f t="shared" si="0"/>
        <v>2026</v>
      </c>
      <c r="N10" s="1">
        <f t="shared" si="0"/>
        <v>2027</v>
      </c>
      <c r="O10" s="1">
        <f t="shared" si="0"/>
        <v>2028</v>
      </c>
      <c r="P10" s="1">
        <f t="shared" si="0"/>
        <v>2029</v>
      </c>
      <c r="Q10" s="1">
        <f t="shared" si="0"/>
        <v>2030</v>
      </c>
      <c r="R10" s="1">
        <f t="shared" si="0"/>
        <v>2031</v>
      </c>
      <c r="S10" s="1">
        <f t="shared" si="0"/>
        <v>2032</v>
      </c>
      <c r="T10" s="1">
        <f t="shared" si="0"/>
        <v>2033</v>
      </c>
      <c r="U10" s="1">
        <f t="shared" si="0"/>
        <v>2034</v>
      </c>
      <c r="V10" s="1">
        <f t="shared" si="0"/>
        <v>2035</v>
      </c>
    </row>
    <row r="11" spans="1:22" x14ac:dyDescent="0.15">
      <c r="B11" s="73" t="s">
        <v>69</v>
      </c>
      <c r="C11" s="16">
        <f>SUM(Reports!C4:F4)</f>
        <v>1374.2670000000001</v>
      </c>
      <c r="D11" s="16">
        <f>SUM(Reports!G4:J4)</f>
        <v>1739.5000000000002</v>
      </c>
      <c r="E11" s="16">
        <f>SUM(Reports!K4:N4)</f>
        <v>2421.3130000000001</v>
      </c>
      <c r="F11" s="16">
        <f>SUM(Reports!O4:R4)</f>
        <v>3255.0789999999997</v>
      </c>
      <c r="G11" s="16">
        <f>SUM(Reports!S4:V4)</f>
        <v>4285.7970000000005</v>
      </c>
      <c r="H11" s="16">
        <f>G11*1.3</f>
        <v>5571.5361000000012</v>
      </c>
      <c r="I11" s="16">
        <f t="shared" ref="I11:L11" si="1">H11*1.3</f>
        <v>7242.9969300000021</v>
      </c>
      <c r="J11" s="16">
        <f t="shared" si="1"/>
        <v>9415.8960090000037</v>
      </c>
      <c r="K11" s="16">
        <f t="shared" si="1"/>
        <v>12240.664811700006</v>
      </c>
      <c r="L11" s="16">
        <f t="shared" si="1"/>
        <v>15912.864255210008</v>
      </c>
    </row>
    <row r="12" spans="1:22" x14ac:dyDescent="0.15">
      <c r="B12" s="73" t="s">
        <v>70</v>
      </c>
      <c r="C12" s="16">
        <f>SUM(Reports!C5:F5)</f>
        <v>176.95000000000002</v>
      </c>
      <c r="D12" s="16">
        <f>SUM(Reports!G5:J5)</f>
        <v>178.994</v>
      </c>
      <c r="E12" s="16">
        <f>SUM(Reports!K5:N5)</f>
        <v>187.50299999999999</v>
      </c>
      <c r="F12" s="16">
        <f>SUM(Reports!O5:R5)</f>
        <v>205.358</v>
      </c>
      <c r="G12" s="16">
        <f>SUM(Reports!S5:V5)</f>
        <v>233.68700000000001</v>
      </c>
      <c r="H12" s="16">
        <f>G12*1.1</f>
        <v>257.05570000000006</v>
      </c>
      <c r="I12" s="16">
        <f t="shared" ref="I12:L12" si="2">H12*1.1</f>
        <v>282.76127000000008</v>
      </c>
      <c r="J12" s="16">
        <f t="shared" si="2"/>
        <v>311.03739700000011</v>
      </c>
      <c r="K12" s="16">
        <f t="shared" si="2"/>
        <v>342.14113670000017</v>
      </c>
      <c r="L12" s="16">
        <f t="shared" si="2"/>
        <v>376.35525037000025</v>
      </c>
    </row>
    <row r="13" spans="1:22" s="6" customFormat="1" x14ac:dyDescent="0.15">
      <c r="C13" s="84"/>
      <c r="D13" s="84"/>
      <c r="E13" s="84">
        <v>2400</v>
      </c>
      <c r="F13" s="84"/>
      <c r="G13" s="84">
        <v>4257</v>
      </c>
      <c r="H13" s="84"/>
      <c r="I13" s="84"/>
    </row>
    <row r="14" spans="1:22" x14ac:dyDescent="0.15">
      <c r="B14" s="15" t="s">
        <v>4</v>
      </c>
      <c r="C14" s="22">
        <f t="shared" ref="C14:H14" si="3">SUM(C11:C12)</f>
        <v>1551.2170000000001</v>
      </c>
      <c r="D14" s="22">
        <f t="shared" si="3"/>
        <v>1918.4940000000001</v>
      </c>
      <c r="E14" s="22">
        <f t="shared" si="3"/>
        <v>2608.8160000000003</v>
      </c>
      <c r="F14" s="22">
        <f t="shared" si="3"/>
        <v>3460.4369999999999</v>
      </c>
      <c r="G14" s="22">
        <f t="shared" si="3"/>
        <v>4519.4840000000004</v>
      </c>
      <c r="H14" s="17">
        <f t="shared" si="3"/>
        <v>5828.5918000000011</v>
      </c>
      <c r="I14" s="17">
        <f t="shared" ref="I14:L14" si="4">SUM(I11:I12)</f>
        <v>7525.758200000002</v>
      </c>
      <c r="J14" s="17">
        <f t="shared" si="4"/>
        <v>9726.9334060000037</v>
      </c>
      <c r="K14" s="17">
        <f t="shared" si="4"/>
        <v>12582.805948400006</v>
      </c>
      <c r="L14" s="17">
        <f t="shared" si="4"/>
        <v>16289.219505580008</v>
      </c>
      <c r="M14" s="17">
        <f>L14*1.15</f>
        <v>18732.602431417006</v>
      </c>
      <c r="N14" s="17">
        <f t="shared" ref="N14:Q14" si="5">M14*1.15</f>
        <v>21542.492796129554</v>
      </c>
      <c r="O14" s="17">
        <f t="shared" si="5"/>
        <v>24773.866715548986</v>
      </c>
      <c r="P14" s="17">
        <f t="shared" si="5"/>
        <v>28489.94672288133</v>
      </c>
      <c r="Q14" s="17">
        <f t="shared" si="5"/>
        <v>32763.438731313527</v>
      </c>
      <c r="R14" s="17">
        <f>Q14*1.1</f>
        <v>36039.782604444881</v>
      </c>
      <c r="S14" s="17">
        <f t="shared" ref="S14:V14" si="6">R14*1.1</f>
        <v>39643.760864889373</v>
      </c>
      <c r="T14" s="17">
        <f t="shared" si="6"/>
        <v>43608.136951378314</v>
      </c>
      <c r="U14" s="17">
        <f t="shared" si="6"/>
        <v>47968.950646516147</v>
      </c>
      <c r="V14" s="17">
        <f t="shared" si="6"/>
        <v>52765.845711167764</v>
      </c>
    </row>
    <row r="15" spans="1:22" x14ac:dyDescent="0.15">
      <c r="B15" s="1" t="s">
        <v>5</v>
      </c>
      <c r="C15" s="16">
        <f>SUM(Reports!C8:F8)</f>
        <v>428.10599999999999</v>
      </c>
      <c r="D15" s="16">
        <f>SUM(Reports!G8:J8)</f>
        <v>499.86199999999997</v>
      </c>
      <c r="E15" s="16">
        <f>SUM(Reports!K8:N8)</f>
        <v>622.49300000000005</v>
      </c>
      <c r="F15" s="16">
        <f>SUM(Reports!O8:R8)</f>
        <v>796.64499999999998</v>
      </c>
      <c r="G15" s="16">
        <f>SUM(Reports!S8:V8)</f>
        <v>987.11300000000006</v>
      </c>
      <c r="H15" s="5">
        <f t="shared" ref="H15" si="7">H14-H16</f>
        <v>1273.0388552041341</v>
      </c>
      <c r="I15" s="5">
        <f t="shared" ref="I15:Q15" si="8">I14-I16</f>
        <v>1643.721662489922</v>
      </c>
      <c r="J15" s="5">
        <f t="shared" si="8"/>
        <v>2124.4864270339012</v>
      </c>
      <c r="K15" s="5">
        <f t="shared" si="8"/>
        <v>2748.2454475207742</v>
      </c>
      <c r="L15" s="5">
        <f t="shared" si="8"/>
        <v>3557.7734833913782</v>
      </c>
      <c r="M15" s="5">
        <f t="shared" si="8"/>
        <v>4091.4395059000835</v>
      </c>
      <c r="N15" s="5">
        <f t="shared" si="8"/>
        <v>4705.1554317850969</v>
      </c>
      <c r="O15" s="5">
        <f t="shared" si="8"/>
        <v>5410.9287465528614</v>
      </c>
      <c r="P15" s="5">
        <f t="shared" si="8"/>
        <v>6222.5680585357877</v>
      </c>
      <c r="Q15" s="5">
        <f t="shared" si="8"/>
        <v>7155.9532673161557</v>
      </c>
      <c r="R15" s="5">
        <f t="shared" ref="R15:T15" si="9">R14-R16</f>
        <v>7871.5485940477738</v>
      </c>
      <c r="S15" s="5">
        <f t="shared" si="9"/>
        <v>8658.7034534525519</v>
      </c>
      <c r="T15" s="5">
        <f t="shared" si="9"/>
        <v>9524.5737987978064</v>
      </c>
      <c r="U15" s="5">
        <f t="shared" ref="U15:V15" si="10">U14-U16</f>
        <v>10477.031178677586</v>
      </c>
      <c r="V15" s="5">
        <f t="shared" si="10"/>
        <v>11524.734296545343</v>
      </c>
    </row>
    <row r="16" spans="1:22" x14ac:dyDescent="0.15">
      <c r="B16" s="1" t="s">
        <v>6</v>
      </c>
      <c r="C16" s="7">
        <f>C14-C15</f>
        <v>1123.1110000000001</v>
      </c>
      <c r="D16" s="7">
        <f>D14-D15</f>
        <v>1418.6320000000001</v>
      </c>
      <c r="E16" s="7">
        <f>E14-E15</f>
        <v>1986.3230000000003</v>
      </c>
      <c r="F16" s="7">
        <f>F14-F15</f>
        <v>2663.7919999999999</v>
      </c>
      <c r="G16" s="7">
        <f>G14-G15</f>
        <v>3532.3710000000001</v>
      </c>
      <c r="H16" s="5">
        <f t="shared" ref="H16:V16" si="11">H14*G29</f>
        <v>4555.552944795867</v>
      </c>
      <c r="I16" s="5">
        <f t="shared" si="11"/>
        <v>5882.0365375100801</v>
      </c>
      <c r="J16" s="5">
        <f t="shared" si="11"/>
        <v>7602.4469789661025</v>
      </c>
      <c r="K16" s="5">
        <f t="shared" si="11"/>
        <v>9834.5605008792318</v>
      </c>
      <c r="L16" s="5">
        <f t="shared" si="11"/>
        <v>12731.446022188629</v>
      </c>
      <c r="M16" s="5">
        <f t="shared" si="11"/>
        <v>14641.162925516923</v>
      </c>
      <c r="N16" s="5">
        <f t="shared" si="11"/>
        <v>16837.337364344457</v>
      </c>
      <c r="O16" s="5">
        <f t="shared" si="11"/>
        <v>19362.937968996124</v>
      </c>
      <c r="P16" s="5">
        <f t="shared" si="11"/>
        <v>22267.378664345542</v>
      </c>
      <c r="Q16" s="5">
        <f t="shared" si="11"/>
        <v>25607.485463997371</v>
      </c>
      <c r="R16" s="5">
        <f t="shared" si="11"/>
        <v>28168.234010397107</v>
      </c>
      <c r="S16" s="5">
        <f t="shared" si="11"/>
        <v>30985.057411436821</v>
      </c>
      <c r="T16" s="5">
        <f t="shared" si="11"/>
        <v>34083.563152580507</v>
      </c>
      <c r="U16" s="5">
        <f t="shared" si="11"/>
        <v>37491.919467838561</v>
      </c>
      <c r="V16" s="5">
        <f t="shared" si="11"/>
        <v>41241.111414622421</v>
      </c>
    </row>
    <row r="17" spans="2:245" x14ac:dyDescent="0.15">
      <c r="B17" s="1" t="s">
        <v>7</v>
      </c>
      <c r="C17" s="16">
        <f>SUM(Reports!C10:F10)</f>
        <v>316</v>
      </c>
      <c r="D17" s="16">
        <f>SUM(Reports!G10:J10)</f>
        <v>376.55899999999997</v>
      </c>
      <c r="E17" s="16">
        <f>SUM(Reports!K10:N10)</f>
        <v>530</v>
      </c>
      <c r="F17" s="16">
        <f>SUM(Reports!O10:R10)</f>
        <v>748</v>
      </c>
      <c r="G17" s="16">
        <f>SUM(Reports!S10:V10)</f>
        <v>1024</v>
      </c>
      <c r="H17" s="5">
        <f>G17*1.3</f>
        <v>1331.2</v>
      </c>
      <c r="I17" s="5">
        <f t="shared" ref="I17:L17" si="12">H17*1.3</f>
        <v>1730.5600000000002</v>
      </c>
      <c r="J17" s="5">
        <f t="shared" si="12"/>
        <v>2249.7280000000005</v>
      </c>
      <c r="K17" s="5">
        <f t="shared" si="12"/>
        <v>2924.646400000001</v>
      </c>
      <c r="L17" s="5">
        <f t="shared" si="12"/>
        <v>3802.0403200000014</v>
      </c>
      <c r="M17" s="5">
        <f>L17*1.15</f>
        <v>4372.3463680000013</v>
      </c>
      <c r="N17" s="5">
        <f t="shared" ref="N17:Q17" si="13">M17*1.15</f>
        <v>5028.1983232000011</v>
      </c>
      <c r="O17" s="5">
        <f t="shared" si="13"/>
        <v>5782.4280716800013</v>
      </c>
      <c r="P17" s="5">
        <f t="shared" si="13"/>
        <v>6649.7922824320012</v>
      </c>
      <c r="Q17" s="5">
        <f t="shared" si="13"/>
        <v>7647.2611247968007</v>
      </c>
      <c r="R17" s="5">
        <f>Q17*1.1</f>
        <v>8411.9872372764821</v>
      </c>
      <c r="S17" s="5">
        <f t="shared" ref="S17:V17" si="14">R17*1.1</f>
        <v>9253.185961004132</v>
      </c>
      <c r="T17" s="5">
        <f t="shared" si="14"/>
        <v>10178.504557104547</v>
      </c>
      <c r="U17" s="5">
        <f t="shared" si="14"/>
        <v>11196.355012815002</v>
      </c>
      <c r="V17" s="5">
        <f t="shared" si="14"/>
        <v>12315.990514096504</v>
      </c>
    </row>
    <row r="18" spans="2:245" x14ac:dyDescent="0.15">
      <c r="B18" s="1" t="s">
        <v>8</v>
      </c>
      <c r="C18" s="16">
        <f>SUM(Reports!C11:F11)</f>
        <v>772</v>
      </c>
      <c r="D18" s="16">
        <f>SUM(Reports!G11:J11)</f>
        <v>895</v>
      </c>
      <c r="E18" s="16">
        <f>SUM(Reports!K11:N11)</f>
        <v>1203</v>
      </c>
      <c r="F18" s="16">
        <f>SUM(Reports!O11:R11)</f>
        <v>1534</v>
      </c>
      <c r="G18" s="16">
        <f>SUM(Reports!S11:V11)</f>
        <v>1855</v>
      </c>
      <c r="H18" s="5">
        <f>G18*1.2</f>
        <v>2226</v>
      </c>
      <c r="I18" s="5">
        <f t="shared" ref="I18:L18" si="15">H18*1.2</f>
        <v>2671.2</v>
      </c>
      <c r="J18" s="5">
        <f t="shared" si="15"/>
        <v>3205.4399999999996</v>
      </c>
      <c r="K18" s="5">
        <f t="shared" si="15"/>
        <v>3846.5279999999993</v>
      </c>
      <c r="L18" s="5">
        <f t="shared" si="15"/>
        <v>4615.833599999999</v>
      </c>
      <c r="M18" s="5">
        <f>L18*1.1</f>
        <v>5077.4169599999996</v>
      </c>
      <c r="N18" s="5">
        <f t="shared" ref="N18:Q18" si="16">M18*1.1</f>
        <v>5585.1586559999996</v>
      </c>
      <c r="O18" s="5">
        <f t="shared" si="16"/>
        <v>6143.6745215999999</v>
      </c>
      <c r="P18" s="5">
        <f t="shared" si="16"/>
        <v>6758.0419737600005</v>
      </c>
      <c r="Q18" s="5">
        <f t="shared" si="16"/>
        <v>7433.8461711360014</v>
      </c>
      <c r="R18" s="5">
        <f>Q18*1.15</f>
        <v>8548.9230968064003</v>
      </c>
      <c r="S18" s="5">
        <f t="shared" ref="S18:V18" si="17">R18*1.15</f>
        <v>9831.2615613273592</v>
      </c>
      <c r="T18" s="5">
        <f t="shared" si="17"/>
        <v>11305.950795526462</v>
      </c>
      <c r="U18" s="5">
        <f t="shared" si="17"/>
        <v>13001.84341485543</v>
      </c>
      <c r="V18" s="5">
        <f t="shared" si="17"/>
        <v>14952.119927083742</v>
      </c>
    </row>
    <row r="19" spans="2:245" x14ac:dyDescent="0.15">
      <c r="B19" s="1" t="s">
        <v>9</v>
      </c>
      <c r="C19" s="16">
        <f>SUM(Reports!C12:F12)</f>
        <v>447</v>
      </c>
      <c r="D19" s="16">
        <f>SUM(Reports!G12:J12)</f>
        <v>210</v>
      </c>
      <c r="E19" s="16">
        <f>SUM(Reports!K12:N12)</f>
        <v>296</v>
      </c>
      <c r="F19" s="16">
        <f>SUM(Reports!O12:R12)</f>
        <v>338</v>
      </c>
      <c r="G19" s="16">
        <f>SUM(Reports!S12:V12)</f>
        <v>454</v>
      </c>
      <c r="H19" s="5">
        <f>G19*1.3</f>
        <v>590.20000000000005</v>
      </c>
      <c r="I19" s="5">
        <f t="shared" ref="I19:L19" si="18">H19*1.3</f>
        <v>767.2600000000001</v>
      </c>
      <c r="J19" s="5">
        <f t="shared" si="18"/>
        <v>997.43800000000022</v>
      </c>
      <c r="K19" s="5">
        <f t="shared" si="18"/>
        <v>1296.6694000000002</v>
      </c>
      <c r="L19" s="5">
        <f t="shared" si="18"/>
        <v>1685.6702200000004</v>
      </c>
      <c r="M19" s="5">
        <f>L19*1.1</f>
        <v>1854.2372420000006</v>
      </c>
      <c r="N19" s="5">
        <f t="shared" ref="N19:Q19" si="19">M19*1.1</f>
        <v>2039.6609662000008</v>
      </c>
      <c r="O19" s="5">
        <f t="shared" si="19"/>
        <v>2243.6270628200009</v>
      </c>
      <c r="P19" s="5">
        <f t="shared" si="19"/>
        <v>2467.989769102001</v>
      </c>
      <c r="Q19" s="5">
        <f t="shared" si="19"/>
        <v>2714.7887460122015</v>
      </c>
      <c r="R19" s="5">
        <f>Q19*1.05</f>
        <v>2850.5281833128115</v>
      </c>
      <c r="S19" s="5">
        <f t="shared" ref="S19:V19" si="20">R19*1.05</f>
        <v>2993.0545924784524</v>
      </c>
      <c r="T19" s="5">
        <f t="shared" si="20"/>
        <v>3142.7073221023752</v>
      </c>
      <c r="U19" s="5">
        <f t="shared" si="20"/>
        <v>3299.8426882074941</v>
      </c>
      <c r="V19" s="5">
        <f t="shared" si="20"/>
        <v>3464.8348226178691</v>
      </c>
    </row>
    <row r="20" spans="2:245" x14ac:dyDescent="0.15">
      <c r="B20" s="1" t="s">
        <v>10</v>
      </c>
      <c r="C20" s="7">
        <f>SUM(C17:C19)</f>
        <v>1535</v>
      </c>
      <c r="D20" s="7">
        <f>SUM(D17:D19)</f>
        <v>1481.559</v>
      </c>
      <c r="E20" s="7">
        <f>SUM(E17:E19)</f>
        <v>2029</v>
      </c>
      <c r="F20" s="7">
        <f>SUM(F17:F19)</f>
        <v>2620</v>
      </c>
      <c r="G20" s="7">
        <f>SUM(G17:G19)</f>
        <v>3333</v>
      </c>
      <c r="H20" s="5">
        <f t="shared" ref="H20" si="21">SUM(H17:H19)</f>
        <v>4147.3999999999996</v>
      </c>
      <c r="I20" s="5">
        <f t="shared" ref="I20:Q20" si="22">SUM(I17:I19)</f>
        <v>5169.0200000000004</v>
      </c>
      <c r="J20" s="5">
        <f t="shared" si="22"/>
        <v>6452.6059999999998</v>
      </c>
      <c r="K20" s="5">
        <f>SUM(K17:K19)</f>
        <v>8067.8438000000006</v>
      </c>
      <c r="L20" s="5">
        <f t="shared" si="22"/>
        <v>10103.54414</v>
      </c>
      <c r="M20" s="5">
        <f t="shared" si="22"/>
        <v>11304.000570000002</v>
      </c>
      <c r="N20" s="5">
        <f t="shared" si="22"/>
        <v>12653.017945400003</v>
      </c>
      <c r="O20" s="5">
        <f t="shared" si="22"/>
        <v>14169.7296561</v>
      </c>
      <c r="P20" s="5">
        <f t="shared" si="22"/>
        <v>15875.824025294003</v>
      </c>
      <c r="Q20" s="5">
        <f t="shared" si="22"/>
        <v>17795.896041945001</v>
      </c>
      <c r="R20" s="5">
        <f t="shared" ref="R20:T20" si="23">SUM(R17:R19)</f>
        <v>19811.438517395691</v>
      </c>
      <c r="S20" s="5">
        <f t="shared" si="23"/>
        <v>22077.502114809944</v>
      </c>
      <c r="T20" s="5">
        <f t="shared" si="23"/>
        <v>24627.162674733383</v>
      </c>
      <c r="U20" s="5">
        <f t="shared" ref="U20:V20" si="24">SUM(U17:U19)</f>
        <v>27498.041115877924</v>
      </c>
      <c r="V20" s="5">
        <f t="shared" si="24"/>
        <v>30732.945263798112</v>
      </c>
    </row>
    <row r="21" spans="2:245" x14ac:dyDescent="0.15">
      <c r="B21" s="1" t="s">
        <v>11</v>
      </c>
      <c r="C21" s="7">
        <f>C16-C20</f>
        <v>-411.8889999999999</v>
      </c>
      <c r="D21" s="7">
        <f>D16-D20</f>
        <v>-62.926999999999907</v>
      </c>
      <c r="E21" s="7">
        <f>E16-E20</f>
        <v>-42.67699999999968</v>
      </c>
      <c r="F21" s="7">
        <f>F16-F20</f>
        <v>43.791999999999916</v>
      </c>
      <c r="G21" s="7">
        <f>G16-G20</f>
        <v>199.37100000000009</v>
      </c>
      <c r="H21" s="5">
        <f t="shared" ref="H21" si="25">H16-H20</f>
        <v>408.15294479586737</v>
      </c>
      <c r="I21" s="5">
        <f t="shared" ref="I21:Q21" si="26">I16-I20</f>
        <v>713.01653751007962</v>
      </c>
      <c r="J21" s="5">
        <f t="shared" si="26"/>
        <v>1149.8409789661027</v>
      </c>
      <c r="K21" s="5">
        <f>K16-K20</f>
        <v>1766.7167008792312</v>
      </c>
      <c r="L21" s="5">
        <f t="shared" si="26"/>
        <v>2627.9018821886293</v>
      </c>
      <c r="M21" s="5">
        <f t="shared" si="26"/>
        <v>3337.1623555169208</v>
      </c>
      <c r="N21" s="5">
        <f t="shared" si="26"/>
        <v>4184.3194189444548</v>
      </c>
      <c r="O21" s="5">
        <f t="shared" si="26"/>
        <v>5193.208312896124</v>
      </c>
      <c r="P21" s="5">
        <f t="shared" si="26"/>
        <v>6391.5546390515392</v>
      </c>
      <c r="Q21" s="5">
        <f t="shared" si="26"/>
        <v>7811.5894220523696</v>
      </c>
      <c r="R21" s="5">
        <f t="shared" ref="R21:T21" si="27">R16-R20</f>
        <v>8356.7954930014166</v>
      </c>
      <c r="S21" s="5">
        <f t="shared" si="27"/>
        <v>8907.555296626877</v>
      </c>
      <c r="T21" s="5">
        <f t="shared" si="27"/>
        <v>9456.4004778471244</v>
      </c>
      <c r="U21" s="5">
        <f t="shared" ref="U21:V21" si="28">U16-U20</f>
        <v>9993.8783519606368</v>
      </c>
      <c r="V21" s="5">
        <f t="shared" si="28"/>
        <v>10508.166150824309</v>
      </c>
    </row>
    <row r="22" spans="2:245" x14ac:dyDescent="0.15">
      <c r="B22" s="1" t="s">
        <v>12</v>
      </c>
      <c r="C22" s="16">
        <f>SUM(Reports!C15:F15)</f>
        <v>-31</v>
      </c>
      <c r="D22" s="16">
        <f>SUM(Reports!G15:J15)</f>
        <v>-48</v>
      </c>
      <c r="E22" s="16">
        <f>SUM(Reports!K15:N15)</f>
        <v>5</v>
      </c>
      <c r="F22" s="16">
        <f>SUM(Reports!O15:R15)</f>
        <v>26</v>
      </c>
      <c r="G22" s="16">
        <f>SUM(Reports!S15:V15)</f>
        <v>-50</v>
      </c>
      <c r="H22" s="5">
        <f t="shared" ref="H22:V22" si="29">G39*$G$4</f>
        <v>58.4</v>
      </c>
      <c r="I22" s="5">
        <f t="shared" si="29"/>
        <v>65.864847116733884</v>
      </c>
      <c r="J22" s="5">
        <f t="shared" si="29"/>
        <v>78.326949270762896</v>
      </c>
      <c r="K22" s="5">
        <f t="shared" si="29"/>
        <v>97.977636122552767</v>
      </c>
      <c r="L22" s="5">
        <f t="shared" si="29"/>
        <v>127.81274551458129</v>
      </c>
      <c r="M22" s="5">
        <f t="shared" si="29"/>
        <v>171.90417955783269</v>
      </c>
      <c r="N22" s="5">
        <f t="shared" si="29"/>
        <v>228.04924411902874</v>
      </c>
      <c r="O22" s="5">
        <f t="shared" si="29"/>
        <v>298.64714272804451</v>
      </c>
      <c r="P22" s="5">
        <f t="shared" si="29"/>
        <v>386.51683001803121</v>
      </c>
      <c r="Q22" s="5">
        <f t="shared" si="29"/>
        <v>494.96597352314438</v>
      </c>
      <c r="R22" s="5">
        <f t="shared" si="29"/>
        <v>627.87085985235262</v>
      </c>
      <c r="S22" s="5">
        <f t="shared" si="29"/>
        <v>771.62552149801286</v>
      </c>
      <c r="T22" s="5">
        <f t="shared" si="29"/>
        <v>926.492414588011</v>
      </c>
      <c r="U22" s="5">
        <f t="shared" si="29"/>
        <v>1092.6187008669731</v>
      </c>
      <c r="V22" s="5">
        <f t="shared" si="29"/>
        <v>1270.0026537122149</v>
      </c>
    </row>
    <row r="23" spans="2:245" x14ac:dyDescent="0.15">
      <c r="B23" s="1" t="s">
        <v>13</v>
      </c>
      <c r="C23" s="7">
        <f>C21+C22</f>
        <v>-442.8889999999999</v>
      </c>
      <c r="D23" s="7">
        <f>D21+D22</f>
        <v>-110.92699999999991</v>
      </c>
      <c r="E23" s="7">
        <f>E21+E22</f>
        <v>-37.67699999999968</v>
      </c>
      <c r="F23" s="7">
        <f>F21+F22</f>
        <v>69.791999999999916</v>
      </c>
      <c r="G23" s="7">
        <f>G21+G22</f>
        <v>149.37100000000009</v>
      </c>
      <c r="H23" s="5">
        <f t="shared" ref="H23" si="30">H21+H22</f>
        <v>466.55294479586735</v>
      </c>
      <c r="I23" s="5">
        <f t="shared" ref="I23:Q23" si="31">I21+I22</f>
        <v>778.88138462681354</v>
      </c>
      <c r="J23" s="5">
        <f t="shared" si="31"/>
        <v>1228.1679282368657</v>
      </c>
      <c r="K23" s="5">
        <f t="shared" si="31"/>
        <v>1864.6943370017839</v>
      </c>
      <c r="L23" s="5">
        <f t="shared" si="31"/>
        <v>2755.7146277032107</v>
      </c>
      <c r="M23" s="5">
        <f t="shared" si="31"/>
        <v>3509.0665350747536</v>
      </c>
      <c r="N23" s="5">
        <f t="shared" si="31"/>
        <v>4412.3686630634838</v>
      </c>
      <c r="O23" s="5">
        <f t="shared" si="31"/>
        <v>5491.8554556241688</v>
      </c>
      <c r="P23" s="5">
        <f t="shared" si="31"/>
        <v>6778.0714690695704</v>
      </c>
      <c r="Q23" s="5">
        <f t="shared" si="31"/>
        <v>8306.5553955755131</v>
      </c>
      <c r="R23" s="5">
        <f t="shared" ref="R23:T23" si="32">R21+R22</f>
        <v>8984.6663528537683</v>
      </c>
      <c r="S23" s="5">
        <f t="shared" si="32"/>
        <v>9679.1808181248889</v>
      </c>
      <c r="T23" s="5">
        <f t="shared" si="32"/>
        <v>10382.892892435135</v>
      </c>
      <c r="U23" s="5">
        <f t="shared" ref="U23:V23" si="33">U21+U22</f>
        <v>11086.49705282761</v>
      </c>
      <c r="V23" s="5">
        <f t="shared" si="33"/>
        <v>11778.168804536523</v>
      </c>
    </row>
    <row r="24" spans="2:245" x14ac:dyDescent="0.15">
      <c r="B24" s="1" t="s">
        <v>14</v>
      </c>
      <c r="C24" s="16">
        <f>SUM(Reports!C17:F17)</f>
        <v>3</v>
      </c>
      <c r="D24" s="16">
        <f>SUM(Reports!G17:J17)</f>
        <v>3</v>
      </c>
      <c r="E24" s="16">
        <f>SUM(Reports!K17:N17)</f>
        <v>-12</v>
      </c>
      <c r="F24" s="16">
        <f>SUM(Reports!O17:R17)</f>
        <v>5</v>
      </c>
      <c r="G24" s="16">
        <f>SUM(Reports!S17:V17)</f>
        <v>31</v>
      </c>
      <c r="H24" s="5">
        <f>H23*0.2</f>
        <v>93.310588959173472</v>
      </c>
      <c r="I24" s="5">
        <f t="shared" ref="I24:V24" si="34">I23*0.2</f>
        <v>155.77627692536271</v>
      </c>
      <c r="J24" s="5">
        <f t="shared" si="34"/>
        <v>245.63358564737314</v>
      </c>
      <c r="K24" s="5">
        <f t="shared" si="34"/>
        <v>372.9388674003568</v>
      </c>
      <c r="L24" s="5">
        <f t="shared" si="34"/>
        <v>551.14292554064218</v>
      </c>
      <c r="M24" s="5">
        <f t="shared" si="34"/>
        <v>701.81330701495074</v>
      </c>
      <c r="N24" s="5">
        <f t="shared" si="34"/>
        <v>882.47373261269684</v>
      </c>
      <c r="O24" s="5">
        <f t="shared" si="34"/>
        <v>1098.3710911248338</v>
      </c>
      <c r="P24" s="5">
        <f t="shared" si="34"/>
        <v>1355.6142938139142</v>
      </c>
      <c r="Q24" s="5">
        <f t="shared" si="34"/>
        <v>1661.3110791151028</v>
      </c>
      <c r="R24" s="5">
        <f t="shared" si="34"/>
        <v>1796.9332705707538</v>
      </c>
      <c r="S24" s="5">
        <f t="shared" si="34"/>
        <v>1935.8361636249779</v>
      </c>
      <c r="T24" s="5">
        <f t="shared" si="34"/>
        <v>2076.5785784870272</v>
      </c>
      <c r="U24" s="5">
        <f t="shared" si="34"/>
        <v>2217.2994105655221</v>
      </c>
      <c r="V24" s="5">
        <f t="shared" si="34"/>
        <v>2355.6337609073048</v>
      </c>
    </row>
    <row r="25" spans="2:245" s="15" customFormat="1" x14ac:dyDescent="0.15">
      <c r="B25" s="15" t="s">
        <v>15</v>
      </c>
      <c r="C25" s="22">
        <f>C23-C24</f>
        <v>-445.8889999999999</v>
      </c>
      <c r="D25" s="22">
        <f>D23-D24</f>
        <v>-113.92699999999991</v>
      </c>
      <c r="E25" s="22">
        <f>E23-E24</f>
        <v>-25.67699999999968</v>
      </c>
      <c r="F25" s="22">
        <f t="shared" ref="F25:H25" si="35">F23-F24</f>
        <v>64.791999999999916</v>
      </c>
      <c r="G25" s="22">
        <f t="shared" si="35"/>
        <v>118.37100000000009</v>
      </c>
      <c r="H25" s="22">
        <f t="shared" si="35"/>
        <v>373.24235583669389</v>
      </c>
      <c r="I25" s="22">
        <f t="shared" ref="I25" si="36">I23-I24</f>
        <v>623.10510770145083</v>
      </c>
      <c r="J25" s="22">
        <f t="shared" ref="J25" si="37">J23-J24</f>
        <v>982.53434258949255</v>
      </c>
      <c r="K25" s="22">
        <f t="shared" ref="K25" si="38">K23-K24</f>
        <v>1491.7554696014272</v>
      </c>
      <c r="L25" s="22">
        <f t="shared" ref="L25" si="39">L23-L24</f>
        <v>2204.5717021625687</v>
      </c>
      <c r="M25" s="22">
        <f t="shared" ref="M25" si="40">M23-M24</f>
        <v>2807.253228059803</v>
      </c>
      <c r="N25" s="22">
        <f t="shared" ref="N25" si="41">N23-N24</f>
        <v>3529.8949304507869</v>
      </c>
      <c r="O25" s="22">
        <f t="shared" ref="O25" si="42">O23-O24</f>
        <v>4393.4843644993352</v>
      </c>
      <c r="P25" s="22">
        <f t="shared" ref="P25" si="43">P23-P24</f>
        <v>5422.4571752556567</v>
      </c>
      <c r="Q25" s="22">
        <f t="shared" ref="Q25:R25" si="44">Q23-Q24</f>
        <v>6645.2443164604101</v>
      </c>
      <c r="R25" s="22">
        <f t="shared" si="44"/>
        <v>7187.7330822830145</v>
      </c>
      <c r="S25" s="22">
        <f t="shared" ref="S25:T25" si="45">S23-S24</f>
        <v>7743.3446544999115</v>
      </c>
      <c r="T25" s="22">
        <f t="shared" si="45"/>
        <v>8306.3143139481072</v>
      </c>
      <c r="U25" s="22">
        <f t="shared" ref="U25:V25" si="46">U23-U24</f>
        <v>8869.1976422620883</v>
      </c>
      <c r="V25" s="22">
        <f t="shared" si="46"/>
        <v>9422.5350436292174</v>
      </c>
      <c r="W25" s="22">
        <f t="shared" ref="W25:CH25" si="47">V25*($G$3+1)</f>
        <v>9375.4223684110711</v>
      </c>
      <c r="X25" s="22">
        <f t="shared" si="47"/>
        <v>9328.5452565690157</v>
      </c>
      <c r="Y25" s="22">
        <f t="shared" si="47"/>
        <v>9281.9025302861701</v>
      </c>
      <c r="Z25" s="22">
        <f t="shared" si="47"/>
        <v>9235.4930176347389</v>
      </c>
      <c r="AA25" s="22">
        <f t="shared" si="47"/>
        <v>9189.3155525465645</v>
      </c>
      <c r="AB25" s="22">
        <f t="shared" si="47"/>
        <v>9143.3689747838325</v>
      </c>
      <c r="AC25" s="22">
        <f t="shared" si="47"/>
        <v>9097.6521299099131</v>
      </c>
      <c r="AD25" s="22">
        <f t="shared" si="47"/>
        <v>9052.1638692603628</v>
      </c>
      <c r="AE25" s="22">
        <f t="shared" si="47"/>
        <v>9006.9030499140608</v>
      </c>
      <c r="AF25" s="22">
        <f t="shared" si="47"/>
        <v>8961.8685346644907</v>
      </c>
      <c r="AG25" s="22">
        <f t="shared" si="47"/>
        <v>8917.0591919911676</v>
      </c>
      <c r="AH25" s="22">
        <f t="shared" si="47"/>
        <v>8872.4738960312116</v>
      </c>
      <c r="AI25" s="22">
        <f t="shared" si="47"/>
        <v>8828.1115265510562</v>
      </c>
      <c r="AJ25" s="22">
        <f t="shared" si="47"/>
        <v>8783.9709689183001</v>
      </c>
      <c r="AK25" s="22">
        <f t="shared" si="47"/>
        <v>8740.051114073709</v>
      </c>
      <c r="AL25" s="22">
        <f t="shared" si="47"/>
        <v>8696.3508585033396</v>
      </c>
      <c r="AM25" s="22">
        <f t="shared" si="47"/>
        <v>8652.8691042108221</v>
      </c>
      <c r="AN25" s="22">
        <f t="shared" si="47"/>
        <v>8609.6047586897676</v>
      </c>
      <c r="AO25" s="22">
        <f t="shared" si="47"/>
        <v>8566.5567348963195</v>
      </c>
      <c r="AP25" s="22">
        <f t="shared" si="47"/>
        <v>8523.7239512218384</v>
      </c>
      <c r="AQ25" s="22">
        <f t="shared" si="47"/>
        <v>8481.1053314657293</v>
      </c>
      <c r="AR25" s="22">
        <f t="shared" si="47"/>
        <v>8438.6998048084006</v>
      </c>
      <c r="AS25" s="22">
        <f t="shared" si="47"/>
        <v>8396.5063057843581</v>
      </c>
      <c r="AT25" s="22">
        <f t="shared" si="47"/>
        <v>8354.5237742554364</v>
      </c>
      <c r="AU25" s="22">
        <f t="shared" si="47"/>
        <v>8312.7511553841596</v>
      </c>
      <c r="AV25" s="22">
        <f t="shared" si="47"/>
        <v>8271.1873996072391</v>
      </c>
      <c r="AW25" s="22">
        <f t="shared" si="47"/>
        <v>8229.8314626092033</v>
      </c>
      <c r="AX25" s="22">
        <f t="shared" si="47"/>
        <v>8188.6823052961572</v>
      </c>
      <c r="AY25" s="22">
        <f t="shared" si="47"/>
        <v>8147.738893769676</v>
      </c>
      <c r="AZ25" s="22">
        <f t="shared" si="47"/>
        <v>8107.0001993008273</v>
      </c>
      <c r="BA25" s="22">
        <f t="shared" si="47"/>
        <v>8066.4651983043232</v>
      </c>
      <c r="BB25" s="22">
        <f t="shared" si="47"/>
        <v>8026.1328723128017</v>
      </c>
      <c r="BC25" s="22">
        <f t="shared" si="47"/>
        <v>7986.0022079512373</v>
      </c>
      <c r="BD25" s="22">
        <f t="shared" si="47"/>
        <v>7946.0721969114811</v>
      </c>
      <c r="BE25" s="22">
        <f t="shared" si="47"/>
        <v>7906.3418359269235</v>
      </c>
      <c r="BF25" s="22">
        <f t="shared" si="47"/>
        <v>7866.8101267472885</v>
      </c>
      <c r="BG25" s="22">
        <f t="shared" si="47"/>
        <v>7827.4760761135522</v>
      </c>
      <c r="BH25" s="22">
        <f t="shared" si="47"/>
        <v>7788.338695732984</v>
      </c>
      <c r="BI25" s="22">
        <f t="shared" si="47"/>
        <v>7749.397002254319</v>
      </c>
      <c r="BJ25" s="22">
        <f t="shared" si="47"/>
        <v>7710.6500172430469</v>
      </c>
      <c r="BK25" s="22">
        <f t="shared" si="47"/>
        <v>7672.0967671568314</v>
      </c>
      <c r="BL25" s="22">
        <f t="shared" si="47"/>
        <v>7633.7362833210473</v>
      </c>
      <c r="BM25" s="22">
        <f t="shared" si="47"/>
        <v>7595.5676019044422</v>
      </c>
      <c r="BN25" s="22">
        <f t="shared" si="47"/>
        <v>7557.58976389492</v>
      </c>
      <c r="BO25" s="22">
        <f t="shared" si="47"/>
        <v>7519.8018150754451</v>
      </c>
      <c r="BP25" s="22">
        <f t="shared" si="47"/>
        <v>7482.2028060000675</v>
      </c>
      <c r="BQ25" s="22">
        <f t="shared" si="47"/>
        <v>7444.7917919700676</v>
      </c>
      <c r="BR25" s="22">
        <f t="shared" si="47"/>
        <v>7407.5678330102173</v>
      </c>
      <c r="BS25" s="22">
        <f t="shared" si="47"/>
        <v>7370.5299938451662</v>
      </c>
      <c r="BT25" s="22">
        <f t="shared" si="47"/>
        <v>7333.6773438759401</v>
      </c>
      <c r="BU25" s="22">
        <f t="shared" si="47"/>
        <v>7297.0089571565604</v>
      </c>
      <c r="BV25" s="22">
        <f t="shared" si="47"/>
        <v>7260.5239123707779</v>
      </c>
      <c r="BW25" s="22">
        <f t="shared" si="47"/>
        <v>7224.2212928089239</v>
      </c>
      <c r="BX25" s="22">
        <f t="shared" si="47"/>
        <v>7188.1001863448791</v>
      </c>
      <c r="BY25" s="22">
        <f t="shared" si="47"/>
        <v>7152.1596854131549</v>
      </c>
      <c r="BZ25" s="22">
        <f t="shared" si="47"/>
        <v>7116.3988869860887</v>
      </c>
      <c r="CA25" s="22">
        <f t="shared" si="47"/>
        <v>7080.8168925511582</v>
      </c>
      <c r="CB25" s="22">
        <f t="shared" si="47"/>
        <v>7045.412808088402</v>
      </c>
      <c r="CC25" s="22">
        <f t="shared" si="47"/>
        <v>7010.1857440479598</v>
      </c>
      <c r="CD25" s="22">
        <f t="shared" si="47"/>
        <v>6975.1348153277204</v>
      </c>
      <c r="CE25" s="22">
        <f t="shared" si="47"/>
        <v>6940.2591412510819</v>
      </c>
      <c r="CF25" s="22">
        <f t="shared" si="47"/>
        <v>6905.5578455448267</v>
      </c>
      <c r="CG25" s="22">
        <f t="shared" si="47"/>
        <v>6871.0300563171022</v>
      </c>
      <c r="CH25" s="22">
        <f t="shared" si="47"/>
        <v>6836.6749060355169</v>
      </c>
      <c r="CI25" s="22">
        <f t="shared" ref="CI25:ET25" si="48">CH25*($G$3+1)</f>
        <v>6802.4915315053395</v>
      </c>
      <c r="CJ25" s="22">
        <f t="shared" si="48"/>
        <v>6768.4790738478132</v>
      </c>
      <c r="CK25" s="22">
        <f t="shared" si="48"/>
        <v>6734.6366784785741</v>
      </c>
      <c r="CL25" s="22">
        <f t="shared" si="48"/>
        <v>6700.963495086181</v>
      </c>
      <c r="CM25" s="22">
        <f t="shared" si="48"/>
        <v>6667.4586776107499</v>
      </c>
      <c r="CN25" s="22">
        <f t="shared" si="48"/>
        <v>6634.1213842226962</v>
      </c>
      <c r="CO25" s="22">
        <f t="shared" si="48"/>
        <v>6600.950777301583</v>
      </c>
      <c r="CP25" s="22">
        <f t="shared" si="48"/>
        <v>6567.9460234150747</v>
      </c>
      <c r="CQ25" s="22">
        <f t="shared" si="48"/>
        <v>6535.1062932979994</v>
      </c>
      <c r="CR25" s="22">
        <f t="shared" si="48"/>
        <v>6502.4307618315097</v>
      </c>
      <c r="CS25" s="22">
        <f t="shared" si="48"/>
        <v>6469.9186080223517</v>
      </c>
      <c r="CT25" s="22">
        <f t="shared" si="48"/>
        <v>6437.5690149822403</v>
      </c>
      <c r="CU25" s="22">
        <f t="shared" si="48"/>
        <v>6405.3811699073294</v>
      </c>
      <c r="CV25" s="22">
        <f t="shared" si="48"/>
        <v>6373.3542640577925</v>
      </c>
      <c r="CW25" s="22">
        <f t="shared" si="48"/>
        <v>6341.4874927375031</v>
      </c>
      <c r="CX25" s="22">
        <f t="shared" si="48"/>
        <v>6309.7800552738154</v>
      </c>
      <c r="CY25" s="22">
        <f t="shared" si="48"/>
        <v>6278.2311549974465</v>
      </c>
      <c r="CZ25" s="22">
        <f t="shared" si="48"/>
        <v>6246.8399992224595</v>
      </c>
      <c r="DA25" s="22">
        <f t="shared" si="48"/>
        <v>6215.6057992263468</v>
      </c>
      <c r="DB25" s="22">
        <f t="shared" si="48"/>
        <v>6184.5277702302146</v>
      </c>
      <c r="DC25" s="22">
        <f t="shared" si="48"/>
        <v>6153.6051313790631</v>
      </c>
      <c r="DD25" s="22">
        <f t="shared" si="48"/>
        <v>6122.8371057221675</v>
      </c>
      <c r="DE25" s="22">
        <f t="shared" si="48"/>
        <v>6092.222920193557</v>
      </c>
      <c r="DF25" s="22">
        <f t="shared" si="48"/>
        <v>6061.7618055925896</v>
      </c>
      <c r="DG25" s="22">
        <f t="shared" si="48"/>
        <v>6031.452996564627</v>
      </c>
      <c r="DH25" s="22">
        <f t="shared" si="48"/>
        <v>6001.2957315818039</v>
      </c>
      <c r="DI25" s="22">
        <f t="shared" si="48"/>
        <v>5971.2892529238952</v>
      </c>
      <c r="DJ25" s="22">
        <f t="shared" si="48"/>
        <v>5941.4328066592761</v>
      </c>
      <c r="DK25" s="22">
        <f t="shared" si="48"/>
        <v>5911.7256426259801</v>
      </c>
      <c r="DL25" s="22">
        <f t="shared" si="48"/>
        <v>5882.1670144128502</v>
      </c>
      <c r="DM25" s="22">
        <f t="shared" si="48"/>
        <v>5852.7561793407858</v>
      </c>
      <c r="DN25" s="22">
        <f t="shared" si="48"/>
        <v>5823.492398444082</v>
      </c>
      <c r="DO25" s="22">
        <f t="shared" si="48"/>
        <v>5794.3749364518617</v>
      </c>
      <c r="DP25" s="22">
        <f t="shared" si="48"/>
        <v>5765.4030617696026</v>
      </c>
      <c r="DQ25" s="22">
        <f t="shared" si="48"/>
        <v>5736.5760464607547</v>
      </c>
      <c r="DR25" s="22">
        <f t="shared" si="48"/>
        <v>5707.8931662284513</v>
      </c>
      <c r="DS25" s="22">
        <f t="shared" si="48"/>
        <v>5679.3537003973088</v>
      </c>
      <c r="DT25" s="22">
        <f t="shared" si="48"/>
        <v>5650.9569318953227</v>
      </c>
      <c r="DU25" s="22">
        <f t="shared" si="48"/>
        <v>5622.7021472358456</v>
      </c>
      <c r="DV25" s="22">
        <f t="shared" si="48"/>
        <v>5594.5886364996659</v>
      </c>
      <c r="DW25" s="22">
        <f t="shared" si="48"/>
        <v>5566.6156933171678</v>
      </c>
      <c r="DX25" s="22">
        <f t="shared" si="48"/>
        <v>5538.7826148505819</v>
      </c>
      <c r="DY25" s="22">
        <f t="shared" si="48"/>
        <v>5511.0887017763289</v>
      </c>
      <c r="DZ25" s="22">
        <f t="shared" si="48"/>
        <v>5483.5332582674473</v>
      </c>
      <c r="EA25" s="22">
        <f t="shared" si="48"/>
        <v>5456.1155919761104</v>
      </c>
      <c r="EB25" s="22">
        <f t="shared" si="48"/>
        <v>5428.8350140162302</v>
      </c>
      <c r="EC25" s="22">
        <f t="shared" si="48"/>
        <v>5401.6908389461487</v>
      </c>
      <c r="ED25" s="22">
        <f t="shared" si="48"/>
        <v>5374.6823847514179</v>
      </c>
      <c r="EE25" s="22">
        <f t="shared" si="48"/>
        <v>5347.8089728276609</v>
      </c>
      <c r="EF25" s="22">
        <f t="shared" si="48"/>
        <v>5321.0699279635228</v>
      </c>
      <c r="EG25" s="22">
        <f t="shared" si="48"/>
        <v>5294.4645783237047</v>
      </c>
      <c r="EH25" s="22">
        <f t="shared" si="48"/>
        <v>5267.9922554320865</v>
      </c>
      <c r="EI25" s="22">
        <f t="shared" si="48"/>
        <v>5241.6522941549256</v>
      </c>
      <c r="EJ25" s="22">
        <f t="shared" si="48"/>
        <v>5215.4440326841514</v>
      </c>
      <c r="EK25" s="22">
        <f t="shared" si="48"/>
        <v>5189.3668125207305</v>
      </c>
      <c r="EL25" s="22">
        <f t="shared" si="48"/>
        <v>5163.4199784581269</v>
      </c>
      <c r="EM25" s="22">
        <f t="shared" si="48"/>
        <v>5137.6028785658364</v>
      </c>
      <c r="EN25" s="22">
        <f t="shared" si="48"/>
        <v>5111.9148641730071</v>
      </c>
      <c r="EO25" s="22">
        <f t="shared" si="48"/>
        <v>5086.3552898521421</v>
      </c>
      <c r="EP25" s="22">
        <f t="shared" si="48"/>
        <v>5060.9235134028813</v>
      </c>
      <c r="EQ25" s="22">
        <f t="shared" si="48"/>
        <v>5035.6188958358671</v>
      </c>
      <c r="ER25" s="22">
        <f t="shared" si="48"/>
        <v>5010.4408013566881</v>
      </c>
      <c r="ES25" s="22">
        <f t="shared" si="48"/>
        <v>4985.3885973499046</v>
      </c>
      <c r="ET25" s="22">
        <f t="shared" si="48"/>
        <v>4960.4616543631546</v>
      </c>
      <c r="EU25" s="22">
        <f t="shared" ref="EU25:HF25" si="49">ET25*($G$3+1)</f>
        <v>4935.6593460913391</v>
      </c>
      <c r="EV25" s="22">
        <f t="shared" si="49"/>
        <v>4910.981049360882</v>
      </c>
      <c r="EW25" s="22">
        <f t="shared" si="49"/>
        <v>4886.4261441140779</v>
      </c>
      <c r="EX25" s="22">
        <f t="shared" si="49"/>
        <v>4861.9940133935079</v>
      </c>
      <c r="EY25" s="22">
        <f t="shared" si="49"/>
        <v>4837.6840433265406</v>
      </c>
      <c r="EZ25" s="22">
        <f t="shared" si="49"/>
        <v>4813.4956231099077</v>
      </c>
      <c r="FA25" s="22">
        <f t="shared" si="49"/>
        <v>4789.4281449943583</v>
      </c>
      <c r="FB25" s="22">
        <f t="shared" si="49"/>
        <v>4765.4810042693862</v>
      </c>
      <c r="FC25" s="22">
        <f t="shared" si="49"/>
        <v>4741.6535992480394</v>
      </c>
      <c r="FD25" s="22">
        <f t="shared" si="49"/>
        <v>4717.945331251799</v>
      </c>
      <c r="FE25" s="22">
        <f t="shared" si="49"/>
        <v>4694.3556045955402</v>
      </c>
      <c r="FF25" s="22">
        <f t="shared" si="49"/>
        <v>4670.8838265725626</v>
      </c>
      <c r="FG25" s="22">
        <f t="shared" si="49"/>
        <v>4647.5294074396998</v>
      </c>
      <c r="FH25" s="22">
        <f t="shared" si="49"/>
        <v>4624.2917604025015</v>
      </c>
      <c r="FI25" s="22">
        <f t="shared" si="49"/>
        <v>4601.1703016004885</v>
      </c>
      <c r="FJ25" s="22">
        <f t="shared" si="49"/>
        <v>4578.1644500924858</v>
      </c>
      <c r="FK25" s="22">
        <f t="shared" si="49"/>
        <v>4555.2736278420234</v>
      </c>
      <c r="FL25" s="22">
        <f t="shared" si="49"/>
        <v>4532.4972597028136</v>
      </c>
      <c r="FM25" s="22">
        <f t="shared" si="49"/>
        <v>4509.8347734042991</v>
      </c>
      <c r="FN25" s="22">
        <f t="shared" si="49"/>
        <v>4487.2855995372774</v>
      </c>
      <c r="FO25" s="22">
        <f t="shared" si="49"/>
        <v>4464.8491715395912</v>
      </c>
      <c r="FP25" s="22">
        <f t="shared" si="49"/>
        <v>4442.5249256818934</v>
      </c>
      <c r="FQ25" s="22">
        <f t="shared" si="49"/>
        <v>4420.3123010534837</v>
      </c>
      <c r="FR25" s="22">
        <f t="shared" si="49"/>
        <v>4398.2107395482162</v>
      </c>
      <c r="FS25" s="22">
        <f t="shared" si="49"/>
        <v>4376.2196858504749</v>
      </c>
      <c r="FT25" s="22">
        <f t="shared" si="49"/>
        <v>4354.3385874212227</v>
      </c>
      <c r="FU25" s="22">
        <f t="shared" si="49"/>
        <v>4332.5668944841163</v>
      </c>
      <c r="FV25" s="22">
        <f t="shared" si="49"/>
        <v>4310.9040600116959</v>
      </c>
      <c r="FW25" s="22">
        <f t="shared" si="49"/>
        <v>4289.3495397116376</v>
      </c>
      <c r="FX25" s="22">
        <f t="shared" si="49"/>
        <v>4267.9027920130793</v>
      </c>
      <c r="FY25" s="22">
        <f t="shared" si="49"/>
        <v>4246.5632780530141</v>
      </c>
      <c r="FZ25" s="22">
        <f t="shared" si="49"/>
        <v>4225.3304616627493</v>
      </c>
      <c r="GA25" s="22">
        <f t="shared" si="49"/>
        <v>4204.2038093544352</v>
      </c>
      <c r="GB25" s="22">
        <f t="shared" si="49"/>
        <v>4183.1827903076628</v>
      </c>
      <c r="GC25" s="22">
        <f t="shared" si="49"/>
        <v>4162.2668763561242</v>
      </c>
      <c r="GD25" s="22">
        <f t="shared" si="49"/>
        <v>4141.4555419743438</v>
      </c>
      <c r="GE25" s="22">
        <f t="shared" si="49"/>
        <v>4120.7482642644718</v>
      </c>
      <c r="GF25" s="22">
        <f t="shared" si="49"/>
        <v>4100.1445229431492</v>
      </c>
      <c r="GG25" s="22">
        <f t="shared" si="49"/>
        <v>4079.6438003284334</v>
      </c>
      <c r="GH25" s="22">
        <f t="shared" si="49"/>
        <v>4059.2455813267911</v>
      </c>
      <c r="GI25" s="22">
        <f t="shared" si="49"/>
        <v>4038.949353420157</v>
      </c>
      <c r="GJ25" s="22">
        <f t="shared" si="49"/>
        <v>4018.7546066530563</v>
      </c>
      <c r="GK25" s="22">
        <f t="shared" si="49"/>
        <v>3998.660833619791</v>
      </c>
      <c r="GL25" s="22">
        <f t="shared" si="49"/>
        <v>3978.6675294516922</v>
      </c>
      <c r="GM25" s="22">
        <f t="shared" si="49"/>
        <v>3958.7741918044335</v>
      </c>
      <c r="GN25" s="22">
        <f t="shared" si="49"/>
        <v>3938.9803208454114</v>
      </c>
      <c r="GO25" s="22">
        <f t="shared" si="49"/>
        <v>3919.2854192411842</v>
      </c>
      <c r="GP25" s="22">
        <f t="shared" si="49"/>
        <v>3899.6889921449783</v>
      </c>
      <c r="GQ25" s="22">
        <f t="shared" si="49"/>
        <v>3880.1905471842533</v>
      </c>
      <c r="GR25" s="22">
        <f t="shared" si="49"/>
        <v>3860.7895944483321</v>
      </c>
      <c r="GS25" s="22">
        <f t="shared" si="49"/>
        <v>3841.4856464760906</v>
      </c>
      <c r="GT25" s="22">
        <f t="shared" si="49"/>
        <v>3822.2782182437099</v>
      </c>
      <c r="GU25" s="22">
        <f t="shared" si="49"/>
        <v>3803.1668271524914</v>
      </c>
      <c r="GV25" s="22">
        <f t="shared" si="49"/>
        <v>3784.150993016729</v>
      </c>
      <c r="GW25" s="22">
        <f t="shared" si="49"/>
        <v>3765.2302380516453</v>
      </c>
      <c r="GX25" s="22">
        <f t="shared" si="49"/>
        <v>3746.404086861387</v>
      </c>
      <c r="GY25" s="22">
        <f t="shared" si="49"/>
        <v>3727.6720664270802</v>
      </c>
      <c r="GZ25" s="22">
        <f t="shared" si="49"/>
        <v>3709.0337060949446</v>
      </c>
      <c r="HA25" s="22">
        <f t="shared" si="49"/>
        <v>3690.4885375644699</v>
      </c>
      <c r="HB25" s="22">
        <f t="shared" si="49"/>
        <v>3672.0360948766474</v>
      </c>
      <c r="HC25" s="22">
        <f t="shared" si="49"/>
        <v>3653.675914402264</v>
      </c>
      <c r="HD25" s="22">
        <f t="shared" si="49"/>
        <v>3635.4075348302526</v>
      </c>
      <c r="HE25" s="22">
        <f t="shared" si="49"/>
        <v>3617.2304971561011</v>
      </c>
      <c r="HF25" s="22">
        <f t="shared" si="49"/>
        <v>3599.1443446703206</v>
      </c>
      <c r="HG25" s="22">
        <f t="shared" ref="HG25:IK25" si="50">HF25*($G$3+1)</f>
        <v>3581.1486229469688</v>
      </c>
      <c r="HH25" s="22">
        <f t="shared" si="50"/>
        <v>3563.2428798322339</v>
      </c>
      <c r="HI25" s="22">
        <f t="shared" si="50"/>
        <v>3545.4266654330727</v>
      </c>
      <c r="HJ25" s="22">
        <f t="shared" si="50"/>
        <v>3527.6995321059071</v>
      </c>
      <c r="HK25" s="22">
        <f t="shared" si="50"/>
        <v>3510.0610344453776</v>
      </c>
      <c r="HL25" s="22">
        <f t="shared" si="50"/>
        <v>3492.5107292731504</v>
      </c>
      <c r="HM25" s="22">
        <f t="shared" si="50"/>
        <v>3475.0481756267845</v>
      </c>
      <c r="HN25" s="22">
        <f t="shared" si="50"/>
        <v>3457.6729347486507</v>
      </c>
      <c r="HO25" s="22">
        <f t="shared" si="50"/>
        <v>3440.3845700749075</v>
      </c>
      <c r="HP25" s="22">
        <f t="shared" si="50"/>
        <v>3423.182647224533</v>
      </c>
      <c r="HQ25" s="22">
        <f t="shared" si="50"/>
        <v>3406.0667339884103</v>
      </c>
      <c r="HR25" s="22">
        <f t="shared" si="50"/>
        <v>3389.0364003184682</v>
      </c>
      <c r="HS25" s="22">
        <f t="shared" si="50"/>
        <v>3372.0912183168757</v>
      </c>
      <c r="HT25" s="22">
        <f t="shared" si="50"/>
        <v>3355.2307622252915</v>
      </c>
      <c r="HU25" s="22">
        <f t="shared" si="50"/>
        <v>3338.4546084141652</v>
      </c>
      <c r="HV25" s="22">
        <f t="shared" si="50"/>
        <v>3321.7623353720942</v>
      </c>
      <c r="HW25" s="22">
        <f t="shared" si="50"/>
        <v>3305.1535236952336</v>
      </c>
      <c r="HX25" s="22">
        <f t="shared" si="50"/>
        <v>3288.6277560767576</v>
      </c>
      <c r="HY25" s="22">
        <f t="shared" si="50"/>
        <v>3272.1846172963737</v>
      </c>
      <c r="HZ25" s="22">
        <f t="shared" si="50"/>
        <v>3255.823694209892</v>
      </c>
      <c r="IA25" s="22">
        <f t="shared" si="50"/>
        <v>3239.5445757388425</v>
      </c>
      <c r="IB25" s="22">
        <f t="shared" si="50"/>
        <v>3223.3468528601484</v>
      </c>
      <c r="IC25" s="22">
        <f t="shared" si="50"/>
        <v>3207.2301185958477</v>
      </c>
      <c r="ID25" s="22">
        <f t="shared" si="50"/>
        <v>3191.1939680028686</v>
      </c>
      <c r="IE25" s="22">
        <f t="shared" si="50"/>
        <v>3175.2379981628542</v>
      </c>
      <c r="IF25" s="22">
        <f t="shared" si="50"/>
        <v>3159.3618081720397</v>
      </c>
      <c r="IG25" s="22">
        <f t="shared" si="50"/>
        <v>3143.5649991311793</v>
      </c>
      <c r="IH25" s="22">
        <f t="shared" si="50"/>
        <v>3127.8471741355233</v>
      </c>
      <c r="II25" s="22">
        <f t="shared" si="50"/>
        <v>3112.2079382648458</v>
      </c>
      <c r="IJ25" s="22">
        <f t="shared" si="50"/>
        <v>3096.6468985735214</v>
      </c>
      <c r="IK25" s="22">
        <f t="shared" si="50"/>
        <v>3081.1636640806537</v>
      </c>
    </row>
    <row r="26" spans="2:245" x14ac:dyDescent="0.15">
      <c r="B26" s="1" t="s">
        <v>16</v>
      </c>
      <c r="C26" s="23">
        <f>C25/C27</f>
        <v>-2.5689712482045057</v>
      </c>
      <c r="D26" s="23">
        <f>D25/D27</f>
        <v>-0.65638575384051756</v>
      </c>
      <c r="E26" s="23">
        <f>E25/E27</f>
        <v>-0.13467281868871903</v>
      </c>
      <c r="F26" s="23">
        <f>F25/F27</f>
        <v>0.32749200123330074</v>
      </c>
      <c r="G26" s="23">
        <f>G25/G27</f>
        <v>0.58467807660961735</v>
      </c>
      <c r="H26" s="18">
        <f t="shared" ref="H26" si="51">H25/H27</f>
        <v>1.8435818124358196</v>
      </c>
      <c r="I26" s="18">
        <f t="shared" ref="I26:Q26" si="52">I25/I27</f>
        <v>3.0777462038549346</v>
      </c>
      <c r="J26" s="18">
        <f t="shared" si="52"/>
        <v>4.8530999115333904</v>
      </c>
      <c r="K26" s="18">
        <f t="shared" si="52"/>
        <v>7.3683310839516292</v>
      </c>
      <c r="L26" s="18">
        <f t="shared" si="52"/>
        <v>10.889193658652879</v>
      </c>
      <c r="M26" s="18">
        <f t="shared" si="52"/>
        <v>13.866060250721409</v>
      </c>
      <c r="N26" s="18">
        <f t="shared" si="52"/>
        <v>17.435454448893761</v>
      </c>
      <c r="O26" s="18">
        <f t="shared" si="52"/>
        <v>21.701041537622359</v>
      </c>
      <c r="P26" s="18">
        <f t="shared" si="52"/>
        <v>26.783518190490017</v>
      </c>
      <c r="Q26" s="18">
        <f t="shared" si="52"/>
        <v>32.823315385939637</v>
      </c>
      <c r="R26" s="18">
        <f t="shared" ref="R26:T26" si="53">R25/R27</f>
        <v>35.502867710271488</v>
      </c>
      <c r="S26" s="18">
        <f t="shared" si="53"/>
        <v>38.247238420883214</v>
      </c>
      <c r="T26" s="18">
        <f t="shared" si="53"/>
        <v>41.027953441249203</v>
      </c>
      <c r="U26" s="18">
        <f t="shared" ref="U26:V26" si="54">U25/U27</f>
        <v>43.808242040266173</v>
      </c>
      <c r="V26" s="18">
        <f t="shared" si="54"/>
        <v>46.541379781330257</v>
      </c>
    </row>
    <row r="27" spans="2:245" x14ac:dyDescent="0.15">
      <c r="B27" s="1" t="s">
        <v>17</v>
      </c>
      <c r="C27" s="5">
        <f>Reports!F21</f>
        <v>173.56714299999999</v>
      </c>
      <c r="D27" s="5">
        <f>Reports!J21</f>
        <v>173.56714299999999</v>
      </c>
      <c r="E27" s="5">
        <f>Reports!N21</f>
        <v>190.662082</v>
      </c>
      <c r="F27" s="5">
        <f>Reports!R21</f>
        <v>197.84299999999999</v>
      </c>
      <c r="G27" s="5">
        <f>Reports!V21</f>
        <v>202.45500000000001</v>
      </c>
      <c r="H27" s="5">
        <f t="shared" ref="H27" si="55">G27</f>
        <v>202.45500000000001</v>
      </c>
      <c r="I27" s="5">
        <f t="shared" ref="I27" si="56">H27</f>
        <v>202.45500000000001</v>
      </c>
      <c r="J27" s="5">
        <f t="shared" ref="J27" si="57">I27</f>
        <v>202.45500000000001</v>
      </c>
      <c r="K27" s="5">
        <f t="shared" ref="K27" si="58">J27</f>
        <v>202.45500000000001</v>
      </c>
      <c r="L27" s="5">
        <f t="shared" ref="L27" si="59">K27</f>
        <v>202.45500000000001</v>
      </c>
      <c r="M27" s="5">
        <f t="shared" ref="M27" si="60">L27</f>
        <v>202.45500000000001</v>
      </c>
      <c r="N27" s="5">
        <f t="shared" ref="N27" si="61">M27</f>
        <v>202.45500000000001</v>
      </c>
      <c r="O27" s="5">
        <f t="shared" ref="O27" si="62">N27</f>
        <v>202.45500000000001</v>
      </c>
      <c r="P27" s="5">
        <f t="shared" ref="P27" si="63">O27</f>
        <v>202.45500000000001</v>
      </c>
      <c r="Q27" s="5">
        <f t="shared" ref="Q27:V27" si="64">P27</f>
        <v>202.45500000000001</v>
      </c>
      <c r="R27" s="5">
        <f t="shared" si="64"/>
        <v>202.45500000000001</v>
      </c>
      <c r="S27" s="5">
        <f t="shared" si="64"/>
        <v>202.45500000000001</v>
      </c>
      <c r="T27" s="5">
        <f t="shared" si="64"/>
        <v>202.45500000000001</v>
      </c>
      <c r="U27" s="5">
        <f t="shared" si="64"/>
        <v>202.45500000000001</v>
      </c>
      <c r="V27" s="5">
        <f t="shared" si="64"/>
        <v>202.45500000000001</v>
      </c>
    </row>
    <row r="28" spans="2:245" x14ac:dyDescent="0.1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2:245" x14ac:dyDescent="0.15">
      <c r="B29" s="1" t="s">
        <v>19</v>
      </c>
      <c r="C29" s="21">
        <f t="shared" ref="C29" si="65">IFERROR(C16/C14,0)</f>
        <v>0.72401927003120781</v>
      </c>
      <c r="D29" s="21">
        <f t="shared" ref="D29:Q29" si="66">IFERROR(D16/D14,0)</f>
        <v>0.7394508400860258</v>
      </c>
      <c r="E29" s="21">
        <f t="shared" si="66"/>
        <v>0.76138869126837616</v>
      </c>
      <c r="F29" s="21">
        <f t="shared" si="66"/>
        <v>0.76978485665249796</v>
      </c>
      <c r="G29" s="21">
        <f t="shared" si="66"/>
        <v>0.78158723429488852</v>
      </c>
      <c r="H29" s="21">
        <f t="shared" si="66"/>
        <v>0.78158723429488852</v>
      </c>
      <c r="I29" s="21">
        <f t="shared" si="66"/>
        <v>0.78158723429488852</v>
      </c>
      <c r="J29" s="21">
        <f t="shared" si="66"/>
        <v>0.78158723429488852</v>
      </c>
      <c r="K29" s="21">
        <f t="shared" si="66"/>
        <v>0.78158723429488852</v>
      </c>
      <c r="L29" s="21">
        <f t="shared" si="66"/>
        <v>0.78158723429488852</v>
      </c>
      <c r="M29" s="21">
        <f t="shared" si="66"/>
        <v>0.78158723429488852</v>
      </c>
      <c r="N29" s="21">
        <f t="shared" si="66"/>
        <v>0.78158723429488852</v>
      </c>
      <c r="O29" s="21">
        <f t="shared" si="66"/>
        <v>0.78158723429488852</v>
      </c>
      <c r="P29" s="21">
        <f t="shared" si="66"/>
        <v>0.78158723429488852</v>
      </c>
      <c r="Q29" s="21">
        <f t="shared" si="66"/>
        <v>0.78158723429488852</v>
      </c>
      <c r="R29" s="21">
        <f t="shared" ref="R29:T29" si="67">IFERROR(R16/R14,0)</f>
        <v>0.78158723429488852</v>
      </c>
      <c r="S29" s="21">
        <f t="shared" si="67"/>
        <v>0.78158723429488852</v>
      </c>
      <c r="T29" s="21">
        <f t="shared" si="67"/>
        <v>0.78158723429488852</v>
      </c>
      <c r="U29" s="21">
        <f t="shared" ref="U29:V29" si="68">IFERROR(U16/U14,0)</f>
        <v>0.78158723429488852</v>
      </c>
      <c r="V29" s="21">
        <f t="shared" si="68"/>
        <v>0.78158723429488863</v>
      </c>
    </row>
    <row r="30" spans="2:245" x14ac:dyDescent="0.15">
      <c r="B30" s="1" t="s">
        <v>20</v>
      </c>
      <c r="C30" s="20">
        <f t="shared" ref="C30" si="69">IFERROR(C21/C14,0)</f>
        <v>-0.26552635769205718</v>
      </c>
      <c r="D30" s="20">
        <f t="shared" ref="D30:Q30" si="70">IFERROR(D21/D14,0)</f>
        <v>-3.2800206828898032E-2</v>
      </c>
      <c r="E30" s="20">
        <f t="shared" si="70"/>
        <v>-1.6358761982447085E-2</v>
      </c>
      <c r="F30" s="20">
        <f t="shared" si="70"/>
        <v>1.265504905883272E-2</v>
      </c>
      <c r="G30" s="20">
        <f t="shared" si="70"/>
        <v>4.4113664303270038E-2</v>
      </c>
      <c r="H30" s="20">
        <f t="shared" si="70"/>
        <v>7.0025995780982175E-2</v>
      </c>
      <c r="I30" s="20">
        <f t="shared" si="70"/>
        <v>9.4743482126502479E-2</v>
      </c>
      <c r="J30" s="20">
        <f t="shared" si="70"/>
        <v>0.11821207475902218</v>
      </c>
      <c r="K30" s="20">
        <f t="shared" si="70"/>
        <v>0.14040721188296493</v>
      </c>
      <c r="L30" s="20">
        <f t="shared" si="70"/>
        <v>0.16132767326810346</v>
      </c>
      <c r="M30" s="20">
        <f t="shared" si="70"/>
        <v>0.17814728987789044</v>
      </c>
      <c r="N30" s="20">
        <f t="shared" si="70"/>
        <v>0.19423561880899101</v>
      </c>
      <c r="O30" s="20">
        <f t="shared" si="70"/>
        <v>0.20962445517787001</v>
      </c>
      <c r="P30" s="20">
        <f t="shared" si="70"/>
        <v>0.22434421170462371</v>
      </c>
      <c r="Q30" s="20">
        <f t="shared" si="70"/>
        <v>0.23842397881717081</v>
      </c>
      <c r="R30" s="20">
        <f t="shared" ref="R30:T30" si="71">IFERROR(R21/R14,0)</f>
        <v>0.231876967314746</v>
      </c>
      <c r="S30" s="20">
        <f t="shared" si="71"/>
        <v>0.22468996639811442</v>
      </c>
      <c r="T30" s="20">
        <f t="shared" si="71"/>
        <v>0.21684944918400689</v>
      </c>
      <c r="U30" s="20">
        <f t="shared" ref="U30:V30" si="72">IFERROR(U21/U14,0)</f>
        <v>0.20834056649697558</v>
      </c>
      <c r="V30" s="20">
        <f t="shared" si="72"/>
        <v>0.19914711892128892</v>
      </c>
    </row>
    <row r="31" spans="2:245" x14ac:dyDescent="0.15">
      <c r="B31" s="1" t="s">
        <v>21</v>
      </c>
      <c r="C31" s="20">
        <f t="shared" ref="C31" si="73">IFERROR(C24/C23,0)</f>
        <v>-6.773706278548351E-3</v>
      </c>
      <c r="D31" s="20">
        <f t="shared" ref="D31:Q31" si="74">IFERROR(D24/D23,0)</f>
        <v>-2.7044813255564494E-2</v>
      </c>
      <c r="E31" s="20">
        <f t="shared" si="74"/>
        <v>0.31849669559678589</v>
      </c>
      <c r="F31" s="20">
        <f t="shared" si="74"/>
        <v>7.164144887666217E-2</v>
      </c>
      <c r="G31" s="20">
        <f t="shared" si="74"/>
        <v>0.20753693822763442</v>
      </c>
      <c r="H31" s="20">
        <f t="shared" si="74"/>
        <v>0.2</v>
      </c>
      <c r="I31" s="20">
        <f t="shared" si="74"/>
        <v>0.2</v>
      </c>
      <c r="J31" s="20">
        <f t="shared" si="74"/>
        <v>0.2</v>
      </c>
      <c r="K31" s="20">
        <f t="shared" si="74"/>
        <v>0.2</v>
      </c>
      <c r="L31" s="20">
        <f t="shared" si="74"/>
        <v>0.2</v>
      </c>
      <c r="M31" s="20">
        <f t="shared" si="74"/>
        <v>0.2</v>
      </c>
      <c r="N31" s="20">
        <f t="shared" si="74"/>
        <v>0.2</v>
      </c>
      <c r="O31" s="20">
        <f t="shared" si="74"/>
        <v>0.2</v>
      </c>
      <c r="P31" s="20">
        <f t="shared" si="74"/>
        <v>0.2</v>
      </c>
      <c r="Q31" s="20">
        <f t="shared" si="74"/>
        <v>0.2</v>
      </c>
      <c r="R31" s="20">
        <f t="shared" ref="R31:T31" si="75">IFERROR(R24/R23,0)</f>
        <v>0.2</v>
      </c>
      <c r="S31" s="20">
        <f t="shared" si="75"/>
        <v>0.2</v>
      </c>
      <c r="T31" s="20">
        <f t="shared" si="75"/>
        <v>0.20000000000000004</v>
      </c>
      <c r="U31" s="20">
        <f t="shared" ref="U31:V31" si="76">IFERROR(U24/U23,0)</f>
        <v>0.2</v>
      </c>
      <c r="V31" s="20">
        <f t="shared" si="76"/>
        <v>0.2</v>
      </c>
    </row>
    <row r="32" spans="2:245" x14ac:dyDescent="0.1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2:22" x14ac:dyDescent="0.15">
      <c r="B33" s="15" t="s">
        <v>18</v>
      </c>
      <c r="C33" s="19"/>
      <c r="D33" s="19">
        <f>D14/C14-1</f>
        <v>0.23676700294027198</v>
      </c>
      <c r="E33" s="19">
        <f>E14/D14-1</f>
        <v>0.35982494602537196</v>
      </c>
      <c r="F33" s="19">
        <f t="shared" ref="F33:V33" si="77">F14/E14-1</f>
        <v>0.32643965691716081</v>
      </c>
      <c r="G33" s="19">
        <f>G14/F14-1</f>
        <v>0.30604429440559122</v>
      </c>
      <c r="H33" s="19">
        <f>H14/G14-1</f>
        <v>0.28965868669963224</v>
      </c>
      <c r="I33" s="19">
        <f t="shared" si="77"/>
        <v>0.29117949210304972</v>
      </c>
      <c r="J33" s="19">
        <f t="shared" si="77"/>
        <v>0.29248550744030033</v>
      </c>
      <c r="K33" s="19">
        <f t="shared" si="77"/>
        <v>0.29360461547298899</v>
      </c>
      <c r="L33" s="19">
        <f t="shared" si="77"/>
        <v>0.29456176725440941</v>
      </c>
      <c r="M33" s="19">
        <f t="shared" si="77"/>
        <v>0.14999999999999991</v>
      </c>
      <c r="N33" s="19">
        <f t="shared" si="77"/>
        <v>0.14999999999999991</v>
      </c>
      <c r="O33" s="19">
        <f t="shared" si="77"/>
        <v>0.14999999999999991</v>
      </c>
      <c r="P33" s="19">
        <f t="shared" si="77"/>
        <v>0.14999999999999991</v>
      </c>
      <c r="Q33" s="19">
        <f t="shared" si="77"/>
        <v>0.14999999999999991</v>
      </c>
      <c r="R33" s="19">
        <f t="shared" si="77"/>
        <v>0.10000000000000009</v>
      </c>
      <c r="S33" s="19">
        <f t="shared" si="77"/>
        <v>0.10000000000000009</v>
      </c>
      <c r="T33" s="19">
        <f t="shared" si="77"/>
        <v>0.10000000000000009</v>
      </c>
      <c r="U33" s="19">
        <f t="shared" si="77"/>
        <v>0.10000000000000009</v>
      </c>
      <c r="V33" s="19">
        <f t="shared" si="77"/>
        <v>0.10000000000000009</v>
      </c>
    </row>
    <row r="34" spans="2:22" x14ac:dyDescent="0.15">
      <c r="B34" s="1" t="s">
        <v>34</v>
      </c>
      <c r="C34" s="20"/>
      <c r="D34" s="20">
        <f t="shared" ref="D34:V34" si="78">D17/C17-1</f>
        <v>0.191642405063291</v>
      </c>
      <c r="E34" s="20">
        <f t="shared" si="78"/>
        <v>0.40748196165806694</v>
      </c>
      <c r="F34" s="20">
        <f t="shared" si="78"/>
        <v>0.41132075471698104</v>
      </c>
      <c r="G34" s="20">
        <f t="shared" si="78"/>
        <v>0.36898395721925126</v>
      </c>
      <c r="H34" s="20">
        <f t="shared" si="78"/>
        <v>0.30000000000000004</v>
      </c>
      <c r="I34" s="20">
        <f t="shared" si="78"/>
        <v>0.30000000000000004</v>
      </c>
      <c r="J34" s="20">
        <f t="shared" si="78"/>
        <v>0.30000000000000027</v>
      </c>
      <c r="K34" s="20">
        <f t="shared" si="78"/>
        <v>0.30000000000000004</v>
      </c>
      <c r="L34" s="20">
        <f t="shared" si="78"/>
        <v>0.30000000000000004</v>
      </c>
      <c r="M34" s="20">
        <f t="shared" si="78"/>
        <v>0.14999999999999991</v>
      </c>
      <c r="N34" s="20">
        <f t="shared" si="78"/>
        <v>0.14999999999999991</v>
      </c>
      <c r="O34" s="20">
        <f t="shared" si="78"/>
        <v>0.14999999999999991</v>
      </c>
      <c r="P34" s="20">
        <f t="shared" si="78"/>
        <v>0.14999999999999991</v>
      </c>
      <c r="Q34" s="20">
        <f t="shared" si="78"/>
        <v>0.14999999999999991</v>
      </c>
      <c r="R34" s="20">
        <f t="shared" si="78"/>
        <v>0.10000000000000009</v>
      </c>
      <c r="S34" s="20">
        <f t="shared" si="78"/>
        <v>0.10000000000000009</v>
      </c>
      <c r="T34" s="20">
        <f t="shared" si="78"/>
        <v>0.10000000000000009</v>
      </c>
      <c r="U34" s="20">
        <f t="shared" si="78"/>
        <v>0.10000000000000009</v>
      </c>
      <c r="V34" s="20">
        <f t="shared" si="78"/>
        <v>0.10000000000000009</v>
      </c>
    </row>
    <row r="35" spans="2:22" x14ac:dyDescent="0.15">
      <c r="B35" s="1" t="s">
        <v>35</v>
      </c>
      <c r="C35" s="20"/>
      <c r="D35" s="20">
        <f t="shared" ref="D35:V35" si="79">D18/C18-1</f>
        <v>0.15932642487046622</v>
      </c>
      <c r="E35" s="20">
        <f t="shared" si="79"/>
        <v>0.34413407821229058</v>
      </c>
      <c r="F35" s="20">
        <f t="shared" si="79"/>
        <v>0.27514546965918529</v>
      </c>
      <c r="G35" s="20">
        <f t="shared" si="79"/>
        <v>0.20925684485006513</v>
      </c>
      <c r="H35" s="20">
        <f t="shared" si="79"/>
        <v>0.19999999999999996</v>
      </c>
      <c r="I35" s="20">
        <f t="shared" si="79"/>
        <v>0.19999999999999996</v>
      </c>
      <c r="J35" s="20">
        <f t="shared" si="79"/>
        <v>0.19999999999999996</v>
      </c>
      <c r="K35" s="20">
        <f t="shared" si="79"/>
        <v>0.19999999999999996</v>
      </c>
      <c r="L35" s="20">
        <f t="shared" si="79"/>
        <v>0.19999999999999996</v>
      </c>
      <c r="M35" s="20">
        <f t="shared" si="79"/>
        <v>0.10000000000000009</v>
      </c>
      <c r="N35" s="20">
        <f t="shared" si="79"/>
        <v>0.10000000000000009</v>
      </c>
      <c r="O35" s="20">
        <f t="shared" si="79"/>
        <v>0.10000000000000009</v>
      </c>
      <c r="P35" s="20">
        <f t="shared" si="79"/>
        <v>0.10000000000000009</v>
      </c>
      <c r="Q35" s="20">
        <f t="shared" si="79"/>
        <v>0.10000000000000009</v>
      </c>
      <c r="R35" s="20">
        <f t="shared" si="79"/>
        <v>0.14999999999999991</v>
      </c>
      <c r="S35" s="20">
        <f t="shared" si="79"/>
        <v>0.14999999999999991</v>
      </c>
      <c r="T35" s="20">
        <f t="shared" si="79"/>
        <v>0.14999999999999991</v>
      </c>
      <c r="U35" s="20">
        <f t="shared" si="79"/>
        <v>0.14999999999999991</v>
      </c>
      <c r="V35" s="20">
        <f t="shared" si="79"/>
        <v>0.14999999999999991</v>
      </c>
    </row>
    <row r="36" spans="2:22" x14ac:dyDescent="0.15">
      <c r="B36" s="1" t="s">
        <v>36</v>
      </c>
      <c r="C36" s="20"/>
      <c r="D36" s="20">
        <f t="shared" ref="D36:V36" si="80">D19/C19-1</f>
        <v>-0.53020134228187921</v>
      </c>
      <c r="E36" s="20">
        <f t="shared" si="80"/>
        <v>0.40952380952380962</v>
      </c>
      <c r="F36" s="20">
        <f t="shared" si="80"/>
        <v>0.14189189189189189</v>
      </c>
      <c r="G36" s="20">
        <f t="shared" si="80"/>
        <v>0.34319526627218933</v>
      </c>
      <c r="H36" s="20">
        <f t="shared" si="80"/>
        <v>0.30000000000000004</v>
      </c>
      <c r="I36" s="20">
        <f t="shared" si="80"/>
        <v>0.30000000000000004</v>
      </c>
      <c r="J36" s="20">
        <f t="shared" si="80"/>
        <v>0.30000000000000004</v>
      </c>
      <c r="K36" s="20">
        <f t="shared" si="80"/>
        <v>0.30000000000000004</v>
      </c>
      <c r="L36" s="20">
        <f t="shared" si="80"/>
        <v>0.30000000000000004</v>
      </c>
      <c r="M36" s="20">
        <f t="shared" si="80"/>
        <v>0.10000000000000009</v>
      </c>
      <c r="N36" s="20">
        <f t="shared" si="80"/>
        <v>0.10000000000000009</v>
      </c>
      <c r="O36" s="20">
        <f t="shared" si="80"/>
        <v>0.10000000000000009</v>
      </c>
      <c r="P36" s="20">
        <f t="shared" si="80"/>
        <v>0.10000000000000009</v>
      </c>
      <c r="Q36" s="20">
        <f t="shared" si="80"/>
        <v>0.10000000000000009</v>
      </c>
      <c r="R36" s="20">
        <f t="shared" si="80"/>
        <v>5.0000000000000044E-2</v>
      </c>
      <c r="S36" s="20">
        <f t="shared" si="80"/>
        <v>5.0000000000000044E-2</v>
      </c>
      <c r="T36" s="20">
        <f t="shared" si="80"/>
        <v>5.0000000000000044E-2</v>
      </c>
      <c r="U36" s="20">
        <f t="shared" si="80"/>
        <v>5.0000000000000044E-2</v>
      </c>
      <c r="V36" s="20">
        <f t="shared" si="80"/>
        <v>5.0000000000000044E-2</v>
      </c>
    </row>
    <row r="37" spans="2:22" s="65" customFormat="1" x14ac:dyDescent="0.15">
      <c r="B37" s="65" t="s">
        <v>57</v>
      </c>
      <c r="C37" s="20"/>
      <c r="D37" s="20">
        <f>D20/C20-1</f>
        <v>-3.4814983713355119E-2</v>
      </c>
      <c r="E37" s="20">
        <f>E20/D20-1</f>
        <v>0.36950334073769597</v>
      </c>
      <c r="F37" s="20">
        <f t="shared" ref="F37:V37" si="81">F20/E20-1</f>
        <v>0.29127649088220808</v>
      </c>
      <c r="G37" s="20">
        <f t="shared" si="81"/>
        <v>0.27213740458015256</v>
      </c>
      <c r="H37" s="20">
        <f t="shared" si="81"/>
        <v>0.24434443444344423</v>
      </c>
      <c r="I37" s="20">
        <f t="shared" si="81"/>
        <v>0.24632781983893537</v>
      </c>
      <c r="J37" s="20">
        <f t="shared" si="81"/>
        <v>0.24832289292747944</v>
      </c>
      <c r="K37" s="20">
        <f t="shared" si="81"/>
        <v>0.25032332673031643</v>
      </c>
      <c r="L37" s="20">
        <f t="shared" si="81"/>
        <v>0.25232272593081184</v>
      </c>
      <c r="M37" s="20">
        <f t="shared" si="81"/>
        <v>0.11881537937241116</v>
      </c>
      <c r="N37" s="20">
        <f t="shared" si="81"/>
        <v>0.1193398184161627</v>
      </c>
      <c r="O37" s="20">
        <f t="shared" si="81"/>
        <v>0.11986956133666093</v>
      </c>
      <c r="P37" s="20">
        <f t="shared" si="81"/>
        <v>0.12040415806095051</v>
      </c>
      <c r="Q37" s="20">
        <f t="shared" si="81"/>
        <v>0.12094314056340405</v>
      </c>
      <c r="R37" s="20">
        <f t="shared" si="81"/>
        <v>0.11325883623392996</v>
      </c>
      <c r="S37" s="20">
        <f t="shared" si="81"/>
        <v>0.11438157786596403</v>
      </c>
      <c r="T37" s="20">
        <f t="shared" si="81"/>
        <v>0.11548682213523986</v>
      </c>
      <c r="U37" s="20">
        <f t="shared" si="81"/>
        <v>0.11657365808079723</v>
      </c>
      <c r="V37" s="20">
        <f t="shared" si="81"/>
        <v>0.1176412579459083</v>
      </c>
    </row>
    <row r="38" spans="2:22" x14ac:dyDescent="0.1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15">
      <c r="B39" s="15" t="s">
        <v>22</v>
      </c>
      <c r="C39" s="22">
        <f>C40-C41</f>
        <v>654</v>
      </c>
      <c r="D39" s="22">
        <f>D40-D41</f>
        <v>1540</v>
      </c>
      <c r="E39" s="22">
        <f>E40-E41</f>
        <v>1418</v>
      </c>
      <c r="F39" s="22">
        <f>F40-F41</f>
        <v>2009</v>
      </c>
      <c r="G39" s="22">
        <f>G40-G41</f>
        <v>2920</v>
      </c>
      <c r="H39" s="17">
        <f t="shared" ref="H39:V39" si="82">G39+H25</f>
        <v>3293.2423558366941</v>
      </c>
      <c r="I39" s="17">
        <f t="shared" si="82"/>
        <v>3916.3474635381449</v>
      </c>
      <c r="J39" s="17">
        <f t="shared" si="82"/>
        <v>4898.8818061276379</v>
      </c>
      <c r="K39" s="17">
        <f t="shared" si="82"/>
        <v>6390.6372757290646</v>
      </c>
      <c r="L39" s="17">
        <f t="shared" si="82"/>
        <v>8595.2089778916343</v>
      </c>
      <c r="M39" s="17">
        <f t="shared" si="82"/>
        <v>11402.462205951437</v>
      </c>
      <c r="N39" s="17">
        <f t="shared" si="82"/>
        <v>14932.357136402225</v>
      </c>
      <c r="O39" s="17">
        <f t="shared" si="82"/>
        <v>19325.841500901559</v>
      </c>
      <c r="P39" s="17">
        <f t="shared" si="82"/>
        <v>24748.298676157217</v>
      </c>
      <c r="Q39" s="17">
        <f t="shared" si="82"/>
        <v>31393.542992617629</v>
      </c>
      <c r="R39" s="17">
        <f t="shared" si="82"/>
        <v>38581.276074900641</v>
      </c>
      <c r="S39" s="17">
        <f t="shared" si="82"/>
        <v>46324.620729400551</v>
      </c>
      <c r="T39" s="17">
        <f t="shared" si="82"/>
        <v>54630.935043348654</v>
      </c>
      <c r="U39" s="17">
        <f t="shared" si="82"/>
        <v>63500.132685610741</v>
      </c>
      <c r="V39" s="17">
        <f t="shared" si="82"/>
        <v>72922.667729239954</v>
      </c>
    </row>
    <row r="40" spans="2:22" x14ac:dyDescent="0.15">
      <c r="B40" s="1" t="s">
        <v>23</v>
      </c>
      <c r="C40" s="16">
        <f>Reports!F34</f>
        <v>1162</v>
      </c>
      <c r="D40" s="16">
        <f>Reports!J34</f>
        <v>2170</v>
      </c>
      <c r="E40" s="16">
        <f>Reports!N34</f>
        <v>2080</v>
      </c>
      <c r="F40" s="16">
        <f>Reports!R34</f>
        <v>2704</v>
      </c>
      <c r="G40" s="16">
        <f>Reports!V34</f>
        <v>4560</v>
      </c>
    </row>
    <row r="41" spans="2:22" x14ac:dyDescent="0.15">
      <c r="B41" s="1" t="s">
        <v>24</v>
      </c>
      <c r="C41" s="16">
        <f>Reports!F35</f>
        <v>508</v>
      </c>
      <c r="D41" s="16">
        <f>Reports!J35</f>
        <v>630</v>
      </c>
      <c r="E41" s="16">
        <f>Reports!N35</f>
        <v>662</v>
      </c>
      <c r="F41" s="16">
        <f>Reports!R35</f>
        <v>695</v>
      </c>
      <c r="G41" s="16">
        <f>Reports!V35</f>
        <v>1640</v>
      </c>
    </row>
    <row r="43" spans="2:22" x14ac:dyDescent="0.15">
      <c r="B43" s="1" t="s">
        <v>44</v>
      </c>
      <c r="C43" s="16">
        <f>Reports!F37</f>
        <v>149</v>
      </c>
      <c r="D43" s="16">
        <f>Reports!J37</f>
        <v>216</v>
      </c>
      <c r="E43" s="16">
        <f>Reports!N37</f>
        <v>250</v>
      </c>
      <c r="F43" s="16">
        <f>Reports!R37</f>
        <v>301</v>
      </c>
      <c r="G43" s="16">
        <f>Reports!V37</f>
        <v>394</v>
      </c>
    </row>
    <row r="44" spans="2:22" x14ac:dyDescent="0.15">
      <c r="B44" s="1" t="s">
        <v>45</v>
      </c>
      <c r="C44" s="16">
        <f>Reports!F38</f>
        <v>2034</v>
      </c>
      <c r="D44" s="16">
        <f>Reports!J38</f>
        <v>3550</v>
      </c>
      <c r="E44" s="16">
        <f>Reports!N38</f>
        <v>3879</v>
      </c>
      <c r="F44" s="16">
        <f>Reports!R38</f>
        <v>6022</v>
      </c>
      <c r="G44" s="16">
        <f>Reports!V38</f>
        <v>8715</v>
      </c>
    </row>
    <row r="45" spans="2:22" x14ac:dyDescent="0.15">
      <c r="B45" s="1" t="s">
        <v>46</v>
      </c>
      <c r="C45" s="16">
        <f>Reports!F39</f>
        <v>1646</v>
      </c>
      <c r="D45" s="16">
        <f>Reports!J39</f>
        <v>2771</v>
      </c>
      <c r="E45" s="16">
        <f>Reports!N39</f>
        <v>2769</v>
      </c>
      <c r="F45" s="16">
        <f>Reports!R39</f>
        <v>3894</v>
      </c>
      <c r="G45" s="16">
        <f>Reports!V39</f>
        <v>5880</v>
      </c>
    </row>
    <row r="47" spans="2:22" x14ac:dyDescent="0.15">
      <c r="B47" s="1" t="s">
        <v>47</v>
      </c>
      <c r="C47" s="24">
        <f>C44-C43-C40</f>
        <v>723</v>
      </c>
      <c r="D47" s="24">
        <f>D44-D43-D40</f>
        <v>1164</v>
      </c>
      <c r="E47" s="24">
        <f>E44-E43-E40</f>
        <v>1549</v>
      </c>
      <c r="F47" s="24">
        <f>F44-F43-F40</f>
        <v>3017</v>
      </c>
      <c r="G47" s="24">
        <f>G44-G43-G40</f>
        <v>3761</v>
      </c>
    </row>
    <row r="48" spans="2:22" x14ac:dyDescent="0.15">
      <c r="B48" s="1" t="s">
        <v>48</v>
      </c>
      <c r="C48" s="24">
        <f>C44-C45</f>
        <v>388</v>
      </c>
      <c r="D48" s="24">
        <f>D44-D45</f>
        <v>779</v>
      </c>
      <c r="E48" s="24">
        <f>E44-E45</f>
        <v>1110</v>
      </c>
      <c r="F48" s="24">
        <f>F44-F45</f>
        <v>2128</v>
      </c>
      <c r="G48" s="24">
        <f>G44-G45</f>
        <v>2835</v>
      </c>
    </row>
    <row r="50" spans="2:12" x14ac:dyDescent="0.15">
      <c r="B50" s="1" t="s">
        <v>49</v>
      </c>
      <c r="C50" s="14">
        <f>C25/C48</f>
        <v>-1.1491984536082471</v>
      </c>
      <c r="D50" s="14">
        <f>D25/D48</f>
        <v>-0.14624775353016675</v>
      </c>
      <c r="E50" s="14">
        <f>E25/E48</f>
        <v>-2.3132432432432144E-2</v>
      </c>
      <c r="F50" s="14">
        <f>F25/F48</f>
        <v>3.0447368421052591E-2</v>
      </c>
      <c r="G50" s="14">
        <f>G25/G48</f>
        <v>4.1753439153439188E-2</v>
      </c>
    </row>
    <row r="51" spans="2:12" x14ac:dyDescent="0.15">
      <c r="B51" s="1" t="s">
        <v>50</v>
      </c>
      <c r="C51" s="14">
        <f>C25/C44</f>
        <v>-0.21921779744346112</v>
      </c>
      <c r="D51" s="14">
        <f>D25/D44</f>
        <v>-3.2092112676056314E-2</v>
      </c>
      <c r="E51" s="14">
        <f>E25/E44</f>
        <v>-6.6194895591646504E-3</v>
      </c>
      <c r="F51" s="14">
        <f>F25/F44</f>
        <v>1.0759216207240106E-2</v>
      </c>
      <c r="G51" s="14">
        <f>G25/G44</f>
        <v>1.3582444061962145E-2</v>
      </c>
    </row>
    <row r="52" spans="2:12" x14ac:dyDescent="0.15">
      <c r="B52" s="1" t="s">
        <v>51</v>
      </c>
      <c r="C52" s="14">
        <f>C25/(C48-C43)</f>
        <v>-1.8656443514644347</v>
      </c>
      <c r="D52" s="14">
        <f>D25/(D48-D43)</f>
        <v>-0.20235701598579026</v>
      </c>
      <c r="E52" s="14">
        <f>E25/(E48-E43)</f>
        <v>-2.9856976744185675E-2</v>
      </c>
      <c r="F52" s="14">
        <f>F25/(F48-F43)</f>
        <v>3.5463601532567002E-2</v>
      </c>
      <c r="G52" s="14">
        <f>G25/(G48-G43)</f>
        <v>4.8492830807046333E-2</v>
      </c>
    </row>
    <row r="53" spans="2:12" x14ac:dyDescent="0.15">
      <c r="B53" s="1" t="s">
        <v>52</v>
      </c>
      <c r="C53" s="14">
        <f>C25/C47</f>
        <v>-0.61672060857538025</v>
      </c>
      <c r="D53" s="14">
        <f>D25/D47</f>
        <v>-9.7875429553264531E-2</v>
      </c>
      <c r="E53" s="14">
        <f>E25/E47</f>
        <v>-1.6576500968366482E-2</v>
      </c>
      <c r="F53" s="14">
        <f>F25/F47</f>
        <v>2.1475638051044056E-2</v>
      </c>
      <c r="G53" s="14">
        <f>G25/G47</f>
        <v>3.1473278383408694E-2</v>
      </c>
    </row>
    <row r="55" spans="2:12" x14ac:dyDescent="0.15">
      <c r="B55" s="73" t="s">
        <v>71</v>
      </c>
      <c r="D55" s="14">
        <f t="shared" ref="D55:L55" si="83">D11/C11-1</f>
        <v>0.26576567726649936</v>
      </c>
      <c r="E55" s="14">
        <f t="shared" si="83"/>
        <v>0.39195918367346927</v>
      </c>
      <c r="F55" s="14">
        <f t="shared" si="83"/>
        <v>0.34434457668215535</v>
      </c>
      <c r="G55" s="14">
        <f t="shared" si="83"/>
        <v>0.31664915045072672</v>
      </c>
      <c r="H55" s="14">
        <f t="shared" si="83"/>
        <v>0.30000000000000004</v>
      </c>
      <c r="I55" s="14">
        <f t="shared" si="83"/>
        <v>0.30000000000000004</v>
      </c>
      <c r="J55" s="14">
        <f t="shared" si="83"/>
        <v>0.30000000000000004</v>
      </c>
      <c r="K55" s="14">
        <f t="shared" si="83"/>
        <v>0.30000000000000004</v>
      </c>
      <c r="L55" s="14">
        <f t="shared" si="83"/>
        <v>0.30000000000000004</v>
      </c>
    </row>
    <row r="56" spans="2:12" x14ac:dyDescent="0.15">
      <c r="B56" s="73" t="s">
        <v>72</v>
      </c>
      <c r="D56" s="14">
        <f t="shared" ref="D56:L56" si="84">D12/C12-1</f>
        <v>1.1551285673919054E-2</v>
      </c>
      <c r="E56" s="14">
        <f t="shared" si="84"/>
        <v>4.7537906298535049E-2</v>
      </c>
      <c r="F56" s="14">
        <f t="shared" si="84"/>
        <v>9.5225143064377793E-2</v>
      </c>
      <c r="G56" s="14">
        <f t="shared" si="84"/>
        <v>0.1379493372549403</v>
      </c>
      <c r="H56" s="14">
        <f t="shared" si="84"/>
        <v>0.10000000000000009</v>
      </c>
      <c r="I56" s="14">
        <f t="shared" si="84"/>
        <v>0.10000000000000009</v>
      </c>
      <c r="J56" s="14">
        <f t="shared" si="84"/>
        <v>0.10000000000000009</v>
      </c>
      <c r="K56" s="14">
        <f t="shared" si="84"/>
        <v>0.10000000000000009</v>
      </c>
      <c r="L56" s="14">
        <f t="shared" si="84"/>
        <v>0.10000000000000009</v>
      </c>
    </row>
  </sheetData>
  <hyperlinks>
    <hyperlink ref="A1" r:id="rId1" display="Investor Relations" xr:uid="{00000000-0004-0000-0000-000005000000}"/>
    <hyperlink ref="B5" r:id="rId2" xr:uid="{E90E5DDD-AED0-2242-BBCB-D798889C96BE}"/>
    <hyperlink ref="B8" r:id="rId3" xr:uid="{751B3B58-2717-6141-9546-6C3DEF833E27}"/>
    <hyperlink ref="B9" r:id="rId4" xr:uid="{C1FAEDD6-4224-1246-B4C3-B9712DCBAE73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zoomScale="130" zoomScaleNormal="13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D42" sqref="D42"/>
    </sheetView>
  </sheetViews>
  <sheetFormatPr baseColWidth="10" defaultRowHeight="13" x14ac:dyDescent="0.15"/>
  <cols>
    <col min="1" max="1" width="7.1640625" style="31" bestFit="1" customWidth="1"/>
    <col min="2" max="2" width="20.1640625" style="31" bestFit="1" customWidth="1"/>
    <col min="3" max="3" width="10.83203125" style="26"/>
    <col min="4" max="6" width="10.83203125" style="25"/>
    <col min="7" max="7" width="10.83203125" style="26"/>
    <col min="8" max="9" width="10.83203125" style="25"/>
    <col min="10" max="10" width="10.83203125" style="33"/>
    <col min="11" max="11" width="10.83203125" style="30"/>
    <col min="12" max="14" width="10.83203125" style="31"/>
    <col min="15" max="15" width="10.83203125" style="30"/>
    <col min="16" max="18" width="10.83203125" style="31"/>
    <col min="19" max="19" width="10.83203125" style="30"/>
    <col min="20" max="16384" width="10.83203125" style="31"/>
  </cols>
  <sheetData>
    <row r="1" spans="1:22" x14ac:dyDescent="0.15">
      <c r="A1" s="80" t="s">
        <v>37</v>
      </c>
    </row>
    <row r="2" spans="1:22" x14ac:dyDescent="0.15">
      <c r="C2" s="89" t="s">
        <v>65</v>
      </c>
      <c r="D2" s="90" t="s">
        <v>66</v>
      </c>
      <c r="E2" s="90" t="s">
        <v>67</v>
      </c>
      <c r="F2" s="90" t="s">
        <v>68</v>
      </c>
      <c r="G2" s="27" t="s">
        <v>0</v>
      </c>
      <c r="H2" s="28" t="s">
        <v>1</v>
      </c>
      <c r="I2" s="28" t="s">
        <v>2</v>
      </c>
      <c r="J2" s="28" t="s">
        <v>3</v>
      </c>
      <c r="K2" s="27" t="s">
        <v>30</v>
      </c>
      <c r="L2" s="28" t="s">
        <v>31</v>
      </c>
      <c r="M2" s="28" t="s">
        <v>32</v>
      </c>
      <c r="N2" s="29" t="s">
        <v>33</v>
      </c>
      <c r="O2" s="27" t="s">
        <v>53</v>
      </c>
      <c r="P2" s="28" t="s">
        <v>54</v>
      </c>
      <c r="Q2" s="28" t="s">
        <v>55</v>
      </c>
      <c r="R2" s="29" t="s">
        <v>56</v>
      </c>
      <c r="S2" s="66" t="s">
        <v>58</v>
      </c>
      <c r="T2" s="72" t="s">
        <v>59</v>
      </c>
      <c r="U2" s="72" t="s">
        <v>60</v>
      </c>
      <c r="V2" s="72" t="s">
        <v>61</v>
      </c>
    </row>
    <row r="3" spans="1:22" x14ac:dyDescent="0.15">
      <c r="B3" s="32"/>
      <c r="C3" s="83">
        <v>42460</v>
      </c>
      <c r="D3" s="82">
        <v>42551</v>
      </c>
      <c r="E3" s="82">
        <v>42643</v>
      </c>
      <c r="F3" s="82">
        <v>42735</v>
      </c>
      <c r="G3" s="83">
        <v>42825</v>
      </c>
      <c r="H3" s="82">
        <v>42916</v>
      </c>
      <c r="I3" s="82">
        <v>43008</v>
      </c>
      <c r="J3" s="81">
        <v>43100</v>
      </c>
      <c r="K3" s="83">
        <v>43190</v>
      </c>
      <c r="L3" s="82">
        <v>43281</v>
      </c>
      <c r="M3" s="82">
        <v>43373</v>
      </c>
      <c r="N3" s="81">
        <v>43465</v>
      </c>
      <c r="O3" s="67">
        <v>43555</v>
      </c>
      <c r="P3" s="75">
        <v>43646</v>
      </c>
      <c r="Q3" s="75">
        <v>43738</v>
      </c>
      <c r="R3" s="75">
        <v>43830</v>
      </c>
      <c r="S3" s="67">
        <v>43921</v>
      </c>
      <c r="T3" s="75">
        <v>44012</v>
      </c>
      <c r="U3" s="75">
        <v>44104</v>
      </c>
      <c r="V3" s="75">
        <v>44196</v>
      </c>
    </row>
    <row r="4" spans="1:22" s="34" customFormat="1" x14ac:dyDescent="0.15">
      <c r="B4" s="73" t="s">
        <v>69</v>
      </c>
      <c r="C4" s="27">
        <v>267.42200000000003</v>
      </c>
      <c r="D4" s="35">
        <v>290.67899999999997</v>
      </c>
      <c r="E4" s="35">
        <v>318.93400000000003</v>
      </c>
      <c r="F4" s="35">
        <v>497.23200000000003</v>
      </c>
      <c r="G4" s="27">
        <v>387.584</v>
      </c>
      <c r="H4" s="35">
        <v>402.67200000000003</v>
      </c>
      <c r="I4" s="35">
        <v>449.50599999999997</v>
      </c>
      <c r="J4" s="36">
        <v>499.738</v>
      </c>
      <c r="K4" s="27">
        <v>543.32500000000005</v>
      </c>
      <c r="L4" s="35">
        <v>585.28200000000004</v>
      </c>
      <c r="M4" s="74">
        <v>626.56700000000001</v>
      </c>
      <c r="N4" s="35">
        <v>666.13900000000001</v>
      </c>
      <c r="O4" s="68">
        <v>739.98599999999999</v>
      </c>
      <c r="P4" s="34">
        <v>780.98900000000003</v>
      </c>
      <c r="Q4" s="34">
        <v>834.91</v>
      </c>
      <c r="R4" s="34">
        <v>899.19399999999996</v>
      </c>
      <c r="S4" s="68">
        <v>994.702</v>
      </c>
      <c r="T4" s="34">
        <v>1015.528</v>
      </c>
      <c r="U4" s="34">
        <v>1091.386</v>
      </c>
      <c r="V4" s="34">
        <v>1184.181</v>
      </c>
    </row>
    <row r="5" spans="1:22" s="34" customFormat="1" x14ac:dyDescent="0.15">
      <c r="B5" s="73" t="s">
        <v>70</v>
      </c>
      <c r="C5" s="27">
        <v>38.457000000000001</v>
      </c>
      <c r="D5" s="35">
        <v>50.633000000000003</v>
      </c>
      <c r="E5" s="35">
        <v>38.722000000000001</v>
      </c>
      <c r="F5" s="35">
        <v>49.137999999999998</v>
      </c>
      <c r="G5" s="27">
        <v>41.186999999999998</v>
      </c>
      <c r="H5" s="35">
        <v>45.585999999999999</v>
      </c>
      <c r="I5" s="35">
        <v>42.866</v>
      </c>
      <c r="J5" s="36">
        <v>49.354999999999997</v>
      </c>
      <c r="K5" s="27">
        <v>45.896999999999998</v>
      </c>
      <c r="L5" s="35">
        <v>45.774000000000001</v>
      </c>
      <c r="M5" s="35">
        <v>46.53</v>
      </c>
      <c r="N5" s="35">
        <v>49.302</v>
      </c>
      <c r="O5" s="68">
        <v>48.94</v>
      </c>
      <c r="P5" s="34">
        <v>52.914999999999999</v>
      </c>
      <c r="Q5" s="34">
        <v>50.923000000000002</v>
      </c>
      <c r="R5" s="34">
        <v>52.58</v>
      </c>
      <c r="S5" s="68">
        <v>51.637999999999998</v>
      </c>
      <c r="T5" s="34">
        <v>55.314</v>
      </c>
      <c r="U5" s="34">
        <v>60.585999999999999</v>
      </c>
      <c r="V5" s="34">
        <v>66.149000000000001</v>
      </c>
    </row>
    <row r="6" spans="1:22" s="84" customFormat="1" x14ac:dyDescent="0.15">
      <c r="C6" s="85"/>
      <c r="D6" s="86"/>
      <c r="E6" s="86"/>
      <c r="F6" s="86"/>
      <c r="G6" s="85"/>
      <c r="H6" s="86"/>
      <c r="I6" s="86"/>
      <c r="J6" s="87"/>
      <c r="K6" s="85">
        <v>525</v>
      </c>
      <c r="L6" s="86">
        <v>568</v>
      </c>
      <c r="M6" s="86">
        <v>610</v>
      </c>
      <c r="N6" s="86">
        <v>660</v>
      </c>
      <c r="O6" s="88">
        <v>715</v>
      </c>
      <c r="S6" s="88"/>
      <c r="T6" s="84">
        <v>995</v>
      </c>
      <c r="U6" s="84">
        <v>1055</v>
      </c>
      <c r="V6" s="84">
        <v>1155</v>
      </c>
    </row>
    <row r="7" spans="1:22" s="77" customFormat="1" x14ac:dyDescent="0.15">
      <c r="B7" s="77" t="s">
        <v>4</v>
      </c>
      <c r="C7" s="78">
        <f t="shared" ref="C7:V7" si="0">SUM(C4:C5)</f>
        <v>305.87900000000002</v>
      </c>
      <c r="D7" s="79">
        <f t="shared" si="0"/>
        <v>341.31199999999995</v>
      </c>
      <c r="E7" s="79">
        <f t="shared" si="0"/>
        <v>357.65600000000001</v>
      </c>
      <c r="F7" s="79">
        <f t="shared" si="0"/>
        <v>546.37</v>
      </c>
      <c r="G7" s="78">
        <f t="shared" si="0"/>
        <v>428.77100000000002</v>
      </c>
      <c r="H7" s="79">
        <f t="shared" si="0"/>
        <v>448.25800000000004</v>
      </c>
      <c r="I7" s="79">
        <f t="shared" si="0"/>
        <v>492.37199999999996</v>
      </c>
      <c r="J7" s="79">
        <f t="shared" si="0"/>
        <v>549.09299999999996</v>
      </c>
      <c r="K7" s="78">
        <f t="shared" si="0"/>
        <v>589.22200000000009</v>
      </c>
      <c r="L7" s="79">
        <f t="shared" si="0"/>
        <v>631.05600000000004</v>
      </c>
      <c r="M7" s="79">
        <f t="shared" si="0"/>
        <v>673.09699999999998</v>
      </c>
      <c r="N7" s="79">
        <f t="shared" si="0"/>
        <v>715.44100000000003</v>
      </c>
      <c r="O7" s="78">
        <f t="shared" si="0"/>
        <v>788.92599999999993</v>
      </c>
      <c r="P7" s="79">
        <f t="shared" si="0"/>
        <v>833.904</v>
      </c>
      <c r="Q7" s="79">
        <f t="shared" si="0"/>
        <v>885.83299999999997</v>
      </c>
      <c r="R7" s="79">
        <f t="shared" si="0"/>
        <v>951.774</v>
      </c>
      <c r="S7" s="78">
        <f t="shared" si="0"/>
        <v>1046.3399999999999</v>
      </c>
      <c r="T7" s="79">
        <f t="shared" si="0"/>
        <v>1070.8420000000001</v>
      </c>
      <c r="U7" s="79">
        <f t="shared" si="0"/>
        <v>1151.972</v>
      </c>
      <c r="V7" s="79">
        <f t="shared" si="0"/>
        <v>1250.33</v>
      </c>
    </row>
    <row r="8" spans="1:22" s="34" customFormat="1" x14ac:dyDescent="0.15">
      <c r="B8" s="34" t="s">
        <v>5</v>
      </c>
      <c r="C8" s="27">
        <v>94.26</v>
      </c>
      <c r="D8" s="35">
        <v>96.649000000000001</v>
      </c>
      <c r="E8" s="35">
        <v>102.837</v>
      </c>
      <c r="F8" s="35">
        <v>134.36000000000001</v>
      </c>
      <c r="G8" s="27">
        <v>116.084</v>
      </c>
      <c r="H8" s="35">
        <v>122.128</v>
      </c>
      <c r="I8" s="35">
        <v>127.486</v>
      </c>
      <c r="J8" s="36">
        <v>134.16399999999999</v>
      </c>
      <c r="K8" s="27">
        <v>143.47300000000001</v>
      </c>
      <c r="L8" s="35">
        <v>153</v>
      </c>
      <c r="M8" s="35">
        <v>157.858</v>
      </c>
      <c r="N8" s="35">
        <v>168.16200000000001</v>
      </c>
      <c r="O8" s="68">
        <v>186.25200000000001</v>
      </c>
      <c r="P8" s="34">
        <v>198.14699999999999</v>
      </c>
      <c r="Q8" s="34">
        <v>200.79300000000001</v>
      </c>
      <c r="R8" s="73">
        <v>211.453</v>
      </c>
      <c r="S8" s="68">
        <v>223.36600000000001</v>
      </c>
      <c r="T8" s="34">
        <v>232.93899999999999</v>
      </c>
      <c r="U8" s="73">
        <v>251.70400000000001</v>
      </c>
      <c r="V8" s="73">
        <v>279.10399999999998</v>
      </c>
    </row>
    <row r="9" spans="1:22" s="34" customFormat="1" x14ac:dyDescent="0.15">
      <c r="B9" s="34" t="s">
        <v>6</v>
      </c>
      <c r="C9" s="41">
        <f t="shared" ref="C9:E9" si="1">C7-C8</f>
        <v>211.61900000000003</v>
      </c>
      <c r="D9" s="40">
        <f t="shared" ref="D9" si="2">D7-D8</f>
        <v>244.66299999999995</v>
      </c>
      <c r="E9" s="40">
        <f t="shared" si="1"/>
        <v>254.81900000000002</v>
      </c>
      <c r="F9" s="40">
        <f t="shared" ref="F9:H9" si="3">F7-F8</f>
        <v>412.01</v>
      </c>
      <c r="G9" s="41">
        <f t="shared" ref="G9" si="4">G7-G8</f>
        <v>312.68700000000001</v>
      </c>
      <c r="H9" s="40">
        <f t="shared" si="3"/>
        <v>326.13000000000005</v>
      </c>
      <c r="I9" s="40">
        <f t="shared" ref="I9:Q9" si="5">I7-I8</f>
        <v>364.88599999999997</v>
      </c>
      <c r="J9" s="40">
        <f t="shared" si="5"/>
        <v>414.92899999999997</v>
      </c>
      <c r="K9" s="41">
        <f t="shared" si="5"/>
        <v>445.74900000000008</v>
      </c>
      <c r="L9" s="40">
        <f t="shared" si="5"/>
        <v>478.05600000000004</v>
      </c>
      <c r="M9" s="40">
        <f t="shared" si="5"/>
        <v>515.23900000000003</v>
      </c>
      <c r="N9" s="40">
        <f t="shared" si="5"/>
        <v>547.279</v>
      </c>
      <c r="O9" s="41">
        <f t="shared" si="5"/>
        <v>602.67399999999998</v>
      </c>
      <c r="P9" s="40">
        <f t="shared" si="5"/>
        <v>635.75700000000006</v>
      </c>
      <c r="Q9" s="40">
        <f t="shared" si="5"/>
        <v>685.04</v>
      </c>
      <c r="R9" s="40">
        <f t="shared" ref="R9:V9" si="6">R7-R8</f>
        <v>740.32100000000003</v>
      </c>
      <c r="S9" s="41">
        <f t="shared" si="6"/>
        <v>822.97399999999993</v>
      </c>
      <c r="T9" s="40">
        <f t="shared" si="6"/>
        <v>837.90300000000013</v>
      </c>
      <c r="U9" s="40">
        <f t="shared" si="6"/>
        <v>900.26800000000003</v>
      </c>
      <c r="V9" s="40">
        <f t="shared" si="6"/>
        <v>971.22599999999989</v>
      </c>
    </row>
    <row r="10" spans="1:22" s="34" customFormat="1" x14ac:dyDescent="0.15">
      <c r="B10" s="34" t="s">
        <v>7</v>
      </c>
      <c r="C10" s="27">
        <v>66</v>
      </c>
      <c r="D10" s="35">
        <v>70</v>
      </c>
      <c r="E10" s="35">
        <v>75</v>
      </c>
      <c r="F10" s="35">
        <v>105</v>
      </c>
      <c r="G10" s="27">
        <v>84</v>
      </c>
      <c r="H10" s="35">
        <v>90</v>
      </c>
      <c r="I10" s="35">
        <v>98</v>
      </c>
      <c r="J10" s="36">
        <v>104.559</v>
      </c>
      <c r="K10" s="27">
        <v>117</v>
      </c>
      <c r="L10" s="35">
        <v>128</v>
      </c>
      <c r="M10" s="35">
        <v>136</v>
      </c>
      <c r="N10" s="35">
        <v>149</v>
      </c>
      <c r="O10" s="68">
        <v>173</v>
      </c>
      <c r="P10" s="34">
        <v>183</v>
      </c>
      <c r="Q10" s="34">
        <v>190</v>
      </c>
      <c r="R10" s="73">
        <v>202</v>
      </c>
      <c r="S10" s="68">
        <v>227</v>
      </c>
      <c r="T10" s="34">
        <v>245</v>
      </c>
      <c r="U10" s="73">
        <v>268</v>
      </c>
      <c r="V10" s="73">
        <v>284</v>
      </c>
    </row>
    <row r="11" spans="1:22" s="34" customFormat="1" x14ac:dyDescent="0.15">
      <c r="B11" s="34" t="s">
        <v>8</v>
      </c>
      <c r="C11" s="27">
        <v>159</v>
      </c>
      <c r="D11" s="35">
        <v>187</v>
      </c>
      <c r="E11" s="35">
        <v>166</v>
      </c>
      <c r="F11" s="35">
        <v>260</v>
      </c>
      <c r="G11" s="27">
        <v>204</v>
      </c>
      <c r="H11" s="35">
        <v>222</v>
      </c>
      <c r="I11" s="35">
        <v>218</v>
      </c>
      <c r="J11" s="36">
        <v>251</v>
      </c>
      <c r="K11" s="27">
        <v>284</v>
      </c>
      <c r="L11" s="35">
        <v>311</v>
      </c>
      <c r="M11" s="35">
        <v>289</v>
      </c>
      <c r="N11" s="35">
        <v>319</v>
      </c>
      <c r="O11" s="68">
        <v>361</v>
      </c>
      <c r="P11" s="34">
        <v>394</v>
      </c>
      <c r="Q11" s="34">
        <v>363</v>
      </c>
      <c r="R11" s="73">
        <v>416</v>
      </c>
      <c r="S11" s="68">
        <v>441</v>
      </c>
      <c r="T11" s="34">
        <v>427</v>
      </c>
      <c r="U11" s="73">
        <v>453</v>
      </c>
      <c r="V11" s="73">
        <v>534</v>
      </c>
    </row>
    <row r="12" spans="1:22" s="34" customFormat="1" x14ac:dyDescent="0.15">
      <c r="B12" s="34" t="s">
        <v>9</v>
      </c>
      <c r="C12" s="27">
        <f>41+270</f>
        <v>311</v>
      </c>
      <c r="D12" s="35">
        <v>36</v>
      </c>
      <c r="E12" s="35">
        <v>40</v>
      </c>
      <c r="F12" s="35">
        <v>60</v>
      </c>
      <c r="G12" s="27">
        <v>46</v>
      </c>
      <c r="H12" s="35">
        <v>52</v>
      </c>
      <c r="I12" s="35">
        <v>52</v>
      </c>
      <c r="J12" s="36">
        <v>60</v>
      </c>
      <c r="K12" s="27">
        <v>65</v>
      </c>
      <c r="L12" s="35">
        <v>71</v>
      </c>
      <c r="M12" s="35">
        <v>81</v>
      </c>
      <c r="N12" s="35">
        <v>79</v>
      </c>
      <c r="O12" s="68">
        <v>84</v>
      </c>
      <c r="P12" s="34">
        <v>85</v>
      </c>
      <c r="Q12" s="34">
        <v>76</v>
      </c>
      <c r="R12" s="73">
        <v>93</v>
      </c>
      <c r="S12" s="68">
        <v>106</v>
      </c>
      <c r="T12" s="34">
        <v>104</v>
      </c>
      <c r="U12" s="73">
        <v>109</v>
      </c>
      <c r="V12" s="73">
        <v>135</v>
      </c>
    </row>
    <row r="13" spans="1:22" s="34" customFormat="1" x14ac:dyDescent="0.15">
      <c r="B13" s="34" t="s">
        <v>10</v>
      </c>
      <c r="C13" s="41">
        <f t="shared" ref="C13:E13" si="7">SUM(C10:C12)</f>
        <v>536</v>
      </c>
      <c r="D13" s="40">
        <f t="shared" ref="D13" si="8">SUM(D10:D12)</f>
        <v>293</v>
      </c>
      <c r="E13" s="40">
        <f t="shared" si="7"/>
        <v>281</v>
      </c>
      <c r="F13" s="40">
        <f t="shared" ref="F13:H13" si="9">SUM(F10:F12)</f>
        <v>425</v>
      </c>
      <c r="G13" s="41">
        <f t="shared" ref="G13" si="10">SUM(G10:G12)</f>
        <v>334</v>
      </c>
      <c r="H13" s="40">
        <f t="shared" si="9"/>
        <v>364</v>
      </c>
      <c r="I13" s="40">
        <f t="shared" ref="I13:M13" si="11">SUM(I10:I12)</f>
        <v>368</v>
      </c>
      <c r="J13" s="40">
        <f t="shared" si="11"/>
        <v>415.55899999999997</v>
      </c>
      <c r="K13" s="41">
        <f t="shared" si="11"/>
        <v>466</v>
      </c>
      <c r="L13" s="40">
        <f t="shared" si="11"/>
        <v>510</v>
      </c>
      <c r="M13" s="40">
        <f t="shared" si="11"/>
        <v>506</v>
      </c>
      <c r="N13" s="40">
        <f t="shared" ref="N13:O13" si="12">SUM(N10:N12)</f>
        <v>547</v>
      </c>
      <c r="O13" s="41">
        <f t="shared" si="12"/>
        <v>618</v>
      </c>
      <c r="P13" s="40">
        <f t="shared" ref="P13:R13" si="13">SUM(P10:P12)</f>
        <v>662</v>
      </c>
      <c r="Q13" s="40">
        <f t="shared" si="13"/>
        <v>629</v>
      </c>
      <c r="R13" s="40">
        <f t="shared" si="13"/>
        <v>711</v>
      </c>
      <c r="S13" s="41">
        <f t="shared" ref="S13:T13" si="14">SUM(S10:S12)</f>
        <v>774</v>
      </c>
      <c r="T13" s="40">
        <f t="shared" si="14"/>
        <v>776</v>
      </c>
      <c r="U13" s="40">
        <f t="shared" ref="U13:V13" si="15">SUM(U10:U12)</f>
        <v>830</v>
      </c>
      <c r="V13" s="40">
        <f t="shared" si="15"/>
        <v>953</v>
      </c>
    </row>
    <row r="14" spans="1:22" s="34" customFormat="1" x14ac:dyDescent="0.15">
      <c r="B14" s="34" t="s">
        <v>11</v>
      </c>
      <c r="C14" s="41">
        <f t="shared" ref="C14:I14" si="16">C9-C13</f>
        <v>-324.38099999999997</v>
      </c>
      <c r="D14" s="40">
        <f t="shared" ref="D14" si="17">D9-D13</f>
        <v>-48.337000000000046</v>
      </c>
      <c r="E14" s="40">
        <f t="shared" si="16"/>
        <v>-26.180999999999983</v>
      </c>
      <c r="F14" s="40">
        <f t="shared" ref="F14" si="18">F9-F13</f>
        <v>-12.990000000000009</v>
      </c>
      <c r="G14" s="41">
        <f t="shared" si="16"/>
        <v>-21.312999999999988</v>
      </c>
      <c r="H14" s="40">
        <f t="shared" si="16"/>
        <v>-37.869999999999948</v>
      </c>
      <c r="I14" s="40">
        <f t="shared" si="16"/>
        <v>-3.1140000000000327</v>
      </c>
      <c r="J14" s="40">
        <f>J9-J13</f>
        <v>-0.62999999999999545</v>
      </c>
      <c r="K14" s="41">
        <f t="shared" ref="K14" si="19">K9-K13</f>
        <v>-20.25099999999992</v>
      </c>
      <c r="L14" s="40">
        <f t="shared" ref="L14:M14" si="20">L9-L13</f>
        <v>-31.94399999999996</v>
      </c>
      <c r="M14" s="40">
        <f t="shared" si="20"/>
        <v>9.2390000000000327</v>
      </c>
      <c r="N14" s="40">
        <f t="shared" ref="N14:O14" si="21">N9-N13</f>
        <v>0.27899999999999636</v>
      </c>
      <c r="O14" s="41">
        <f t="shared" si="21"/>
        <v>-15.326000000000022</v>
      </c>
      <c r="P14" s="40">
        <f t="shared" ref="P14:R14" si="22">P9-P13</f>
        <v>-26.242999999999938</v>
      </c>
      <c r="Q14" s="40">
        <f t="shared" si="22"/>
        <v>56.039999999999964</v>
      </c>
      <c r="R14" s="40">
        <f t="shared" si="22"/>
        <v>29.321000000000026</v>
      </c>
      <c r="S14" s="41">
        <f t="shared" ref="S14:T14" si="23">S9-S13</f>
        <v>48.973999999999933</v>
      </c>
      <c r="T14" s="40">
        <f t="shared" si="23"/>
        <v>61.903000000000134</v>
      </c>
      <c r="U14" s="40">
        <f t="shared" ref="U14:V14" si="24">U9-U13</f>
        <v>70.268000000000029</v>
      </c>
      <c r="V14" s="40">
        <f t="shared" si="24"/>
        <v>18.225999999999885</v>
      </c>
    </row>
    <row r="15" spans="1:22" s="34" customFormat="1" x14ac:dyDescent="0.15">
      <c r="B15" s="34" t="s">
        <v>12</v>
      </c>
      <c r="C15" s="27">
        <f>-8+1</f>
        <v>-7</v>
      </c>
      <c r="D15" s="35">
        <f>-8+2</f>
        <v>-6</v>
      </c>
      <c r="E15" s="35">
        <f>-8+2</f>
        <v>-6</v>
      </c>
      <c r="F15" s="35">
        <f>-17+5</f>
        <v>-12</v>
      </c>
      <c r="G15" s="27">
        <f>-9+8</f>
        <v>-1</v>
      </c>
      <c r="H15" s="35">
        <f>-11-8</f>
        <v>-19</v>
      </c>
      <c r="I15" s="35">
        <f>-17+1</f>
        <v>-16</v>
      </c>
      <c r="J15" s="36">
        <f>-17+5</f>
        <v>-12</v>
      </c>
      <c r="K15" s="27">
        <f>-17+30</f>
        <v>13</v>
      </c>
      <c r="L15" s="35">
        <f>-15+7</f>
        <v>-8</v>
      </c>
      <c r="M15" s="35">
        <f>-11+9</f>
        <v>-2</v>
      </c>
      <c r="N15" s="35">
        <f>-9+11</f>
        <v>2</v>
      </c>
      <c r="O15" s="68">
        <f>-8+12</f>
        <v>4</v>
      </c>
      <c r="P15" s="34">
        <f>-8+19</f>
        <v>11</v>
      </c>
      <c r="Q15" s="34">
        <f>-8+13</f>
        <v>5</v>
      </c>
      <c r="R15" s="73">
        <f>-8+14</f>
        <v>6</v>
      </c>
      <c r="S15" s="68">
        <f>-9+8</f>
        <v>-1</v>
      </c>
      <c r="T15" s="34">
        <f>-8+8</f>
        <v>0</v>
      </c>
      <c r="U15" s="73">
        <f>-8-36</f>
        <v>-44</v>
      </c>
      <c r="V15" s="73">
        <f>-8+3</f>
        <v>-5</v>
      </c>
    </row>
    <row r="16" spans="1:22" s="34" customFormat="1" x14ac:dyDescent="0.15">
      <c r="B16" s="34" t="s">
        <v>13</v>
      </c>
      <c r="C16" s="41">
        <f>C14+C15</f>
        <v>-331.38099999999997</v>
      </c>
      <c r="D16" s="40">
        <f t="shared" ref="D16" si="25">D14+D15</f>
        <v>-54.337000000000046</v>
      </c>
      <c r="E16" s="40">
        <f t="shared" ref="E16:F16" si="26">E14+E15</f>
        <v>-32.180999999999983</v>
      </c>
      <c r="F16" s="40">
        <f t="shared" si="26"/>
        <v>-24.990000000000009</v>
      </c>
      <c r="G16" s="41">
        <f t="shared" ref="G16" si="27">G14+G15</f>
        <v>-22.312999999999988</v>
      </c>
      <c r="H16" s="40">
        <f t="shared" ref="H16:I16" si="28">H14+H15</f>
        <v>-56.869999999999948</v>
      </c>
      <c r="I16" s="40">
        <f t="shared" si="28"/>
        <v>-19.114000000000033</v>
      </c>
      <c r="J16" s="40">
        <f>J14+J15</f>
        <v>-12.629999999999995</v>
      </c>
      <c r="K16" s="41">
        <f t="shared" ref="K16" si="29">K14+K15</f>
        <v>-7.2509999999999195</v>
      </c>
      <c r="L16" s="40">
        <f t="shared" ref="L16:Q16" si="30">L14+L15</f>
        <v>-39.94399999999996</v>
      </c>
      <c r="M16" s="40">
        <f t="shared" si="30"/>
        <v>7.2390000000000327</v>
      </c>
      <c r="N16" s="40">
        <f t="shared" si="30"/>
        <v>2.2789999999999964</v>
      </c>
      <c r="O16" s="41">
        <f t="shared" si="30"/>
        <v>-11.326000000000022</v>
      </c>
      <c r="P16" s="40">
        <f t="shared" si="30"/>
        <v>-15.242999999999938</v>
      </c>
      <c r="Q16" s="40">
        <f t="shared" si="30"/>
        <v>61.039999999999964</v>
      </c>
      <c r="R16" s="40">
        <f t="shared" ref="R16:V16" si="31">R14+R15</f>
        <v>35.321000000000026</v>
      </c>
      <c r="S16" s="41">
        <f t="shared" si="31"/>
        <v>47.973999999999933</v>
      </c>
      <c r="T16" s="40">
        <f t="shared" si="31"/>
        <v>61.903000000000134</v>
      </c>
      <c r="U16" s="40">
        <f t="shared" si="31"/>
        <v>26.268000000000029</v>
      </c>
      <c r="V16" s="40">
        <f t="shared" si="31"/>
        <v>13.225999999999885</v>
      </c>
    </row>
    <row r="17" spans="2:22" s="34" customFormat="1" x14ac:dyDescent="0.15">
      <c r="B17" s="34" t="s">
        <v>14</v>
      </c>
      <c r="C17" s="27">
        <v>2</v>
      </c>
      <c r="D17" s="35">
        <v>-5</v>
      </c>
      <c r="E17" s="35">
        <v>3</v>
      </c>
      <c r="F17" s="35">
        <v>3</v>
      </c>
      <c r="G17" s="27">
        <v>-1</v>
      </c>
      <c r="H17" s="35">
        <v>-2</v>
      </c>
      <c r="I17" s="35">
        <v>2</v>
      </c>
      <c r="J17" s="36">
        <v>4</v>
      </c>
      <c r="K17" s="27">
        <v>-18</v>
      </c>
      <c r="L17" s="35">
        <v>12</v>
      </c>
      <c r="M17" s="35">
        <v>-1</v>
      </c>
      <c r="N17" s="35">
        <v>-5</v>
      </c>
      <c r="O17" s="68">
        <v>-10</v>
      </c>
      <c r="P17" s="34">
        <v>-5</v>
      </c>
      <c r="Q17" s="34">
        <v>20</v>
      </c>
      <c r="R17" s="73">
        <v>0</v>
      </c>
      <c r="S17" s="68">
        <v>0</v>
      </c>
      <c r="T17" s="34">
        <v>21</v>
      </c>
      <c r="U17" s="73">
        <v>13</v>
      </c>
      <c r="V17" s="73">
        <v>-3</v>
      </c>
    </row>
    <row r="18" spans="2:22" s="84" customFormat="1" x14ac:dyDescent="0.15">
      <c r="B18" s="84" t="s">
        <v>63</v>
      </c>
      <c r="C18" s="85"/>
      <c r="D18" s="86"/>
      <c r="E18" s="86"/>
      <c r="F18" s="86"/>
      <c r="G18" s="85"/>
      <c r="H18" s="86"/>
      <c r="I18" s="86"/>
      <c r="J18" s="87"/>
      <c r="K18" s="85"/>
      <c r="L18" s="86"/>
      <c r="M18" s="86"/>
      <c r="N18" s="86"/>
      <c r="O18" s="88"/>
      <c r="R18" s="84">
        <v>565</v>
      </c>
      <c r="S18" s="88"/>
    </row>
    <row r="19" spans="2:22" s="37" customFormat="1" x14ac:dyDescent="0.15">
      <c r="B19" s="37" t="s">
        <v>15</v>
      </c>
      <c r="C19" s="39">
        <f t="shared" ref="C19:V19" si="32">C16-C17</f>
        <v>-333.38099999999997</v>
      </c>
      <c r="D19" s="38">
        <f t="shared" si="32"/>
        <v>-49.337000000000046</v>
      </c>
      <c r="E19" s="38">
        <f t="shared" si="32"/>
        <v>-35.180999999999983</v>
      </c>
      <c r="F19" s="38">
        <f t="shared" si="32"/>
        <v>-27.990000000000009</v>
      </c>
      <c r="G19" s="39">
        <f t="shared" si="32"/>
        <v>-21.312999999999988</v>
      </c>
      <c r="H19" s="38">
        <f t="shared" si="32"/>
        <v>-54.869999999999948</v>
      </c>
      <c r="I19" s="38">
        <f t="shared" si="32"/>
        <v>-21.114000000000033</v>
      </c>
      <c r="J19" s="38">
        <f t="shared" si="32"/>
        <v>-16.629999999999995</v>
      </c>
      <c r="K19" s="39">
        <f t="shared" si="32"/>
        <v>10.74900000000008</v>
      </c>
      <c r="L19" s="38">
        <f t="shared" si="32"/>
        <v>-51.94399999999996</v>
      </c>
      <c r="M19" s="38">
        <f t="shared" si="32"/>
        <v>8.2390000000000327</v>
      </c>
      <c r="N19" s="38">
        <f t="shared" si="32"/>
        <v>7.2789999999999964</v>
      </c>
      <c r="O19" s="39">
        <f t="shared" si="32"/>
        <v>-1.3260000000000218</v>
      </c>
      <c r="P19" s="38">
        <f t="shared" si="32"/>
        <v>-10.242999999999938</v>
      </c>
      <c r="Q19" s="38">
        <f t="shared" si="32"/>
        <v>41.039999999999964</v>
      </c>
      <c r="R19" s="38">
        <f t="shared" si="32"/>
        <v>35.321000000000026</v>
      </c>
      <c r="S19" s="39">
        <f t="shared" si="32"/>
        <v>47.973999999999933</v>
      </c>
      <c r="T19" s="38">
        <f t="shared" si="32"/>
        <v>40.903000000000134</v>
      </c>
      <c r="U19" s="38">
        <f t="shared" si="32"/>
        <v>13.268000000000029</v>
      </c>
      <c r="V19" s="38">
        <f t="shared" si="32"/>
        <v>16.225999999999885</v>
      </c>
    </row>
    <row r="20" spans="2:22" x14ac:dyDescent="0.15">
      <c r="B20" s="31" t="s">
        <v>16</v>
      </c>
      <c r="C20" s="43">
        <f t="shared" ref="C20:D20" si="33">IFERROR(C19/C21,0)</f>
        <v>-2.0570552786071805</v>
      </c>
      <c r="D20" s="42">
        <f t="shared" si="33"/>
        <v>-0.30113143865137432</v>
      </c>
      <c r="E20" s="42">
        <f t="shared" ref="E20:F20" si="34">IFERROR(E19/E21,0)</f>
        <v>-0.21272975944757516</v>
      </c>
      <c r="F20" s="42">
        <f t="shared" si="34"/>
        <v>-0.16126324093495054</v>
      </c>
      <c r="G20" s="43">
        <f t="shared" ref="G20" si="35">IFERROR(G19/G21,0)</f>
        <v>-0.12630497310912417</v>
      </c>
      <c r="H20" s="42">
        <f t="shared" ref="H20:I20" si="36">IFERROR(H19/H21,0)</f>
        <v>-0.32197098490431347</v>
      </c>
      <c r="I20" s="42">
        <f t="shared" si="36"/>
        <v>-0.12283923750775182</v>
      </c>
      <c r="J20" s="42">
        <f t="shared" ref="J20:K20" si="37">IFERROR(J19/J21,0)</f>
        <v>-9.5813065264316738E-2</v>
      </c>
      <c r="K20" s="43">
        <f t="shared" si="37"/>
        <v>5.6499406522328918E-2</v>
      </c>
      <c r="L20" s="42">
        <f t="shared" ref="L20:M20" si="38">IFERROR(L19/L21,0)</f>
        <v>-0.29290103612444585</v>
      </c>
      <c r="M20" s="42">
        <f t="shared" si="38"/>
        <v>4.2868835323987074E-2</v>
      </c>
      <c r="N20" s="42">
        <f t="shared" ref="N20:O20" si="39">IFERROR(N19/N21,0)</f>
        <v>3.8177491421708051E-2</v>
      </c>
      <c r="O20" s="43">
        <f t="shared" si="39"/>
        <v>-7.2832331842999729E-3</v>
      </c>
      <c r="P20" s="42">
        <f t="shared" ref="P20:R20" si="40">IFERROR(P19/P21,0)</f>
        <v>-5.4869882899966457E-2</v>
      </c>
      <c r="Q20" s="42">
        <f t="shared" si="40"/>
        <v>0.2074005195120224</v>
      </c>
      <c r="R20" s="42">
        <f t="shared" si="40"/>
        <v>0.17853045091309791</v>
      </c>
      <c r="S20" s="43">
        <f t="shared" ref="S20:T20" si="41">IFERROR(S19/S21,0)</f>
        <v>0.23994438275865487</v>
      </c>
      <c r="T20" s="42">
        <f t="shared" si="41"/>
        <v>0.20303991501739926</v>
      </c>
      <c r="U20" s="42">
        <f t="shared" ref="U20:V20" si="42">IFERROR(U19/U21,0)</f>
        <v>6.572839726346362E-2</v>
      </c>
      <c r="V20" s="42">
        <f t="shared" si="42"/>
        <v>8.0146205329578848E-2</v>
      </c>
    </row>
    <row r="21" spans="2:22" s="34" customFormat="1" x14ac:dyDescent="0.15">
      <c r="B21" s="34" t="s">
        <v>17</v>
      </c>
      <c r="C21" s="27">
        <v>162.06710799999999</v>
      </c>
      <c r="D21" s="35">
        <v>163.83875499999999</v>
      </c>
      <c r="E21" s="35">
        <v>165.37883600000001</v>
      </c>
      <c r="F21" s="35">
        <v>173.56714299999999</v>
      </c>
      <c r="G21" s="27">
        <v>168.742366</v>
      </c>
      <c r="H21" s="35">
        <v>170.419083</v>
      </c>
      <c r="I21" s="35">
        <v>171.88319000000001</v>
      </c>
      <c r="J21" s="36">
        <v>173.56714299999999</v>
      </c>
      <c r="K21" s="27">
        <v>190.249786</v>
      </c>
      <c r="L21" s="35">
        <v>177.343176</v>
      </c>
      <c r="M21" s="35">
        <v>192.190899</v>
      </c>
      <c r="N21" s="35">
        <v>190.662082</v>
      </c>
      <c r="O21" s="66">
        <v>182.06200000000001</v>
      </c>
      <c r="P21" s="72">
        <v>186.678</v>
      </c>
      <c r="Q21" s="35">
        <v>197.87799999999999</v>
      </c>
      <c r="R21" s="73">
        <v>197.84299999999999</v>
      </c>
      <c r="S21" s="68">
        <v>199.93799999999999</v>
      </c>
      <c r="T21" s="72">
        <v>201.453</v>
      </c>
      <c r="U21" s="73">
        <v>201.86099999999999</v>
      </c>
      <c r="V21" s="73">
        <v>202.45500000000001</v>
      </c>
    </row>
    <row r="22" spans="2:22" x14ac:dyDescent="0.15">
      <c r="C22" s="27"/>
      <c r="D22" s="35"/>
      <c r="E22" s="35"/>
      <c r="F22" s="35"/>
      <c r="G22" s="27"/>
      <c r="H22" s="35"/>
      <c r="I22" s="35"/>
      <c r="J22" s="36"/>
      <c r="K22" s="27"/>
      <c r="L22" s="35"/>
      <c r="M22" s="35"/>
      <c r="N22" s="35"/>
      <c r="R22" s="73"/>
      <c r="U22" s="73"/>
      <c r="V22" s="73"/>
    </row>
    <row r="23" spans="2:22" x14ac:dyDescent="0.15">
      <c r="B23" s="31" t="s">
        <v>19</v>
      </c>
      <c r="C23" s="45">
        <f t="shared" ref="C23:V23" si="43">IFERROR(C9/C7,0)</f>
        <v>0.69183892977288408</v>
      </c>
      <c r="D23" s="44">
        <f t="shared" si="43"/>
        <v>0.71683093474592163</v>
      </c>
      <c r="E23" s="44">
        <f t="shared" si="43"/>
        <v>0.71246952378822115</v>
      </c>
      <c r="F23" s="44">
        <f t="shared" si="43"/>
        <v>0.75408605889781644</v>
      </c>
      <c r="G23" s="45">
        <f t="shared" si="43"/>
        <v>0.72926340634044751</v>
      </c>
      <c r="H23" s="44">
        <f t="shared" si="43"/>
        <v>0.72754975929040866</v>
      </c>
      <c r="I23" s="44">
        <f t="shared" si="43"/>
        <v>0.74107788420137621</v>
      </c>
      <c r="J23" s="46">
        <f t="shared" si="43"/>
        <v>0.75566251982815302</v>
      </c>
      <c r="K23" s="45">
        <f t="shared" si="43"/>
        <v>0.75650433962072017</v>
      </c>
      <c r="L23" s="44">
        <f t="shared" si="43"/>
        <v>0.75754925077964552</v>
      </c>
      <c r="M23" s="44">
        <f t="shared" si="43"/>
        <v>0.76547510982815259</v>
      </c>
      <c r="N23" s="44">
        <f t="shared" si="43"/>
        <v>0.76495336442837347</v>
      </c>
      <c r="O23" s="45">
        <f t="shared" si="43"/>
        <v>0.76391702136829065</v>
      </c>
      <c r="P23" s="44">
        <f t="shared" si="43"/>
        <v>0.7623863178495367</v>
      </c>
      <c r="Q23" s="44">
        <f t="shared" si="43"/>
        <v>0.77332860708508266</v>
      </c>
      <c r="R23" s="44">
        <f t="shared" si="43"/>
        <v>0.777832762819745</v>
      </c>
      <c r="S23" s="45">
        <f t="shared" si="43"/>
        <v>0.78652636810214649</v>
      </c>
      <c r="T23" s="44">
        <f t="shared" si="43"/>
        <v>0.7824711768869731</v>
      </c>
      <c r="U23" s="44">
        <f t="shared" si="43"/>
        <v>0.78150163372026404</v>
      </c>
      <c r="V23" s="44">
        <f t="shared" si="43"/>
        <v>0.77677573120696131</v>
      </c>
    </row>
    <row r="24" spans="2:22" x14ac:dyDescent="0.15">
      <c r="B24" s="31" t="s">
        <v>20</v>
      </c>
      <c r="C24" s="48">
        <f t="shared" ref="C24:V24" si="44">IFERROR(C14/C7,0)</f>
        <v>-1.0604879707335253</v>
      </c>
      <c r="D24" s="47">
        <f t="shared" si="44"/>
        <v>-0.14162115600975075</v>
      </c>
      <c r="E24" s="47">
        <f t="shared" si="44"/>
        <v>-7.3201623906770708E-2</v>
      </c>
      <c r="F24" s="47">
        <f t="shared" si="44"/>
        <v>-2.3775097461427256E-2</v>
      </c>
      <c r="G24" s="48">
        <f t="shared" si="44"/>
        <v>-4.9707186353554665E-2</v>
      </c>
      <c r="H24" s="47">
        <f t="shared" si="44"/>
        <v>-8.4482597075791047E-2</v>
      </c>
      <c r="I24" s="47">
        <f t="shared" si="44"/>
        <v>-6.3244863639687733E-3</v>
      </c>
      <c r="J24" s="49">
        <f t="shared" si="44"/>
        <v>-1.1473466243423164E-3</v>
      </c>
      <c r="K24" s="48">
        <f t="shared" si="44"/>
        <v>-3.4369049356609081E-2</v>
      </c>
      <c r="L24" s="47">
        <f t="shared" si="44"/>
        <v>-5.0619913288202568E-2</v>
      </c>
      <c r="M24" s="47">
        <f t="shared" si="44"/>
        <v>1.3726104855615213E-2</v>
      </c>
      <c r="N24" s="47">
        <f t="shared" si="44"/>
        <v>3.8996926371286572E-4</v>
      </c>
      <c r="O24" s="48">
        <f t="shared" si="44"/>
        <v>-1.9426410081553939E-2</v>
      </c>
      <c r="P24" s="47">
        <f t="shared" si="44"/>
        <v>-3.1470049310232277E-2</v>
      </c>
      <c r="Q24" s="47">
        <f t="shared" si="44"/>
        <v>6.3262488527747296E-2</v>
      </c>
      <c r="R24" s="47">
        <f t="shared" si="44"/>
        <v>3.0806683099139108E-2</v>
      </c>
      <c r="S24" s="48">
        <f t="shared" si="44"/>
        <v>4.6805053806602E-2</v>
      </c>
      <c r="T24" s="47">
        <f t="shared" si="44"/>
        <v>5.7807781166596128E-2</v>
      </c>
      <c r="U24" s="47">
        <f t="shared" si="44"/>
        <v>6.0998010368307591E-2</v>
      </c>
      <c r="V24" s="47">
        <f t="shared" si="44"/>
        <v>1.4576951684755134E-2</v>
      </c>
    </row>
    <row r="25" spans="2:22" x14ac:dyDescent="0.15">
      <c r="B25" s="31" t="s">
        <v>21</v>
      </c>
      <c r="C25" s="48">
        <f t="shared" ref="C25:V25" si="45">IFERROR(C17/C16,0)</f>
        <v>-6.0353490393233169E-3</v>
      </c>
      <c r="D25" s="47">
        <f t="shared" si="45"/>
        <v>9.2018330051346145E-2</v>
      </c>
      <c r="E25" s="47">
        <f t="shared" si="45"/>
        <v>-9.3222709051925104E-2</v>
      </c>
      <c r="F25" s="47">
        <f t="shared" si="45"/>
        <v>-0.12004801920768303</v>
      </c>
      <c r="G25" s="48">
        <f t="shared" si="45"/>
        <v>4.4816922870075764E-2</v>
      </c>
      <c r="H25" s="47">
        <f t="shared" si="45"/>
        <v>3.5167926850712183E-2</v>
      </c>
      <c r="I25" s="47">
        <f t="shared" si="45"/>
        <v>-0.10463534581981776</v>
      </c>
      <c r="J25" s="49">
        <f t="shared" si="45"/>
        <v>-0.31670625494853533</v>
      </c>
      <c r="K25" s="48">
        <f t="shared" si="45"/>
        <v>2.4824162184526548</v>
      </c>
      <c r="L25" s="47">
        <f t="shared" si="45"/>
        <v>-0.30042058882435441</v>
      </c>
      <c r="M25" s="47">
        <f t="shared" si="45"/>
        <v>-0.13814062715844669</v>
      </c>
      <c r="N25" s="47">
        <f t="shared" si="45"/>
        <v>-2.1939447125932463</v>
      </c>
      <c r="O25" s="48">
        <f t="shared" si="45"/>
        <v>0.88292424509976875</v>
      </c>
      <c r="P25" s="47">
        <f t="shared" si="45"/>
        <v>0.32801941874959128</v>
      </c>
      <c r="Q25" s="47">
        <f t="shared" si="45"/>
        <v>0.32765399737876821</v>
      </c>
      <c r="R25" s="47">
        <f t="shared" si="45"/>
        <v>0</v>
      </c>
      <c r="S25" s="48">
        <f t="shared" si="45"/>
        <v>0</v>
      </c>
      <c r="T25" s="47">
        <f t="shared" si="45"/>
        <v>0.33924042453515912</v>
      </c>
      <c r="U25" s="47">
        <f t="shared" si="45"/>
        <v>0.4948987361047657</v>
      </c>
      <c r="V25" s="47">
        <f t="shared" si="45"/>
        <v>-0.22682594888855481</v>
      </c>
    </row>
    <row r="26" spans="2:22" x14ac:dyDescent="0.15">
      <c r="C26" s="27"/>
      <c r="D26" s="35"/>
      <c r="E26" s="35"/>
      <c r="F26" s="35"/>
      <c r="G26" s="27"/>
      <c r="H26" s="35"/>
      <c r="I26" s="35"/>
      <c r="J26" s="36"/>
      <c r="K26" s="27"/>
      <c r="L26" s="35"/>
      <c r="M26" s="35"/>
      <c r="N26" s="35"/>
      <c r="O26" s="27"/>
      <c r="P26" s="35"/>
      <c r="Q26" s="35"/>
      <c r="R26" s="35"/>
      <c r="S26" s="27"/>
      <c r="T26" s="35"/>
      <c r="U26" s="35"/>
      <c r="V26" s="35"/>
    </row>
    <row r="27" spans="2:22" s="50" customFormat="1" x14ac:dyDescent="0.15">
      <c r="B27" s="50" t="s">
        <v>18</v>
      </c>
      <c r="C27" s="52"/>
      <c r="D27" s="51"/>
      <c r="E27" s="51"/>
      <c r="F27" s="51"/>
      <c r="G27" s="52">
        <f t="shared" ref="G27:V27" si="46">IFERROR((G7/C7)-1,0)</f>
        <v>0.40176671167357014</v>
      </c>
      <c r="H27" s="51">
        <f t="shared" si="46"/>
        <v>0.31333794299643758</v>
      </c>
      <c r="I27" s="51">
        <f t="shared" si="46"/>
        <v>0.37666360972554624</v>
      </c>
      <c r="J27" s="53">
        <f t="shared" si="46"/>
        <v>4.9838021853321202E-3</v>
      </c>
      <c r="K27" s="52">
        <f t="shared" si="46"/>
        <v>0.37421140888726168</v>
      </c>
      <c r="L27" s="51">
        <f t="shared" si="46"/>
        <v>0.40779640296436415</v>
      </c>
      <c r="M27" s="51">
        <f t="shared" si="46"/>
        <v>0.36704971038158152</v>
      </c>
      <c r="N27" s="51">
        <f t="shared" si="46"/>
        <v>0.30295050200967788</v>
      </c>
      <c r="O27" s="52">
        <f t="shared" si="46"/>
        <v>0.33892828170027567</v>
      </c>
      <c r="P27" s="51">
        <f t="shared" si="46"/>
        <v>0.32144215410359767</v>
      </c>
      <c r="Q27" s="51">
        <f t="shared" si="46"/>
        <v>0.31605548680205087</v>
      </c>
      <c r="R27" s="51">
        <f t="shared" si="46"/>
        <v>0.33033192115073073</v>
      </c>
      <c r="S27" s="52">
        <f t="shared" si="46"/>
        <v>0.32628408748095517</v>
      </c>
      <c r="T27" s="51">
        <f t="shared" si="46"/>
        <v>0.28413102707266069</v>
      </c>
      <c r="U27" s="51">
        <f t="shared" si="46"/>
        <v>0.30043924757826823</v>
      </c>
      <c r="V27" s="51">
        <f t="shared" si="46"/>
        <v>0.31368371062878375</v>
      </c>
    </row>
    <row r="28" spans="2:22" x14ac:dyDescent="0.15">
      <c r="B28" s="31" t="s">
        <v>34</v>
      </c>
      <c r="C28" s="55"/>
      <c r="D28" s="54"/>
      <c r="E28" s="54"/>
      <c r="F28" s="54"/>
      <c r="G28" s="55">
        <f t="shared" ref="G28:V31" si="47">G10/C10-1</f>
        <v>0.27272727272727271</v>
      </c>
      <c r="H28" s="54">
        <f t="shared" si="47"/>
        <v>0.28571428571428581</v>
      </c>
      <c r="I28" s="54">
        <f t="shared" si="47"/>
        <v>0.30666666666666664</v>
      </c>
      <c r="J28" s="56">
        <f t="shared" si="47"/>
        <v>-4.1999999999999815E-3</v>
      </c>
      <c r="K28" s="55">
        <f t="shared" si="47"/>
        <v>0.39285714285714279</v>
      </c>
      <c r="L28" s="54">
        <f t="shared" si="47"/>
        <v>0.42222222222222228</v>
      </c>
      <c r="M28" s="54">
        <f t="shared" si="47"/>
        <v>0.38775510204081631</v>
      </c>
      <c r="N28" s="54">
        <f t="shared" si="47"/>
        <v>0.42503275662544593</v>
      </c>
      <c r="O28" s="55">
        <f t="shared" si="47"/>
        <v>0.47863247863247871</v>
      </c>
      <c r="P28" s="54">
        <f t="shared" si="47"/>
        <v>0.4296875</v>
      </c>
      <c r="Q28" s="54">
        <f t="shared" si="47"/>
        <v>0.39705882352941169</v>
      </c>
      <c r="R28" s="54">
        <f t="shared" si="47"/>
        <v>0.35570469798657722</v>
      </c>
      <c r="S28" s="55">
        <f t="shared" si="47"/>
        <v>0.31213872832369938</v>
      </c>
      <c r="T28" s="54">
        <f t="shared" si="47"/>
        <v>0.33879781420765021</v>
      </c>
      <c r="U28" s="54">
        <f t="shared" si="47"/>
        <v>0.41052631578947363</v>
      </c>
      <c r="V28" s="54">
        <f t="shared" si="47"/>
        <v>0.40594059405940586</v>
      </c>
    </row>
    <row r="29" spans="2:22" x14ac:dyDescent="0.15">
      <c r="B29" s="31" t="s">
        <v>35</v>
      </c>
      <c r="C29" s="55"/>
      <c r="D29" s="54"/>
      <c r="E29" s="54"/>
      <c r="F29" s="54"/>
      <c r="G29" s="55">
        <f t="shared" si="47"/>
        <v>0.28301886792452824</v>
      </c>
      <c r="H29" s="54">
        <f t="shared" si="47"/>
        <v>0.1871657754010696</v>
      </c>
      <c r="I29" s="54">
        <f t="shared" si="47"/>
        <v>0.31325301204819267</v>
      </c>
      <c r="J29" s="56">
        <f t="shared" si="47"/>
        <v>-3.4615384615384603E-2</v>
      </c>
      <c r="K29" s="55">
        <f t="shared" si="47"/>
        <v>0.39215686274509798</v>
      </c>
      <c r="L29" s="54">
        <f t="shared" si="47"/>
        <v>0.4009009009009008</v>
      </c>
      <c r="M29" s="54">
        <f t="shared" si="47"/>
        <v>0.32568807339449535</v>
      </c>
      <c r="N29" s="54">
        <f t="shared" si="47"/>
        <v>0.27091633466135456</v>
      </c>
      <c r="O29" s="55">
        <f t="shared" si="47"/>
        <v>0.27112676056338025</v>
      </c>
      <c r="P29" s="54">
        <f t="shared" si="47"/>
        <v>0.26688102893890675</v>
      </c>
      <c r="Q29" s="54">
        <f t="shared" si="47"/>
        <v>0.25605536332179923</v>
      </c>
      <c r="R29" s="54">
        <f t="shared" si="47"/>
        <v>0.30407523510971779</v>
      </c>
      <c r="S29" s="55">
        <f t="shared" si="47"/>
        <v>0.22160664819944609</v>
      </c>
      <c r="T29" s="54">
        <f t="shared" si="47"/>
        <v>8.3756345177665059E-2</v>
      </c>
      <c r="U29" s="54">
        <f t="shared" si="47"/>
        <v>0.24793388429752072</v>
      </c>
      <c r="V29" s="54">
        <f t="shared" si="47"/>
        <v>0.28365384615384626</v>
      </c>
    </row>
    <row r="30" spans="2:22" x14ac:dyDescent="0.15">
      <c r="B30" s="31" t="s">
        <v>36</v>
      </c>
      <c r="C30" s="55"/>
      <c r="D30" s="54"/>
      <c r="E30" s="54"/>
      <c r="F30" s="54"/>
      <c r="G30" s="55">
        <f t="shared" si="47"/>
        <v>-0.85209003215434087</v>
      </c>
      <c r="H30" s="54">
        <f t="shared" si="47"/>
        <v>0.44444444444444442</v>
      </c>
      <c r="I30" s="54">
        <f t="shared" si="47"/>
        <v>0.30000000000000004</v>
      </c>
      <c r="J30" s="56">
        <f t="shared" si="47"/>
        <v>0</v>
      </c>
      <c r="K30" s="55">
        <f t="shared" si="47"/>
        <v>0.41304347826086962</v>
      </c>
      <c r="L30" s="54">
        <f t="shared" si="47"/>
        <v>0.36538461538461542</v>
      </c>
      <c r="M30" s="54">
        <f t="shared" si="47"/>
        <v>0.55769230769230771</v>
      </c>
      <c r="N30" s="54">
        <f t="shared" si="47"/>
        <v>0.31666666666666665</v>
      </c>
      <c r="O30" s="55">
        <f t="shared" si="47"/>
        <v>0.29230769230769238</v>
      </c>
      <c r="P30" s="54">
        <f t="shared" si="47"/>
        <v>0.19718309859154926</v>
      </c>
      <c r="Q30" s="54">
        <f t="shared" si="47"/>
        <v>-6.1728395061728447E-2</v>
      </c>
      <c r="R30" s="54">
        <f t="shared" si="47"/>
        <v>0.17721518987341778</v>
      </c>
      <c r="S30" s="55">
        <f t="shared" si="47"/>
        <v>0.26190476190476186</v>
      </c>
      <c r="T30" s="54">
        <f t="shared" si="47"/>
        <v>0.22352941176470598</v>
      </c>
      <c r="U30" s="54">
        <f t="shared" si="47"/>
        <v>0.43421052631578938</v>
      </c>
      <c r="V30" s="54">
        <f t="shared" si="47"/>
        <v>0.45161290322580649</v>
      </c>
    </row>
    <row r="31" spans="2:22" x14ac:dyDescent="0.15">
      <c r="B31" s="65" t="s">
        <v>57</v>
      </c>
      <c r="C31" s="55"/>
      <c r="D31" s="54"/>
      <c r="E31" s="54"/>
      <c r="F31" s="54"/>
      <c r="G31" s="55">
        <f t="shared" si="47"/>
        <v>-0.37686567164179108</v>
      </c>
      <c r="H31" s="54">
        <f t="shared" si="47"/>
        <v>0.24232081911262804</v>
      </c>
      <c r="I31" s="54">
        <f t="shared" si="47"/>
        <v>0.30960854092526691</v>
      </c>
      <c r="J31" s="54">
        <f t="shared" si="47"/>
        <v>-2.221411764705894E-2</v>
      </c>
      <c r="K31" s="55">
        <f t="shared" si="47"/>
        <v>0.39520958083832336</v>
      </c>
      <c r="L31" s="54">
        <f t="shared" si="47"/>
        <v>0.40109890109890101</v>
      </c>
      <c r="M31" s="54">
        <f t="shared" si="47"/>
        <v>0.375</v>
      </c>
      <c r="N31" s="54">
        <f t="shared" si="47"/>
        <v>0.31629924992600333</v>
      </c>
      <c r="O31" s="55">
        <f t="shared" si="47"/>
        <v>0.32618025751072954</v>
      </c>
      <c r="P31" s="54">
        <f t="shared" si="47"/>
        <v>0.29803921568627456</v>
      </c>
      <c r="Q31" s="54">
        <f t="shared" si="47"/>
        <v>0.2430830039525691</v>
      </c>
      <c r="R31" s="54">
        <f t="shared" si="47"/>
        <v>0.29981718464351004</v>
      </c>
      <c r="S31" s="55">
        <f t="shared" si="47"/>
        <v>0.25242718446601953</v>
      </c>
      <c r="T31" s="54">
        <f t="shared" si="47"/>
        <v>0.17220543806646527</v>
      </c>
      <c r="U31" s="54">
        <f t="shared" si="47"/>
        <v>0.31955484896661357</v>
      </c>
      <c r="V31" s="54">
        <f t="shared" si="47"/>
        <v>0.34036568213783402</v>
      </c>
    </row>
    <row r="32" spans="2:22" x14ac:dyDescent="0.15">
      <c r="D32" s="57"/>
      <c r="E32" s="57"/>
      <c r="H32" s="57"/>
      <c r="I32" s="57"/>
      <c r="J32" s="58"/>
      <c r="K32" s="26"/>
      <c r="L32" s="57"/>
      <c r="M32" s="57"/>
      <c r="N32" s="57"/>
      <c r="O32" s="26"/>
      <c r="Q32" s="57"/>
      <c r="R32" s="73"/>
      <c r="U32" s="73"/>
      <c r="V32" s="73"/>
    </row>
    <row r="33" spans="2:22" s="37" customFormat="1" x14ac:dyDescent="0.15">
      <c r="B33" s="37" t="s">
        <v>22</v>
      </c>
      <c r="C33" s="27"/>
      <c r="D33" s="35"/>
      <c r="E33" s="35"/>
      <c r="F33" s="38">
        <f t="shared" ref="F33" si="48">F34-F35</f>
        <v>654</v>
      </c>
      <c r="G33" s="27"/>
      <c r="H33" s="35"/>
      <c r="I33" s="35"/>
      <c r="J33" s="38">
        <f t="shared" ref="J33:N33" si="49">J34-J35</f>
        <v>1540</v>
      </c>
      <c r="K33" s="27"/>
      <c r="L33" s="35"/>
      <c r="M33" s="35"/>
      <c r="N33" s="38">
        <f t="shared" si="49"/>
        <v>1418</v>
      </c>
      <c r="O33" s="27"/>
      <c r="P33" s="35"/>
      <c r="Q33" s="35"/>
      <c r="R33" s="38">
        <f t="shared" ref="R33" si="50">R34-R35</f>
        <v>2009</v>
      </c>
      <c r="S33" s="30"/>
      <c r="T33" s="31"/>
      <c r="U33" s="73"/>
      <c r="V33" s="38">
        <f t="shared" ref="V33" si="51">V34-V35</f>
        <v>2920</v>
      </c>
    </row>
    <row r="34" spans="2:22" s="34" customFormat="1" x14ac:dyDescent="0.15">
      <c r="B34" s="34" t="s">
        <v>23</v>
      </c>
      <c r="C34" s="27"/>
      <c r="D34" s="35"/>
      <c r="E34" s="35"/>
      <c r="F34" s="35">
        <f>401+498+263</f>
        <v>1162</v>
      </c>
      <c r="G34" s="27"/>
      <c r="H34" s="35"/>
      <c r="I34" s="35"/>
      <c r="J34" s="35">
        <f>726+1053+391</f>
        <v>2170</v>
      </c>
      <c r="K34" s="27"/>
      <c r="L34" s="35"/>
      <c r="M34" s="35"/>
      <c r="N34" s="35">
        <f>566+932+582</f>
        <v>2080</v>
      </c>
      <c r="O34" s="27"/>
      <c r="P34" s="35"/>
      <c r="Q34" s="35"/>
      <c r="R34" s="34">
        <f>776+915+1013</f>
        <v>2704</v>
      </c>
      <c r="S34" s="30"/>
      <c r="T34" s="31"/>
      <c r="U34" s="73"/>
      <c r="V34" s="34">
        <f>1677+1415+1468</f>
        <v>4560</v>
      </c>
    </row>
    <row r="35" spans="2:22" s="34" customFormat="1" x14ac:dyDescent="0.15">
      <c r="B35" s="34" t="s">
        <v>24</v>
      </c>
      <c r="C35" s="27"/>
      <c r="D35" s="35"/>
      <c r="E35" s="35"/>
      <c r="F35" s="35">
        <v>508</v>
      </c>
      <c r="G35" s="27"/>
      <c r="H35" s="35"/>
      <c r="I35" s="35"/>
      <c r="J35" s="35">
        <v>630</v>
      </c>
      <c r="K35" s="27"/>
      <c r="L35" s="35"/>
      <c r="M35" s="35"/>
      <c r="N35" s="35">
        <v>662</v>
      </c>
      <c r="O35" s="27"/>
      <c r="P35" s="35"/>
      <c r="Q35" s="35"/>
      <c r="R35" s="34">
        <v>695</v>
      </c>
      <c r="S35" s="30"/>
      <c r="T35" s="31"/>
      <c r="U35" s="73"/>
      <c r="V35" s="34">
        <v>1640</v>
      </c>
    </row>
    <row r="36" spans="2:22" s="34" customFormat="1" x14ac:dyDescent="0.15">
      <c r="C36" s="27"/>
      <c r="D36" s="35"/>
      <c r="E36" s="35"/>
      <c r="F36" s="35"/>
      <c r="G36" s="27"/>
      <c r="H36" s="35"/>
      <c r="I36" s="35"/>
      <c r="J36" s="35"/>
      <c r="K36" s="27"/>
      <c r="L36" s="35"/>
      <c r="M36" s="35"/>
      <c r="N36" s="35"/>
      <c r="O36" s="27"/>
      <c r="Q36" s="35"/>
      <c r="S36" s="30"/>
      <c r="T36" s="31"/>
      <c r="U36" s="73"/>
    </row>
    <row r="37" spans="2:22" s="34" customFormat="1" x14ac:dyDescent="0.15">
      <c r="B37" s="34" t="s">
        <v>44</v>
      </c>
      <c r="C37" s="27"/>
      <c r="D37" s="35"/>
      <c r="E37" s="35"/>
      <c r="F37" s="35">
        <f>66+83</f>
        <v>149</v>
      </c>
      <c r="G37" s="27"/>
      <c r="H37" s="35"/>
      <c r="I37" s="35"/>
      <c r="J37" s="35">
        <f>87+129</f>
        <v>216</v>
      </c>
      <c r="K37" s="27"/>
      <c r="L37" s="35"/>
      <c r="M37" s="35"/>
      <c r="N37" s="35">
        <f>101+149</f>
        <v>250</v>
      </c>
      <c r="O37" s="27"/>
      <c r="Q37" s="35"/>
      <c r="R37" s="34">
        <f>144+157</f>
        <v>301</v>
      </c>
      <c r="S37" s="30"/>
      <c r="T37" s="31"/>
      <c r="U37" s="73"/>
      <c r="V37" s="34">
        <f>153+241</f>
        <v>394</v>
      </c>
    </row>
    <row r="38" spans="2:22" s="34" customFormat="1" x14ac:dyDescent="0.15">
      <c r="B38" s="34" t="s">
        <v>45</v>
      </c>
      <c r="C38" s="27"/>
      <c r="D38" s="35"/>
      <c r="E38" s="35"/>
      <c r="F38" s="35">
        <v>2034</v>
      </c>
      <c r="G38" s="27"/>
      <c r="H38" s="35"/>
      <c r="I38" s="35"/>
      <c r="J38" s="35">
        <v>3550</v>
      </c>
      <c r="K38" s="27"/>
      <c r="L38" s="35"/>
      <c r="M38" s="35"/>
      <c r="N38" s="35">
        <v>3879</v>
      </c>
      <c r="O38" s="27"/>
      <c r="P38" s="72"/>
      <c r="Q38" s="35"/>
      <c r="R38" s="34">
        <v>6022</v>
      </c>
      <c r="S38" s="30"/>
      <c r="T38" s="31"/>
      <c r="U38" s="73"/>
      <c r="V38" s="34">
        <v>8715</v>
      </c>
    </row>
    <row r="39" spans="2:22" s="34" customFormat="1" x14ac:dyDescent="0.15">
      <c r="B39" s="34" t="s">
        <v>46</v>
      </c>
      <c r="C39" s="27"/>
      <c r="D39" s="35"/>
      <c r="E39" s="35"/>
      <c r="F39" s="35">
        <f>1071+33+508+34</f>
        <v>1646</v>
      </c>
      <c r="G39" s="27"/>
      <c r="H39" s="35"/>
      <c r="I39" s="35"/>
      <c r="J39" s="35">
        <f>2039+36+630+66</f>
        <v>2771</v>
      </c>
      <c r="K39" s="27"/>
      <c r="L39" s="35"/>
      <c r="M39" s="35"/>
      <c r="N39" s="35">
        <f>2013+39+662+55</f>
        <v>2769</v>
      </c>
      <c r="O39" s="27"/>
      <c r="P39" s="72"/>
      <c r="Q39" s="35"/>
      <c r="R39" s="34">
        <f>2753+40+383+695+23</f>
        <v>3894</v>
      </c>
      <c r="S39" s="30"/>
      <c r="T39" s="31"/>
      <c r="U39" s="73"/>
      <c r="V39" s="34">
        <f>3737+45+423+1640+35</f>
        <v>5880</v>
      </c>
    </row>
    <row r="40" spans="2:22" s="34" customFormat="1" x14ac:dyDescent="0.15">
      <c r="C40" s="27"/>
      <c r="D40" s="35"/>
      <c r="E40" s="35"/>
      <c r="F40" s="35"/>
      <c r="G40" s="27"/>
      <c r="H40" s="35"/>
      <c r="I40" s="35"/>
      <c r="J40" s="35"/>
      <c r="K40" s="27"/>
      <c r="L40" s="35"/>
      <c r="M40" s="35"/>
      <c r="N40" s="35"/>
      <c r="O40" s="27"/>
      <c r="Q40" s="35"/>
      <c r="S40" s="30"/>
      <c r="T40" s="31"/>
      <c r="U40" s="73"/>
    </row>
    <row r="41" spans="2:22" s="34" customFormat="1" x14ac:dyDescent="0.15">
      <c r="B41" s="34" t="s">
        <v>47</v>
      </c>
      <c r="C41" s="27"/>
      <c r="D41" s="35"/>
      <c r="E41" s="35"/>
      <c r="F41" s="40">
        <f t="shared" ref="F41" si="52">F38-F37-F34</f>
        <v>723</v>
      </c>
      <c r="G41" s="27"/>
      <c r="H41" s="35"/>
      <c r="I41" s="35"/>
      <c r="J41" s="40">
        <f t="shared" ref="J41:N41" si="53">J38-J37-J34</f>
        <v>1164</v>
      </c>
      <c r="K41" s="27"/>
      <c r="L41" s="35"/>
      <c r="M41" s="35"/>
      <c r="N41" s="40">
        <f t="shared" si="53"/>
        <v>1549</v>
      </c>
      <c r="O41" s="27"/>
      <c r="P41" s="35"/>
      <c r="Q41" s="35"/>
      <c r="R41" s="40">
        <f t="shared" ref="R41" si="54">R38-R37-R34</f>
        <v>3017</v>
      </c>
      <c r="S41" s="30"/>
      <c r="T41" s="31"/>
      <c r="U41" s="73"/>
      <c r="V41" s="40">
        <f t="shared" ref="V41" si="55">V38-V37-V34</f>
        <v>3761</v>
      </c>
    </row>
    <row r="42" spans="2:22" s="34" customFormat="1" x14ac:dyDescent="0.15">
      <c r="B42" s="34" t="s">
        <v>48</v>
      </c>
      <c r="C42" s="27"/>
      <c r="D42" s="35"/>
      <c r="E42" s="35"/>
      <c r="F42" s="40">
        <f t="shared" ref="F42" si="56">F38-F39</f>
        <v>388</v>
      </c>
      <c r="G42" s="27"/>
      <c r="H42" s="35"/>
      <c r="I42" s="35"/>
      <c r="J42" s="40">
        <f t="shared" ref="J42:N42" si="57">J38-J39</f>
        <v>779</v>
      </c>
      <c r="K42" s="27"/>
      <c r="L42" s="35"/>
      <c r="M42" s="35"/>
      <c r="N42" s="40">
        <f t="shared" si="57"/>
        <v>1110</v>
      </c>
      <c r="O42" s="27"/>
      <c r="P42" s="35"/>
      <c r="Q42" s="35"/>
      <c r="R42" s="40">
        <f t="shared" ref="R42" si="58">R38-R39</f>
        <v>2128</v>
      </c>
      <c r="S42" s="30"/>
      <c r="T42" s="31"/>
      <c r="U42" s="73"/>
      <c r="V42" s="40">
        <f t="shared" ref="V42" si="59">V38-V39</f>
        <v>2835</v>
      </c>
    </row>
    <row r="43" spans="2:22" s="34" customFormat="1" x14ac:dyDescent="0.15">
      <c r="C43" s="27"/>
      <c r="D43" s="35"/>
      <c r="E43" s="35"/>
      <c r="F43" s="35"/>
      <c r="G43" s="27"/>
      <c r="H43" s="35"/>
      <c r="I43" s="35"/>
      <c r="J43" s="35"/>
      <c r="K43" s="27"/>
      <c r="L43" s="35"/>
      <c r="M43" s="35"/>
      <c r="N43" s="35"/>
      <c r="O43" s="27"/>
      <c r="Q43" s="35"/>
      <c r="R43" s="73"/>
      <c r="S43" s="30"/>
      <c r="T43" s="31"/>
      <c r="U43" s="73"/>
      <c r="V43" s="35"/>
    </row>
    <row r="44" spans="2:22" s="37" customFormat="1" x14ac:dyDescent="0.15">
      <c r="B44" s="77" t="s">
        <v>79</v>
      </c>
      <c r="C44" s="60"/>
      <c r="D44" s="59"/>
      <c r="E44" s="59"/>
      <c r="F44" s="38">
        <f t="shared" ref="F44" si="60">SUM(C19:F19)</f>
        <v>-445.88900000000001</v>
      </c>
      <c r="G44" s="39">
        <f>SUM(D19:G19)</f>
        <v>-133.82100000000003</v>
      </c>
      <c r="H44" s="38">
        <f>SUM(E19:H19)</f>
        <v>-139.35399999999993</v>
      </c>
      <c r="I44" s="38">
        <f>SUM(F19:I19)</f>
        <v>-125.28699999999998</v>
      </c>
      <c r="J44" s="38">
        <f>SUM(G19:J19)</f>
        <v>-113.92699999999996</v>
      </c>
      <c r="K44" s="39">
        <f>SUM(H19:K19)</f>
        <v>-81.864999999999895</v>
      </c>
      <c r="L44" s="38">
        <f>SUM(I19:L19)</f>
        <v>-78.938999999999908</v>
      </c>
      <c r="M44" s="38">
        <f>SUM(J19:M19)</f>
        <v>-49.585999999999842</v>
      </c>
      <c r="N44" s="38">
        <f>SUM(K19:N19)</f>
        <v>-25.67699999999985</v>
      </c>
      <c r="O44" s="39">
        <f>SUM(L19:O19)</f>
        <v>-37.751999999999953</v>
      </c>
      <c r="P44" s="38">
        <f>SUM(M19:P19)</f>
        <v>3.9490000000000691</v>
      </c>
      <c r="Q44" s="38">
        <f>SUM(N19:Q19)</f>
        <v>36.75</v>
      </c>
      <c r="R44" s="38">
        <f>SUM(O19:R19)</f>
        <v>64.79200000000003</v>
      </c>
      <c r="S44" s="39">
        <f>SUM(P19:S19)</f>
        <v>114.09199999999998</v>
      </c>
      <c r="T44" s="38">
        <f>SUM(Q19:T19)</f>
        <v>165.23800000000006</v>
      </c>
      <c r="U44" s="38">
        <f>SUM(R19:U19)</f>
        <v>137.46600000000012</v>
      </c>
      <c r="V44" s="38">
        <f>SUM(S19:V19)</f>
        <v>118.37099999999998</v>
      </c>
    </row>
    <row r="45" spans="2:22" s="63" customFormat="1" x14ac:dyDescent="0.15">
      <c r="B45" s="61" t="s">
        <v>49</v>
      </c>
      <c r="C45" s="45"/>
      <c r="D45" s="44"/>
      <c r="E45" s="44"/>
      <c r="F45" s="44">
        <f t="shared" ref="F45" si="61">F44/F42</f>
        <v>-1.1491984536082474</v>
      </c>
      <c r="G45" s="26"/>
      <c r="H45" s="57"/>
      <c r="I45" s="57"/>
      <c r="J45" s="44">
        <f t="shared" ref="J45:N45" si="62">J44/J42</f>
        <v>-0.14624775353016684</v>
      </c>
      <c r="K45" s="27"/>
      <c r="L45" s="35"/>
      <c r="M45" s="35"/>
      <c r="N45" s="44">
        <f t="shared" si="62"/>
        <v>-2.3132432432432296E-2</v>
      </c>
      <c r="O45" s="27"/>
      <c r="P45" s="35"/>
      <c r="Q45" s="35"/>
      <c r="R45" s="44">
        <f t="shared" ref="R45" si="63">R44/R42</f>
        <v>3.0447368421052647E-2</v>
      </c>
      <c r="S45" s="30"/>
      <c r="T45" s="31"/>
      <c r="U45" s="73"/>
      <c r="V45" s="44">
        <f t="shared" ref="V45" si="64">V44/V42</f>
        <v>4.1753439153439147E-2</v>
      </c>
    </row>
    <row r="46" spans="2:22" s="63" customFormat="1" x14ac:dyDescent="0.15">
      <c r="B46" s="61" t="s">
        <v>50</v>
      </c>
      <c r="C46" s="45"/>
      <c r="D46" s="44"/>
      <c r="E46" s="44"/>
      <c r="F46" s="44">
        <f t="shared" ref="F46" si="65">F44/F38</f>
        <v>-0.21921779744346118</v>
      </c>
      <c r="G46" s="26"/>
      <c r="H46" s="57"/>
      <c r="I46" s="57"/>
      <c r="J46" s="44">
        <f t="shared" ref="J46:N46" si="66">J44/J38</f>
        <v>-3.2092112676056328E-2</v>
      </c>
      <c r="K46" s="27"/>
      <c r="L46" s="35"/>
      <c r="M46" s="35"/>
      <c r="N46" s="44">
        <f t="shared" si="66"/>
        <v>-6.6194895591646947E-3</v>
      </c>
      <c r="O46" s="27"/>
      <c r="P46" s="35"/>
      <c r="Q46" s="35"/>
      <c r="R46" s="44">
        <f t="shared" ref="R46" si="67">R44/R38</f>
        <v>1.0759216207240125E-2</v>
      </c>
      <c r="S46" s="30"/>
      <c r="T46" s="31"/>
      <c r="U46" s="73"/>
      <c r="V46" s="44">
        <f t="shared" ref="V46" si="68">V44/V38</f>
        <v>1.3582444061962132E-2</v>
      </c>
    </row>
    <row r="47" spans="2:22" s="63" customFormat="1" x14ac:dyDescent="0.15">
      <c r="B47" s="61" t="s">
        <v>51</v>
      </c>
      <c r="C47" s="45"/>
      <c r="D47" s="44"/>
      <c r="E47" s="44"/>
      <c r="F47" s="44">
        <f t="shared" ref="F47" si="69">F44/(F42-F37)</f>
        <v>-1.8656443514644352</v>
      </c>
      <c r="G47" s="26"/>
      <c r="H47" s="57"/>
      <c r="I47" s="57"/>
      <c r="J47" s="44">
        <f t="shared" ref="J47:N47" si="70">J44/(J42-J37)</f>
        <v>-0.20235701598579034</v>
      </c>
      <c r="K47" s="27"/>
      <c r="L47" s="35"/>
      <c r="M47" s="35"/>
      <c r="N47" s="44">
        <f t="shared" si="70"/>
        <v>-2.9856976744185873E-2</v>
      </c>
      <c r="O47" s="27"/>
      <c r="P47" s="35"/>
      <c r="Q47" s="35"/>
      <c r="R47" s="44">
        <f t="shared" ref="R47" si="71">R44/(R42-R37)</f>
        <v>3.5463601532567064E-2</v>
      </c>
      <c r="S47" s="30"/>
      <c r="T47" s="31"/>
      <c r="U47" s="73"/>
      <c r="V47" s="44">
        <f t="shared" ref="V47" si="72">V44/(V42-V37)</f>
        <v>4.8492830807046285E-2</v>
      </c>
    </row>
    <row r="48" spans="2:22" s="63" customFormat="1" x14ac:dyDescent="0.15">
      <c r="B48" s="61" t="s">
        <v>52</v>
      </c>
      <c r="C48" s="45"/>
      <c r="D48" s="44"/>
      <c r="E48" s="44"/>
      <c r="F48" s="44">
        <f t="shared" ref="F48" si="73">F44/F41</f>
        <v>-0.61672060857538036</v>
      </c>
      <c r="G48" s="26"/>
      <c r="H48" s="57"/>
      <c r="I48" s="57"/>
      <c r="J48" s="44">
        <f t="shared" ref="J48:N48" si="74">J44/J41</f>
        <v>-9.7875429553264573E-2</v>
      </c>
      <c r="K48" s="27"/>
      <c r="L48" s="35"/>
      <c r="M48" s="35"/>
      <c r="N48" s="44">
        <f t="shared" si="74"/>
        <v>-1.6576500968366593E-2</v>
      </c>
      <c r="O48" s="27"/>
      <c r="P48" s="35"/>
      <c r="Q48" s="35"/>
      <c r="R48" s="44">
        <f t="shared" ref="R48" si="75">R44/R41</f>
        <v>2.1475638051044094E-2</v>
      </c>
      <c r="S48" s="30"/>
      <c r="T48" s="31"/>
      <c r="U48" s="73"/>
      <c r="V48" s="44">
        <f t="shared" ref="V48" si="76">V44/V41</f>
        <v>3.1473278383408666E-2</v>
      </c>
    </row>
    <row r="49" spans="2:22" x14ac:dyDescent="0.15">
      <c r="C49" s="27"/>
      <c r="D49" s="35"/>
      <c r="E49" s="35"/>
      <c r="G49" s="27"/>
      <c r="H49" s="35"/>
      <c r="I49" s="35"/>
      <c r="J49" s="35"/>
      <c r="K49" s="27"/>
      <c r="L49" s="35"/>
      <c r="M49" s="35"/>
      <c r="N49" s="35"/>
      <c r="O49" s="27"/>
      <c r="P49" s="35"/>
      <c r="Q49" s="35"/>
      <c r="R49" s="73"/>
      <c r="U49" s="73"/>
      <c r="V49" s="35"/>
    </row>
    <row r="50" spans="2:22" s="15" customFormat="1" x14ac:dyDescent="0.15">
      <c r="B50" s="91" t="s">
        <v>80</v>
      </c>
      <c r="C50" s="92"/>
      <c r="D50" s="93"/>
      <c r="E50" s="93"/>
      <c r="F50" s="79">
        <f>SUM(C7:F7)</f>
        <v>1551.2170000000001</v>
      </c>
      <c r="G50" s="78">
        <f>SUM(D7:G7)</f>
        <v>1674.1089999999999</v>
      </c>
      <c r="H50" s="79">
        <f>SUM(E7:H7)</f>
        <v>1781.0550000000001</v>
      </c>
      <c r="I50" s="79">
        <f>SUM(F7:I7)</f>
        <v>1915.7710000000002</v>
      </c>
      <c r="J50" s="79">
        <f>SUM(G7:J7)</f>
        <v>1918.4939999999997</v>
      </c>
      <c r="K50" s="78">
        <f>SUM(H7:K7)</f>
        <v>2078.9450000000002</v>
      </c>
      <c r="L50" s="79">
        <f>SUM(I7:L7)</f>
        <v>2261.7429999999999</v>
      </c>
      <c r="M50" s="79">
        <f>SUM(J7:M7)</f>
        <v>2442.4679999999998</v>
      </c>
      <c r="N50" s="79">
        <f>SUM(K7:N7)</f>
        <v>2608.8160000000003</v>
      </c>
      <c r="O50" s="78">
        <f>SUM(L7:O7)</f>
        <v>2808.52</v>
      </c>
      <c r="P50" s="79">
        <f>SUM(M7:P7)</f>
        <v>3011.3679999999999</v>
      </c>
      <c r="Q50" s="79">
        <f>SUM(N7:Q7)</f>
        <v>3224.1039999999998</v>
      </c>
      <c r="R50" s="79">
        <f>SUM(O7:R7)</f>
        <v>3460.4369999999999</v>
      </c>
      <c r="S50" s="78">
        <f>SUM(P7:S7)</f>
        <v>3717.8509999999997</v>
      </c>
      <c r="T50" s="79">
        <f>SUM(Q7:T7)</f>
        <v>3954.7890000000002</v>
      </c>
      <c r="U50" s="79">
        <f>SUM(R7:U7)</f>
        <v>4220.9279999999999</v>
      </c>
      <c r="V50" s="79">
        <f>SUM(S7:V7)</f>
        <v>4519.4839999999995</v>
      </c>
    </row>
    <row r="51" spans="2:22" s="97" customFormat="1" x14ac:dyDescent="0.15">
      <c r="B51" s="91" t="s">
        <v>81</v>
      </c>
      <c r="C51" s="94"/>
      <c r="D51" s="95"/>
      <c r="E51" s="95"/>
      <c r="F51" s="96"/>
      <c r="G51" s="94"/>
      <c r="H51" s="95"/>
      <c r="I51" s="95"/>
      <c r="J51" s="95">
        <f>J50/F50-1</f>
        <v>0.23676700294027175</v>
      </c>
      <c r="K51" s="94">
        <f t="shared" ref="K51" si="77">K50/G50-1</f>
        <v>0.24182176907238428</v>
      </c>
      <c r="L51" s="95">
        <f t="shared" ref="L51" si="78">L50/H50-1</f>
        <v>0.26988947561978716</v>
      </c>
      <c r="M51" s="95">
        <f t="shared" ref="M51" si="79">M50/I50-1</f>
        <v>0.27492690932266939</v>
      </c>
      <c r="N51" s="95">
        <f>N50/J50-1</f>
        <v>0.35982494602537241</v>
      </c>
      <c r="O51" s="94">
        <f t="shared" ref="O51" si="80">O50/K50-1</f>
        <v>0.35093520992618843</v>
      </c>
      <c r="P51" s="95">
        <f t="shared" ref="P51" si="81">P50/L50-1</f>
        <v>0.3314368608635021</v>
      </c>
      <c r="Q51" s="95">
        <f t="shared" ref="Q51" si="82">Q50/M50-1</f>
        <v>0.32001893167075268</v>
      </c>
      <c r="R51" s="95">
        <f>R50/N50-1</f>
        <v>0.32643965691716081</v>
      </c>
      <c r="S51" s="94">
        <f t="shared" ref="S51:U51" si="83">S50/O50-1</f>
        <v>0.32377586771680456</v>
      </c>
      <c r="T51" s="95">
        <f t="shared" si="83"/>
        <v>0.31328651961500564</v>
      </c>
      <c r="U51" s="95">
        <f t="shared" si="83"/>
        <v>0.30917861210432429</v>
      </c>
      <c r="V51" s="95">
        <f>V50/R50-1</f>
        <v>0.30604429440559078</v>
      </c>
    </row>
    <row r="52" spans="2:22" x14ac:dyDescent="0.15">
      <c r="C52" s="27"/>
      <c r="D52" s="35"/>
      <c r="E52" s="35"/>
      <c r="G52" s="27"/>
      <c r="H52" s="35"/>
      <c r="I52" s="35"/>
      <c r="J52" s="35"/>
      <c r="K52" s="27"/>
      <c r="L52" s="35"/>
      <c r="M52" s="35"/>
      <c r="N52" s="35"/>
      <c r="O52" s="27"/>
      <c r="P52" s="35"/>
      <c r="Q52" s="35"/>
      <c r="R52" s="73"/>
      <c r="U52" s="73"/>
      <c r="V52" s="35"/>
    </row>
    <row r="53" spans="2:22" x14ac:dyDescent="0.15">
      <c r="B53" s="73" t="s">
        <v>71</v>
      </c>
      <c r="C53" s="27"/>
      <c r="D53" s="35"/>
      <c r="E53" s="35"/>
      <c r="G53" s="45">
        <f t="shared" ref="G53:V54" si="84">G4/C4-1</f>
        <v>0.44933475929429867</v>
      </c>
      <c r="H53" s="44">
        <f t="shared" si="84"/>
        <v>0.3852806704302687</v>
      </c>
      <c r="I53" s="44">
        <f t="shared" si="84"/>
        <v>0.40940131814105718</v>
      </c>
      <c r="J53" s="44">
        <f t="shared" si="84"/>
        <v>5.0399008913344367E-3</v>
      </c>
      <c r="K53" s="45">
        <f t="shared" si="84"/>
        <v>0.40182515274108344</v>
      </c>
      <c r="L53" s="44">
        <f t="shared" si="84"/>
        <v>0.45349564906425077</v>
      </c>
      <c r="M53" s="44">
        <f t="shared" si="84"/>
        <v>0.39390130498814258</v>
      </c>
      <c r="N53" s="44">
        <f t="shared" si="84"/>
        <v>0.33297647967534982</v>
      </c>
      <c r="O53" s="45">
        <f t="shared" si="84"/>
        <v>0.36195831224405262</v>
      </c>
      <c r="P53" s="44">
        <f t="shared" si="84"/>
        <v>0.3343806917007528</v>
      </c>
      <c r="Q53" s="44">
        <f t="shared" si="84"/>
        <v>0.33251511809590983</v>
      </c>
      <c r="R53" s="44">
        <f t="shared" si="84"/>
        <v>0.34985941372596407</v>
      </c>
      <c r="S53" s="45">
        <f t="shared" si="84"/>
        <v>0.34421732303043573</v>
      </c>
      <c r="T53" s="44">
        <f t="shared" si="84"/>
        <v>0.30031024764753411</v>
      </c>
      <c r="U53" s="44">
        <f t="shared" si="84"/>
        <v>0.30718999652657164</v>
      </c>
      <c r="V53" s="44">
        <f t="shared" si="84"/>
        <v>0.31693605606798991</v>
      </c>
    </row>
    <row r="54" spans="2:22" x14ac:dyDescent="0.15">
      <c r="B54" s="73" t="s">
        <v>72</v>
      </c>
      <c r="C54" s="27"/>
      <c r="D54" s="35"/>
      <c r="E54" s="35"/>
      <c r="G54" s="45">
        <f t="shared" si="84"/>
        <v>7.098837662844204E-2</v>
      </c>
      <c r="H54" s="44">
        <f t="shared" si="84"/>
        <v>-9.9678075563367829E-2</v>
      </c>
      <c r="I54" s="44">
        <f t="shared" si="84"/>
        <v>0.10701926553380492</v>
      </c>
      <c r="J54" s="44">
        <f t="shared" si="84"/>
        <v>4.4161341527941822E-3</v>
      </c>
      <c r="K54" s="45">
        <f t="shared" si="84"/>
        <v>0.11435647170223606</v>
      </c>
      <c r="L54" s="44">
        <f t="shared" si="84"/>
        <v>4.1240731803624531E-3</v>
      </c>
      <c r="M54" s="44">
        <f t="shared" si="84"/>
        <v>8.5475668361871815E-2</v>
      </c>
      <c r="N54" s="44">
        <f t="shared" si="84"/>
        <v>-1.0738526998277376E-3</v>
      </c>
      <c r="O54" s="45">
        <f t="shared" si="84"/>
        <v>6.630062967078465E-2</v>
      </c>
      <c r="P54" s="44">
        <f t="shared" si="84"/>
        <v>0.15600559269454273</v>
      </c>
      <c r="Q54" s="44">
        <f t="shared" si="84"/>
        <v>9.4412207178164564E-2</v>
      </c>
      <c r="R54" s="44">
        <f t="shared" si="84"/>
        <v>6.6488174921909726E-2</v>
      </c>
      <c r="S54" s="45">
        <f t="shared" si="84"/>
        <v>5.512872905598698E-2</v>
      </c>
      <c r="T54" s="44">
        <f t="shared" si="84"/>
        <v>4.5336861003496098E-2</v>
      </c>
      <c r="U54" s="44">
        <f t="shared" si="84"/>
        <v>0.18975708422520277</v>
      </c>
      <c r="V54" s="44">
        <f t="shared" si="84"/>
        <v>0.25806390262457213</v>
      </c>
    </row>
    <row r="55" spans="2:22" x14ac:dyDescent="0.15">
      <c r="C55" s="27"/>
      <c r="D55" s="35"/>
      <c r="E55" s="35"/>
      <c r="F55" s="28"/>
      <c r="G55" s="27"/>
      <c r="H55" s="35"/>
      <c r="I55" s="35"/>
      <c r="J55" s="36"/>
      <c r="K55" s="27"/>
      <c r="L55" s="35"/>
      <c r="M55" s="35"/>
      <c r="N55" s="35"/>
      <c r="Q55" s="35"/>
      <c r="R55" s="73"/>
      <c r="U55" s="73"/>
      <c r="V55" s="73"/>
    </row>
    <row r="56" spans="2:22" s="34" customFormat="1" x14ac:dyDescent="0.15">
      <c r="B56" s="73"/>
      <c r="C56" s="27"/>
      <c r="D56" s="28"/>
      <c r="E56" s="28"/>
      <c r="F56" s="28"/>
      <c r="G56" s="27"/>
      <c r="H56" s="28"/>
      <c r="I56" s="28"/>
      <c r="J56" s="29"/>
      <c r="K56" s="68"/>
      <c r="O56" s="68"/>
      <c r="R56" s="73"/>
      <c r="S56" s="68"/>
      <c r="U56" s="73"/>
      <c r="V56" s="73"/>
    </row>
    <row r="57" spans="2:22" x14ac:dyDescent="0.15">
      <c r="B57" s="65"/>
      <c r="C57" s="64"/>
      <c r="G57" s="62"/>
      <c r="H57" s="63"/>
      <c r="I57" s="63"/>
      <c r="J57" s="63"/>
      <c r="K57" s="62"/>
      <c r="L57" s="63"/>
      <c r="M57" s="63"/>
      <c r="N57" s="63"/>
      <c r="O57" s="62"/>
      <c r="P57" s="63"/>
      <c r="Q57" s="63"/>
      <c r="R57" s="73"/>
      <c r="U57" s="73"/>
      <c r="V57" s="73"/>
    </row>
    <row r="58" spans="2:22" x14ac:dyDescent="0.15">
      <c r="R58" s="73"/>
    </row>
    <row r="59" spans="2:22" x14ac:dyDescent="0.15">
      <c r="B59" s="65"/>
      <c r="C59" s="45"/>
      <c r="D59" s="44"/>
      <c r="E59" s="44"/>
      <c r="F59" s="44"/>
      <c r="G59" s="45"/>
      <c r="H59" s="44"/>
      <c r="I59" s="44"/>
      <c r="J59" s="44"/>
      <c r="K59" s="45"/>
      <c r="L59" s="44"/>
      <c r="M59" s="44"/>
      <c r="N59" s="44"/>
      <c r="O59" s="45"/>
      <c r="P59" s="44"/>
      <c r="Q59" s="44"/>
      <c r="R59" s="73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20" zoomScaleNormal="120" workbookViewId="0">
      <selection activeCell="C9" sqref="C9"/>
    </sheetView>
  </sheetViews>
  <sheetFormatPr baseColWidth="10" defaultRowHeight="13" x14ac:dyDescent="0.15"/>
  <cols>
    <col min="1" max="1" width="10.83203125" style="1"/>
    <col min="2" max="2" width="10.5" style="1" bestFit="1" customWidth="1"/>
    <col min="3" max="3" width="29.5" style="1" bestFit="1" customWidth="1"/>
    <col min="4" max="16384" width="10.83203125" style="1"/>
  </cols>
  <sheetData>
    <row r="4" spans="2:3" x14ac:dyDescent="0.15">
      <c r="B4" s="76" t="s">
        <v>62</v>
      </c>
    </row>
    <row r="6" spans="2:3" x14ac:dyDescent="0.15">
      <c r="B6" s="1" t="s">
        <v>73</v>
      </c>
      <c r="C6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2021-02-28T16:50:41Z</dcterms:modified>
</cp:coreProperties>
</file>