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76EEAB36-4B69-C048-BE1A-3690DD863FEF}" xr6:coauthVersionLast="46" xr6:coauthVersionMax="46" xr10:uidLastSave="{00000000-0000-0000-0000-000000000000}"/>
  <bookViews>
    <workbookView xWindow="-56520" yWindow="-5940" windowWidth="28240" windowHeight="267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8" i="2" l="1"/>
  <c r="H67" i="2"/>
  <c r="K62" i="1"/>
  <c r="O22" i="2"/>
  <c r="P22" i="2" s="1"/>
  <c r="Q22" i="2" s="1"/>
  <c r="R22" i="2" s="1"/>
  <c r="N22" i="2"/>
  <c r="N21" i="2"/>
  <c r="O21" i="2" s="1"/>
  <c r="P21" i="2" s="1"/>
  <c r="Q21" i="2" s="1"/>
  <c r="R21" i="2" s="1"/>
  <c r="J21" i="2"/>
  <c r="K21" i="2" s="1"/>
  <c r="L21" i="2" s="1"/>
  <c r="M21" i="2" s="1"/>
  <c r="J23" i="2"/>
  <c r="K23" i="2" s="1"/>
  <c r="L23" i="2" s="1"/>
  <c r="M23" i="2" s="1"/>
  <c r="I23" i="2"/>
  <c r="J22" i="2"/>
  <c r="K22" i="2" s="1"/>
  <c r="L22" i="2" s="1"/>
  <c r="M22" i="2" s="1"/>
  <c r="I22" i="2"/>
  <c r="J18" i="2"/>
  <c r="K18" i="2" s="1"/>
  <c r="L18" i="2" s="1"/>
  <c r="M18" i="2" s="1"/>
  <c r="I18" i="2"/>
  <c r="G23" i="2"/>
  <c r="H23" i="2" s="1"/>
  <c r="F23" i="2"/>
  <c r="E23" i="2"/>
  <c r="H22" i="2"/>
  <c r="G22" i="2"/>
  <c r="F22" i="2"/>
  <c r="E22" i="2"/>
  <c r="H21" i="2"/>
  <c r="G21" i="2"/>
  <c r="F21" i="2"/>
  <c r="E21" i="2"/>
  <c r="D23" i="2"/>
  <c r="D22" i="2"/>
  <c r="D21" i="2"/>
  <c r="M16" i="1"/>
  <c r="L16" i="1"/>
  <c r="L33" i="1" s="1"/>
  <c r="M15" i="1"/>
  <c r="M32" i="1" s="1"/>
  <c r="L15" i="1"/>
  <c r="L32" i="1" s="1"/>
  <c r="L14" i="1"/>
  <c r="M34" i="1"/>
  <c r="L34" i="1"/>
  <c r="M33" i="1"/>
  <c r="M31" i="1"/>
  <c r="L31" i="1"/>
  <c r="M14" i="1"/>
  <c r="E70" i="2"/>
  <c r="E67" i="2"/>
  <c r="E18" i="2"/>
  <c r="D18" i="2"/>
  <c r="E15" i="2"/>
  <c r="F15" i="2" s="1"/>
  <c r="G15" i="2" s="1"/>
  <c r="H15" i="2" s="1"/>
  <c r="D15" i="2"/>
  <c r="E16" i="2"/>
  <c r="F16" i="2" s="1"/>
  <c r="G16" i="2" s="1"/>
  <c r="H16" i="2" s="1"/>
  <c r="D16" i="2"/>
  <c r="M30" i="1"/>
  <c r="L64" i="1"/>
  <c r="K30" i="1"/>
  <c r="L30" i="1"/>
  <c r="M11" i="1"/>
  <c r="C5" i="2"/>
  <c r="D65" i="2"/>
  <c r="C65" i="2"/>
  <c r="C64" i="2"/>
  <c r="C62" i="2"/>
  <c r="C61" i="2"/>
  <c r="C60" i="2"/>
  <c r="C59" i="2"/>
  <c r="C70" i="2"/>
  <c r="B70" i="2"/>
  <c r="C16" i="2"/>
  <c r="B16" i="2"/>
  <c r="C15" i="2"/>
  <c r="B15" i="2"/>
  <c r="I11" i="1"/>
  <c r="I9" i="1"/>
  <c r="E11" i="1"/>
  <c r="E9" i="1"/>
  <c r="C68" i="2"/>
  <c r="C18" i="2"/>
  <c r="C13" i="2"/>
  <c r="C12" i="2"/>
  <c r="C11" i="2"/>
  <c r="C10" i="2"/>
  <c r="B18" i="2"/>
  <c r="B28" i="2"/>
  <c r="B26" i="2"/>
  <c r="B23" i="2"/>
  <c r="B22" i="2"/>
  <c r="B21" i="2"/>
  <c r="B19" i="2"/>
  <c r="B13" i="2"/>
  <c r="B12" i="2"/>
  <c r="B11" i="2"/>
  <c r="B10" i="2"/>
  <c r="M61" i="1"/>
  <c r="D67" i="2" s="1"/>
  <c r="K64" i="1"/>
  <c r="J64" i="1"/>
  <c r="G64" i="1"/>
  <c r="F64" i="1"/>
  <c r="F55" i="1"/>
  <c r="F54" i="1"/>
  <c r="F53" i="1"/>
  <c r="G55" i="1"/>
  <c r="G54" i="1"/>
  <c r="G53" i="1"/>
  <c r="I56" i="1"/>
  <c r="I55" i="1"/>
  <c r="I54" i="1"/>
  <c r="I53" i="1"/>
  <c r="H56" i="1"/>
  <c r="H55" i="1"/>
  <c r="H54" i="1"/>
  <c r="H53" i="1"/>
  <c r="K58" i="1"/>
  <c r="K55" i="1"/>
  <c r="K54" i="1"/>
  <c r="K53" i="1"/>
  <c r="K42" i="1"/>
  <c r="K45" i="1" s="1"/>
  <c r="K38" i="1"/>
  <c r="K36" i="1"/>
  <c r="K37" i="1"/>
  <c r="K44" i="1" s="1"/>
  <c r="I42" i="1"/>
  <c r="I38" i="1"/>
  <c r="I37" i="1"/>
  <c r="K33" i="1"/>
  <c r="K32" i="1"/>
  <c r="K31" i="1"/>
  <c r="K19" i="1"/>
  <c r="K17" i="1"/>
  <c r="K12" i="1"/>
  <c r="K6" i="1"/>
  <c r="K56" i="1" s="1"/>
  <c r="G9" i="1"/>
  <c r="G11" i="1" s="1"/>
  <c r="G30" i="1" s="1"/>
  <c r="B12" i="1"/>
  <c r="C12" i="1"/>
  <c r="C11" i="1"/>
  <c r="D12" i="1"/>
  <c r="D11" i="1"/>
  <c r="E12" i="1"/>
  <c r="F12" i="1"/>
  <c r="G12" i="1"/>
  <c r="H12" i="1"/>
  <c r="I12" i="1"/>
  <c r="J12" i="1"/>
  <c r="J62" i="1"/>
  <c r="J58" i="1"/>
  <c r="J56" i="1"/>
  <c r="J55" i="1"/>
  <c r="J54" i="1"/>
  <c r="J53" i="1"/>
  <c r="F9" i="1"/>
  <c r="J9" i="1"/>
  <c r="J11" i="1" s="1"/>
  <c r="B6" i="1"/>
  <c r="B11" i="1" s="1"/>
  <c r="C6" i="1"/>
  <c r="D6" i="1"/>
  <c r="E6" i="1"/>
  <c r="F6" i="1"/>
  <c r="F56" i="1" s="1"/>
  <c r="G6" i="1"/>
  <c r="G56" i="1" s="1"/>
  <c r="H6" i="1"/>
  <c r="H11" i="1" s="1"/>
  <c r="H30" i="1" s="1"/>
  <c r="I6" i="1"/>
  <c r="J6" i="1"/>
  <c r="I21" i="2" l="1"/>
  <c r="D64" i="2"/>
  <c r="D37" i="2"/>
  <c r="H65" i="2"/>
  <c r="F65" i="2"/>
  <c r="F18" i="2"/>
  <c r="D68" i="2"/>
  <c r="F64" i="2"/>
  <c r="E64" i="2"/>
  <c r="E65" i="2"/>
  <c r="I30" i="1"/>
  <c r="K9" i="1"/>
  <c r="J59" i="1"/>
  <c r="F11" i="1"/>
  <c r="J30" i="1" s="1"/>
  <c r="D70" i="2" l="1"/>
  <c r="G65" i="2"/>
  <c r="G18" i="2"/>
  <c r="H18" i="2"/>
  <c r="N18" i="2" s="1"/>
  <c r="O18" i="2" s="1"/>
  <c r="P18" i="2" s="1"/>
  <c r="Q18" i="2" s="1"/>
  <c r="R18" i="2" s="1"/>
  <c r="F67" i="2"/>
  <c r="E68" i="2"/>
  <c r="G64" i="2"/>
  <c r="H64" i="2"/>
  <c r="K59" i="1"/>
  <c r="K11" i="1"/>
  <c r="E37" i="2"/>
  <c r="G67" i="2" l="1"/>
  <c r="F70" i="2"/>
  <c r="F68" i="2"/>
  <c r="K13" i="1"/>
  <c r="C49" i="2"/>
  <c r="C48" i="2"/>
  <c r="C31" i="2"/>
  <c r="D31" i="2" s="1"/>
  <c r="C28" i="2"/>
  <c r="C26" i="2"/>
  <c r="C22" i="2"/>
  <c r="C21" i="2"/>
  <c r="C19" i="2"/>
  <c r="C44" i="2"/>
  <c r="I45" i="1"/>
  <c r="I32" i="1"/>
  <c r="I31" i="1"/>
  <c r="I17" i="1"/>
  <c r="H68" i="2" l="1"/>
  <c r="G70" i="2"/>
  <c r="G68" i="2"/>
  <c r="K26" i="1"/>
  <c r="K18" i="1"/>
  <c r="D38" i="2"/>
  <c r="D39" i="2"/>
  <c r="C52" i="2"/>
  <c r="I36" i="1"/>
  <c r="I44" i="1"/>
  <c r="C45" i="2"/>
  <c r="C43" i="2" s="1"/>
  <c r="D26" i="2" s="1"/>
  <c r="I13" i="1"/>
  <c r="I26" i="1" s="1"/>
  <c r="C47" i="2"/>
  <c r="H70" i="2" l="1"/>
  <c r="J24" i="2"/>
  <c r="K27" i="1"/>
  <c r="K20" i="1"/>
  <c r="I18" i="1"/>
  <c r="C51" i="2"/>
  <c r="C20" i="2"/>
  <c r="K24" i="2" l="1"/>
  <c r="K22" i="1"/>
  <c r="K23" i="1" s="1"/>
  <c r="K28" i="1"/>
  <c r="N39" i="2"/>
  <c r="I27" i="1"/>
  <c r="I20" i="1"/>
  <c r="L24" i="2" l="1"/>
  <c r="I22" i="1"/>
  <c r="I28" i="1"/>
  <c r="M24" i="2" l="1"/>
  <c r="O39" i="2"/>
  <c r="I23" i="1"/>
  <c r="J32" i="1"/>
  <c r="J31" i="1"/>
  <c r="J17" i="1"/>
  <c r="N38" i="2" l="1"/>
  <c r="P39" i="2"/>
  <c r="H13" i="1"/>
  <c r="H17" i="1"/>
  <c r="J13" i="1"/>
  <c r="C4" i="2"/>
  <c r="H31" i="1"/>
  <c r="H32" i="1"/>
  <c r="G32" i="1"/>
  <c r="G31" i="1"/>
  <c r="C17" i="1"/>
  <c r="D17" i="1"/>
  <c r="I33" i="1"/>
  <c r="D13" i="1"/>
  <c r="D26" i="1" s="1"/>
  <c r="C13" i="1"/>
  <c r="B17" i="1"/>
  <c r="F32" i="1"/>
  <c r="F31" i="1"/>
  <c r="B13" i="1"/>
  <c r="B26" i="1" s="1"/>
  <c r="F13" i="1"/>
  <c r="J33" i="1"/>
  <c r="B31" i="2"/>
  <c r="E31" i="2"/>
  <c r="F31" i="2" s="1"/>
  <c r="G31" i="2" s="1"/>
  <c r="H31" i="2" s="1"/>
  <c r="I31" i="2" s="1"/>
  <c r="J31" i="2" s="1"/>
  <c r="K31" i="2" s="1"/>
  <c r="L31" i="2" s="1"/>
  <c r="M31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O38" i="2" l="1"/>
  <c r="N31" i="2"/>
  <c r="O31" i="2" s="1"/>
  <c r="P31" i="2" s="1"/>
  <c r="Q31" i="2" s="1"/>
  <c r="R31" i="2" s="1"/>
  <c r="N9" i="2"/>
  <c r="O9" i="2" s="1"/>
  <c r="P9" i="2" s="1"/>
  <c r="Q9" i="2" s="1"/>
  <c r="R9" i="2" s="1"/>
  <c r="Q39" i="2"/>
  <c r="F30" i="1"/>
  <c r="G13" i="1"/>
  <c r="G26" i="1" s="1"/>
  <c r="E13" i="1"/>
  <c r="E26" i="1" s="1"/>
  <c r="F17" i="1"/>
  <c r="J34" i="1" s="1"/>
  <c r="C23" i="2"/>
  <c r="E17" i="1"/>
  <c r="H18" i="1"/>
  <c r="H20" i="1" s="1"/>
  <c r="H22" i="1" s="1"/>
  <c r="J18" i="1"/>
  <c r="J26" i="1"/>
  <c r="C18" i="1"/>
  <c r="C20" i="1" s="1"/>
  <c r="C26" i="1"/>
  <c r="H33" i="1"/>
  <c r="D18" i="1"/>
  <c r="B18" i="1"/>
  <c r="G17" i="1"/>
  <c r="K34" i="1" s="1"/>
  <c r="F33" i="1"/>
  <c r="C6" i="2"/>
  <c r="C7" i="2" s="1"/>
  <c r="F26" i="1"/>
  <c r="G33" i="1"/>
  <c r="H34" i="1"/>
  <c r="P38" i="2" l="1"/>
  <c r="D40" i="2"/>
  <c r="D24" i="2"/>
  <c r="N23" i="2"/>
  <c r="R39" i="2"/>
  <c r="E18" i="1"/>
  <c r="E27" i="1" s="1"/>
  <c r="C27" i="1"/>
  <c r="C24" i="2"/>
  <c r="C25" i="2" s="1"/>
  <c r="C27" i="2" s="1"/>
  <c r="H23" i="1"/>
  <c r="F18" i="1"/>
  <c r="F20" i="1" s="1"/>
  <c r="F28" i="1" s="1"/>
  <c r="I34" i="1"/>
  <c r="F34" i="1"/>
  <c r="G34" i="1"/>
  <c r="J27" i="1"/>
  <c r="J20" i="1"/>
  <c r="C22" i="1"/>
  <c r="C28" i="1"/>
  <c r="B27" i="1"/>
  <c r="B20" i="1"/>
  <c r="C39" i="2"/>
  <c r="D20" i="1"/>
  <c r="D27" i="1"/>
  <c r="B20" i="2"/>
  <c r="G18" i="1"/>
  <c r="B24" i="2"/>
  <c r="R38" i="2" l="1"/>
  <c r="Q38" i="2"/>
  <c r="N40" i="2"/>
  <c r="N24" i="2"/>
  <c r="D41" i="2"/>
  <c r="E28" i="1"/>
  <c r="F22" i="1"/>
  <c r="F23" i="1" s="1"/>
  <c r="F27" i="1"/>
  <c r="J22" i="1"/>
  <c r="K47" i="1" s="1"/>
  <c r="J28" i="1"/>
  <c r="C38" i="2"/>
  <c r="G20" i="1"/>
  <c r="G27" i="1"/>
  <c r="D22" i="1"/>
  <c r="D28" i="1"/>
  <c r="H26" i="1"/>
  <c r="C40" i="2"/>
  <c r="B25" i="2"/>
  <c r="B33" i="2"/>
  <c r="B28" i="1"/>
  <c r="B22" i="1"/>
  <c r="C23" i="1"/>
  <c r="C41" i="2"/>
  <c r="K51" i="1" l="1"/>
  <c r="K48" i="1"/>
  <c r="K50" i="1"/>
  <c r="K49" i="1"/>
  <c r="E22" i="1"/>
  <c r="E23" i="1" s="1"/>
  <c r="J23" i="1"/>
  <c r="H27" i="1"/>
  <c r="E24" i="2"/>
  <c r="G28" i="1"/>
  <c r="G22" i="1"/>
  <c r="E39" i="2"/>
  <c r="C37" i="2"/>
  <c r="D23" i="1"/>
  <c r="B23" i="1"/>
  <c r="B34" i="2"/>
  <c r="B27" i="2"/>
  <c r="N41" i="2" l="1"/>
  <c r="G23" i="1"/>
  <c r="I47" i="1"/>
  <c r="E41" i="2"/>
  <c r="E38" i="2"/>
  <c r="C33" i="2"/>
  <c r="D20" i="2" s="1"/>
  <c r="E40" i="2"/>
  <c r="F39" i="2"/>
  <c r="B35" i="2"/>
  <c r="B29" i="2"/>
  <c r="D33" i="2" l="1"/>
  <c r="D19" i="2"/>
  <c r="D25" i="2"/>
  <c r="O23" i="2"/>
  <c r="I51" i="1"/>
  <c r="I49" i="1"/>
  <c r="I50" i="1"/>
  <c r="I48" i="1"/>
  <c r="F24" i="2"/>
  <c r="F41" i="2" s="1"/>
  <c r="F38" i="2"/>
  <c r="H28" i="1"/>
  <c r="B30" i="2"/>
  <c r="G39" i="2"/>
  <c r="C34" i="2"/>
  <c r="F40" i="2"/>
  <c r="D34" i="2" l="1"/>
  <c r="D27" i="2"/>
  <c r="O40" i="2"/>
  <c r="P23" i="2"/>
  <c r="O24" i="2"/>
  <c r="O41" i="2" s="1"/>
  <c r="E20" i="2"/>
  <c r="E19" i="2" s="1"/>
  <c r="G24" i="2"/>
  <c r="G41" i="2" s="1"/>
  <c r="G38" i="2"/>
  <c r="C35" i="2"/>
  <c r="F37" i="2"/>
  <c r="H39" i="2"/>
  <c r="G40" i="2"/>
  <c r="N37" i="2" l="1"/>
  <c r="D35" i="2"/>
  <c r="P40" i="2"/>
  <c r="P24" i="2"/>
  <c r="P41" i="2" s="1"/>
  <c r="Q23" i="2"/>
  <c r="E33" i="2"/>
  <c r="F20" i="2" s="1"/>
  <c r="F19" i="2" s="1"/>
  <c r="E25" i="2"/>
  <c r="E34" i="2" s="1"/>
  <c r="C29" i="2"/>
  <c r="H38" i="2"/>
  <c r="G37" i="2"/>
  <c r="H40" i="2"/>
  <c r="H24" i="2"/>
  <c r="H41" i="2" s="1"/>
  <c r="I39" i="2"/>
  <c r="D29" i="2" l="1"/>
  <c r="Q40" i="2"/>
  <c r="R23" i="2"/>
  <c r="Q24" i="2"/>
  <c r="Q41" i="2" s="1"/>
  <c r="F33" i="2"/>
  <c r="G20" i="2" s="1"/>
  <c r="G33" i="2" s="1"/>
  <c r="H20" i="2" s="1"/>
  <c r="H19" i="2" s="1"/>
  <c r="F25" i="2"/>
  <c r="F34" i="2" s="1"/>
  <c r="C30" i="2"/>
  <c r="C54" i="2"/>
  <c r="C56" i="2"/>
  <c r="C55" i="2"/>
  <c r="C57" i="2"/>
  <c r="I38" i="2"/>
  <c r="I40" i="2"/>
  <c r="H37" i="2"/>
  <c r="I24" i="2"/>
  <c r="I41" i="2" s="1"/>
  <c r="J39" i="2"/>
  <c r="D43" i="2" l="1"/>
  <c r="D30" i="2"/>
  <c r="G19" i="2"/>
  <c r="G25" i="2"/>
  <c r="G34" i="2" s="1"/>
  <c r="R40" i="2"/>
  <c r="R24" i="2"/>
  <c r="R41" i="2" s="1"/>
  <c r="J38" i="2"/>
  <c r="H25" i="2"/>
  <c r="H33" i="2"/>
  <c r="I20" i="2" s="1"/>
  <c r="I37" i="2"/>
  <c r="J41" i="2"/>
  <c r="K39" i="2"/>
  <c r="J40" i="2"/>
  <c r="K38" i="2" l="1"/>
  <c r="J37" i="2"/>
  <c r="L39" i="2"/>
  <c r="I25" i="2"/>
  <c r="I33" i="2"/>
  <c r="J20" i="2" s="1"/>
  <c r="H34" i="2"/>
  <c r="I19" i="2"/>
  <c r="K40" i="2"/>
  <c r="K41" i="2"/>
  <c r="L38" i="2" l="1"/>
  <c r="J25" i="2"/>
  <c r="J33" i="2"/>
  <c r="K20" i="2" s="1"/>
  <c r="J19" i="2"/>
  <c r="L40" i="2"/>
  <c r="I34" i="2"/>
  <c r="L41" i="2"/>
  <c r="M39" i="2"/>
  <c r="K37" i="2"/>
  <c r="M38" i="2" l="1"/>
  <c r="K33" i="2"/>
  <c r="L20" i="2" s="1"/>
  <c r="L19" i="2" s="1"/>
  <c r="K25" i="2"/>
  <c r="K19" i="2"/>
  <c r="L37" i="2"/>
  <c r="M41" i="2"/>
  <c r="E26" i="2"/>
  <c r="E27" i="2" s="1"/>
  <c r="M40" i="2"/>
  <c r="J34" i="2"/>
  <c r="E35" i="2" l="1"/>
  <c r="K34" i="2"/>
  <c r="M37" i="2"/>
  <c r="L25" i="2"/>
  <c r="L33" i="2"/>
  <c r="M20" i="2" s="1"/>
  <c r="O37" i="2" l="1"/>
  <c r="E29" i="2"/>
  <c r="M25" i="2"/>
  <c r="M33" i="2"/>
  <c r="N20" i="2" s="1"/>
  <c r="M19" i="2"/>
  <c r="L34" i="2"/>
  <c r="N33" i="2" l="1"/>
  <c r="N25" i="2"/>
  <c r="N34" i="2" s="1"/>
  <c r="N19" i="2"/>
  <c r="O20" i="2"/>
  <c r="P37" i="2"/>
  <c r="E30" i="2"/>
  <c r="E43" i="2"/>
  <c r="F26" i="2" s="1"/>
  <c r="F27" i="2" s="1"/>
  <c r="M34" i="2"/>
  <c r="Q37" i="2" l="1"/>
  <c r="O33" i="2"/>
  <c r="P20" i="2" s="1"/>
  <c r="O25" i="2"/>
  <c r="O19" i="2"/>
  <c r="F35" i="2"/>
  <c r="O34" i="2" l="1"/>
  <c r="P33" i="2"/>
  <c r="Q20" i="2" s="1"/>
  <c r="P25" i="2"/>
  <c r="P19" i="2"/>
  <c r="R37" i="2"/>
  <c r="F29" i="2"/>
  <c r="F43" i="2" l="1"/>
  <c r="P34" i="2"/>
  <c r="Q19" i="2"/>
  <c r="Q33" i="2"/>
  <c r="R20" i="2" s="1"/>
  <c r="Q25" i="2"/>
  <c r="F30" i="2"/>
  <c r="G26" i="2"/>
  <c r="G27" i="2" s="1"/>
  <c r="Q34" i="2" l="1"/>
  <c r="R33" i="2"/>
  <c r="R25" i="2"/>
  <c r="R19" i="2"/>
  <c r="G35" i="2"/>
  <c r="R34" i="2" l="1"/>
  <c r="G29" i="2"/>
  <c r="G30" i="2" l="1"/>
  <c r="G43" i="2"/>
  <c r="H26" i="2" s="1"/>
  <c r="H27" i="2" s="1"/>
  <c r="H35" i="2" l="1"/>
  <c r="H29" i="2" l="1"/>
  <c r="H30" i="2" l="1"/>
  <c r="H43" i="2"/>
  <c r="I26" i="2" s="1"/>
  <c r="I27" i="2" s="1"/>
  <c r="I28" i="2" s="1"/>
  <c r="I35" i="2" l="1"/>
  <c r="I29" i="2" l="1"/>
  <c r="I30" i="2" l="1"/>
  <c r="I43" i="2"/>
  <c r="J26" i="2" s="1"/>
  <c r="J27" i="2" s="1"/>
  <c r="J28" i="2" s="1"/>
  <c r="J35" i="2" l="1"/>
  <c r="J29" i="2" l="1"/>
  <c r="J30" i="2" l="1"/>
  <c r="J43" i="2"/>
  <c r="K26" i="2" l="1"/>
  <c r="K27" i="2" s="1"/>
  <c r="K28" i="2" s="1"/>
  <c r="K35" i="2" l="1"/>
  <c r="K29" i="2" l="1"/>
  <c r="K30" i="2" s="1"/>
  <c r="K43" i="2"/>
  <c r="L26" i="2" l="1"/>
  <c r="L27" i="2" s="1"/>
  <c r="L28" i="2" s="1"/>
  <c r="L35" i="2" l="1"/>
  <c r="L29" i="2" l="1"/>
  <c r="L30" i="2" s="1"/>
  <c r="L43" i="2"/>
  <c r="M26" i="2" l="1"/>
  <c r="M27" i="2" s="1"/>
  <c r="M28" i="2" l="1"/>
  <c r="M35" i="2" s="1"/>
  <c r="M29" i="2" l="1"/>
  <c r="M30" i="2" l="1"/>
  <c r="M43" i="2"/>
  <c r="N26" i="2" l="1"/>
  <c r="N27" i="2" s="1"/>
  <c r="N28" i="2" l="1"/>
  <c r="N35" i="2" s="1"/>
  <c r="N29" i="2" l="1"/>
  <c r="N30" i="2" s="1"/>
  <c r="N43" i="2" l="1"/>
  <c r="O26" i="2" s="1"/>
  <c r="O27" i="2" s="1"/>
  <c r="O28" i="2" s="1"/>
  <c r="O35" i="2" s="1"/>
  <c r="O29" i="2" l="1"/>
  <c r="O30" i="2" s="1"/>
  <c r="O43" i="2"/>
  <c r="P26" i="2" s="1"/>
  <c r="P27" i="2" s="1"/>
  <c r="P28" i="2" s="1"/>
  <c r="P35" i="2" s="1"/>
  <c r="P29" i="2" l="1"/>
  <c r="P30" i="2" l="1"/>
  <c r="P43" i="2"/>
  <c r="Q26" i="2" l="1"/>
  <c r="Q27" i="2" s="1"/>
  <c r="Q28" i="2" l="1"/>
  <c r="Q35" i="2" s="1"/>
  <c r="Q29" i="2" l="1"/>
  <c r="Q30" i="2" s="1"/>
  <c r="Q43" i="2"/>
  <c r="R26" i="2" l="1"/>
  <c r="R27" i="2" s="1"/>
  <c r="R28" i="2" l="1"/>
  <c r="R35" i="2" s="1"/>
  <c r="R29" i="2" l="1"/>
  <c r="S29" i="2" s="1"/>
  <c r="R30" i="2" l="1"/>
  <c r="R43" i="2"/>
  <c r="T29" i="2" l="1"/>
  <c r="U29" i="2" l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ER29" i="2" s="1"/>
  <c r="ES29" i="2" s="1"/>
  <c r="ET29" i="2" s="1"/>
  <c r="EU29" i="2" s="1"/>
  <c r="EV29" i="2" s="1"/>
  <c r="EW29" i="2" s="1"/>
  <c r="EX29" i="2" s="1"/>
  <c r="EY29" i="2" s="1"/>
  <c r="EZ29" i="2" s="1"/>
  <c r="FA29" i="2" s="1"/>
  <c r="FB29" i="2" s="1"/>
  <c r="FC29" i="2" s="1"/>
  <c r="FD29" i="2" s="1"/>
  <c r="FE29" i="2" s="1"/>
  <c r="FF29" i="2" s="1"/>
  <c r="FG29" i="2" s="1"/>
  <c r="FH29" i="2" s="1"/>
  <c r="FI29" i="2" s="1"/>
  <c r="FJ29" i="2" s="1"/>
  <c r="FK29" i="2" s="1"/>
  <c r="FL29" i="2" s="1"/>
  <c r="FM29" i="2" s="1"/>
  <c r="FN29" i="2" s="1"/>
  <c r="FO29" i="2" s="1"/>
  <c r="FP29" i="2" s="1"/>
  <c r="FQ29" i="2" s="1"/>
  <c r="FR29" i="2" s="1"/>
  <c r="FS29" i="2" s="1"/>
  <c r="FT29" i="2" s="1"/>
  <c r="FU29" i="2" s="1"/>
  <c r="FV29" i="2" s="1"/>
  <c r="FW29" i="2" s="1"/>
  <c r="FX29" i="2" s="1"/>
  <c r="FY29" i="2" s="1"/>
  <c r="FZ29" i="2" s="1"/>
  <c r="GA29" i="2" s="1"/>
  <c r="GB29" i="2" s="1"/>
  <c r="GC29" i="2" s="1"/>
  <c r="GD29" i="2" s="1"/>
  <c r="GE29" i="2" s="1"/>
  <c r="GF29" i="2" s="1"/>
  <c r="GG29" i="2" s="1"/>
  <c r="GH29" i="2" s="1"/>
  <c r="GI29" i="2" s="1"/>
  <c r="GJ29" i="2" s="1"/>
  <c r="GK29" i="2" s="1"/>
  <c r="GL29" i="2" s="1"/>
  <c r="GM29" i="2" s="1"/>
  <c r="GN29" i="2" s="1"/>
  <c r="F5" i="2" s="1"/>
  <c r="F6" i="2" l="1"/>
  <c r="F7" i="2" s="1"/>
  <c r="G7" i="2" s="1"/>
</calcChain>
</file>

<file path=xl/sharedStrings.xml><?xml version="1.0" encoding="utf-8"?>
<sst xmlns="http://schemas.openxmlformats.org/spreadsheetml/2006/main" count="142" uniqueCount="88">
  <si>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</si>
  <si>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</si>
  <si>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</si>
  <si>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</si>
  <si>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</si>
  <si>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</si>
  <si>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</si>
  <si>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</si>
  <si>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</si>
  <si>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</si>
  <si>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</si>
  <si>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</si>
  <si>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</si>
  <si>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</si>
  <si>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</si>
  <si>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</si>
  <si>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</si>
  <si>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</si>
  <si>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</si>
  <si>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</si>
  <si>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</si>
  <si>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</si>
  <si>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</si>
  <si>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</si>
  <si>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</si>
  <si>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</si>
  <si>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</si>
  <si>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</si>
  <si>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</si>
  <si>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</si>
  <si>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</si>
  <si>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</si>
  <si>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</si>
  <si>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</si>
  <si>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</si>
  <si>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</si>
  <si>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</si>
  <si>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</si>
  <si>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</si>
  <si>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</si>
  <si>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</si>
  <si>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</si>
  <si>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</si>
  <si>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</si>
  <si>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</si>
  <si>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</si>
  <si>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</si>
  <si>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</si>
  <si>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</si>
  <si>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</si>
  <si>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</si>
  <si>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</si>
  <si>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Operating Expenses y/y</t>
  </si>
  <si>
    <t>Q120</t>
  </si>
  <si>
    <t>Q420</t>
  </si>
  <si>
    <t>Risk-free rate + market premium (opportunity cost)</t>
  </si>
  <si>
    <t>http://www.worldgovernmentbonds.com/country/united-states/</t>
  </si>
  <si>
    <t>Net present value on future net income (terminal value)</t>
  </si>
  <si>
    <t>Q220</t>
  </si>
  <si>
    <t>Q320</t>
  </si>
  <si>
    <t>PRODUCTS</t>
  </si>
  <si>
    <t>Q121</t>
  </si>
  <si>
    <t>Q221</t>
  </si>
  <si>
    <t>Q321</t>
  </si>
  <si>
    <t>Q421</t>
  </si>
  <si>
    <t>APRU y/y</t>
  </si>
  <si>
    <t>GMV</t>
  </si>
  <si>
    <t>GMV y/y</t>
  </si>
  <si>
    <t>R/GMV</t>
  </si>
  <si>
    <t>Affirm Holdings Inc (AFRM)</t>
  </si>
  <si>
    <t>Max Levchin</t>
  </si>
  <si>
    <t>Merchant</t>
  </si>
  <si>
    <t>Virtual card</t>
  </si>
  <si>
    <t>Interest</t>
  </si>
  <si>
    <t>Loans and servicing</t>
  </si>
  <si>
    <t>Merchant y/y</t>
  </si>
  <si>
    <t>Virtual card y/y</t>
  </si>
  <si>
    <t>Interest y/y</t>
  </si>
  <si>
    <t>Loans and servicing y/y</t>
  </si>
  <si>
    <t>Customers</t>
  </si>
  <si>
    <t>ARPC</t>
  </si>
  <si>
    <t>Customers y/y</t>
  </si>
  <si>
    <t>Consumer Platform</t>
  </si>
  <si>
    <t>Merchant Platform</t>
  </si>
  <si>
    <t>Buy now, pay later</t>
  </si>
  <si>
    <t>POS, analytics, promotions, ads</t>
  </si>
  <si>
    <t>POST IPO</t>
  </si>
  <si>
    <t>5% of US E-commerce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</si>
</sst>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0.0%"/>
    <numFmt numFmtId="166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0" fontId="4" fillId="0" borderId="0" xfId="4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4" fontId="6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4" applyBorder="1" applyAlignment="1">
      <alignment horizontal="left"/>
    </xf>
    <xf numFmtId="9" fontId="6" fillId="0" borderId="0" xfId="0" applyNumberFormat="1" applyFont="1" applyBorder="1" applyAlignment="1">
      <alignment horizontal="left"/>
    </xf>
    <xf numFmtId="9" fontId="6" fillId="0" borderId="0" xfId="0" applyNumberFormat="1" applyFont="1" applyBorder="1"/>
    <xf numFmtId="0" fontId="4" fillId="0" borderId="0" xfId="4" applyBorder="1"/>
    <xf numFmtId="0" fontId="4" fillId="0" borderId="0" xfId="4"/>
    <xf numFmtId="166" fontId="6" fillId="0" borderId="0" xfId="0" applyNumberFormat="1" applyFont="1" applyBorder="1" applyAlignment="1">
      <alignment horizontal="left"/>
    </xf>
    <xf numFmtId="166" fontId="6" fillId="0" borderId="0" xfId="0" applyNumberFormat="1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166" fontId="6" fillId="0" borderId="0" xfId="0" applyNumberFormat="1" applyFont="1" applyBorder="1"/>
    <xf numFmtId="166" fontId="6" fillId="0" borderId="0" xfId="0" applyNumberFormat="1" applyFont="1" applyAlignment="1">
      <alignment horizontal="right"/>
    </xf>
    <xf numFmtId="166" fontId="6" fillId="0" borderId="0" xfId="0" applyNumberFormat="1" applyFont="1"/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7</xdr:row>
      <xdr:rowOff>152400</xdr:rowOff>
    </xdr:from>
    <xdr:to>
      <xdr:col>3</xdr:col>
      <xdr:colOff>205740</xdr:colOff>
      <xdr:row>70</xdr:row>
      <xdr:rowOff>142240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406140" y="1290320"/>
          <a:ext cx="0" cy="1023112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236220</xdr:colOff>
      <xdr:row>0</xdr:row>
      <xdr:rowOff>152400</xdr:rowOff>
    </xdr:from>
    <xdr:to>
      <xdr:col>11</xdr:col>
      <xdr:colOff>236220</xdr:colOff>
      <xdr:row>65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9979660" y="152400"/>
          <a:ext cx="0" cy="10414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mlevchin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investors.affirm.com/investor-relations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twitter.com/mlevch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820953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N70"/>
  <sheetViews>
    <sheetView tabSelected="1"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F13" sqref="F13"/>
    </sheetView>
  </sheetViews>
  <sheetFormatPr baseColWidth="10" defaultRowHeight="13" x14ac:dyDescent="0.15"/>
  <cols>
    <col min="1" max="1" width="20.33203125" style="2" bestFit="1" customWidth="1"/>
    <col min="2" max="16384" width="10.83203125" style="2"/>
  </cols>
  <sheetData>
    <row r="1" spans="1:113" x14ac:dyDescent="0.15">
      <c r="A1" s="74" t="s">
        <v>50</v>
      </c>
      <c r="B1" s="1" t="s">
        <v>69</v>
      </c>
    </row>
    <row r="2" spans="1:113" x14ac:dyDescent="0.15">
      <c r="B2" s="2" t="s">
        <v>32</v>
      </c>
      <c r="C2" s="3">
        <v>125.96</v>
      </c>
      <c r="D2" s="58">
        <v>44239</v>
      </c>
      <c r="E2" s="5" t="s">
        <v>21</v>
      </c>
      <c r="F2" s="6">
        <v>5.0000000000000001E-3</v>
      </c>
      <c r="I2" s="15"/>
      <c r="L2" s="1"/>
    </row>
    <row r="3" spans="1:113" x14ac:dyDescent="0.15">
      <c r="A3" s="1" t="s">
        <v>30</v>
      </c>
      <c r="B3" s="2" t="s">
        <v>13</v>
      </c>
      <c r="C3" s="7">
        <v>121.34632999999999</v>
      </c>
      <c r="D3" s="59" t="s">
        <v>86</v>
      </c>
      <c r="E3" s="5" t="s">
        <v>22</v>
      </c>
      <c r="F3" s="6">
        <v>0.02</v>
      </c>
      <c r="G3" s="4" t="s">
        <v>51</v>
      </c>
      <c r="I3" s="15"/>
    </row>
    <row r="4" spans="1:113" x14ac:dyDescent="0.15">
      <c r="A4" s="75" t="s">
        <v>70</v>
      </c>
      <c r="B4" s="2" t="s">
        <v>33</v>
      </c>
      <c r="C4" s="9">
        <f>C2*C3</f>
        <v>15284.783726799998</v>
      </c>
      <c r="D4" s="59"/>
      <c r="E4" s="5" t="s">
        <v>23</v>
      </c>
      <c r="F4" s="6">
        <v>0.06</v>
      </c>
      <c r="G4" s="4" t="s">
        <v>55</v>
      </c>
      <c r="I4" s="18"/>
      <c r="L4" s="8" t="s">
        <v>56</v>
      </c>
    </row>
    <row r="5" spans="1:113" x14ac:dyDescent="0.15">
      <c r="B5" s="2" t="s">
        <v>18</v>
      </c>
      <c r="C5" s="7">
        <f>Reports!K36</f>
        <v>903</v>
      </c>
      <c r="D5" s="59" t="s">
        <v>62</v>
      </c>
      <c r="E5" s="5" t="s">
        <v>24</v>
      </c>
      <c r="F5" s="10">
        <f>NPV(F4,D29:GN29)</f>
        <v>31981.344905493952</v>
      </c>
      <c r="G5" s="4" t="s">
        <v>57</v>
      </c>
      <c r="I5" s="18"/>
    </row>
    <row r="6" spans="1:113" x14ac:dyDescent="0.15">
      <c r="A6" s="1" t="s">
        <v>31</v>
      </c>
      <c r="B6" s="2" t="s">
        <v>34</v>
      </c>
      <c r="C6" s="9">
        <f>C4-C5</f>
        <v>14381.783726799998</v>
      </c>
      <c r="D6" s="59"/>
      <c r="E6" s="11" t="s">
        <v>25</v>
      </c>
      <c r="F6" s="12">
        <f>F5+C5</f>
        <v>32884.344905493956</v>
      </c>
      <c r="I6" s="18"/>
    </row>
    <row r="7" spans="1:113" x14ac:dyDescent="0.15">
      <c r="A7" s="75" t="s">
        <v>70</v>
      </c>
      <c r="B7" s="4" t="s">
        <v>35</v>
      </c>
      <c r="C7" s="41">
        <f>C6/C3</f>
        <v>118.51848940796148</v>
      </c>
      <c r="D7" s="59"/>
      <c r="E7" s="13" t="s">
        <v>35</v>
      </c>
      <c r="F7" s="40">
        <f>F6/C3</f>
        <v>270.99579283109722</v>
      </c>
      <c r="G7" s="18">
        <f>F7/C2-1</f>
        <v>1.1514432584240808</v>
      </c>
    </row>
    <row r="8" spans="1:113" x14ac:dyDescent="0.15">
      <c r="A8" s="75"/>
      <c r="B8" s="5"/>
      <c r="C8" s="14"/>
    </row>
    <row r="9" spans="1:113" x14ac:dyDescent="0.15">
      <c r="B9" s="37">
        <v>2019</v>
      </c>
      <c r="C9" s="37">
        <f t="shared" ref="C9:R9" si="0">B9+1</f>
        <v>2020</v>
      </c>
      <c r="D9" s="37">
        <f t="shared" si="0"/>
        <v>2021</v>
      </c>
      <c r="E9" s="37">
        <f t="shared" si="0"/>
        <v>2022</v>
      </c>
      <c r="F9" s="37">
        <f t="shared" si="0"/>
        <v>2023</v>
      </c>
      <c r="G9" s="37">
        <f t="shared" si="0"/>
        <v>2024</v>
      </c>
      <c r="H9" s="37">
        <f t="shared" si="0"/>
        <v>2025</v>
      </c>
      <c r="I9" s="37">
        <f t="shared" si="0"/>
        <v>2026</v>
      </c>
      <c r="J9" s="37">
        <f t="shared" si="0"/>
        <v>2027</v>
      </c>
      <c r="K9" s="37">
        <f t="shared" si="0"/>
        <v>2028</v>
      </c>
      <c r="L9" s="37">
        <f t="shared" si="0"/>
        <v>2029</v>
      </c>
      <c r="M9" s="37">
        <f t="shared" si="0"/>
        <v>2030</v>
      </c>
      <c r="N9" s="37">
        <f t="shared" si="0"/>
        <v>2031</v>
      </c>
      <c r="O9" s="37">
        <f t="shared" si="0"/>
        <v>2032</v>
      </c>
      <c r="P9" s="37">
        <f t="shared" si="0"/>
        <v>2033</v>
      </c>
      <c r="Q9" s="37">
        <f t="shared" si="0"/>
        <v>2034</v>
      </c>
      <c r="R9" s="37">
        <f t="shared" si="0"/>
        <v>2035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</row>
    <row r="10" spans="1:113" x14ac:dyDescent="0.15">
      <c r="A10" s="62" t="s">
        <v>71</v>
      </c>
      <c r="B10" s="36">
        <f>SUM(Reports!B3:E3)</f>
        <v>132.363</v>
      </c>
      <c r="C10" s="36">
        <f>SUM(Reports!F3:I3)</f>
        <v>256.75199999999995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</row>
    <row r="11" spans="1:113" x14ac:dyDescent="0.15">
      <c r="A11" s="62" t="s">
        <v>72</v>
      </c>
      <c r="B11" s="36">
        <f>SUM(Reports!B4:E4)</f>
        <v>7.9110000000000005</v>
      </c>
      <c r="C11" s="36">
        <f>SUM(Reports!F4:I4)</f>
        <v>19.339999999999996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</row>
    <row r="12" spans="1:113" x14ac:dyDescent="0.15">
      <c r="A12" s="62" t="s">
        <v>73</v>
      </c>
      <c r="B12" s="36">
        <f>SUM(Reports!B5:E5)</f>
        <v>119.404</v>
      </c>
      <c r="C12" s="36">
        <f>SUM(Reports!F5:I5)</f>
        <v>186.73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</row>
    <row r="13" spans="1:113" x14ac:dyDescent="0.15">
      <c r="A13" s="62" t="s">
        <v>74</v>
      </c>
      <c r="B13" s="36">
        <f>SUM(Reports!B6:E6)</f>
        <v>4.6890000000000001</v>
      </c>
      <c r="C13" s="36">
        <f>SUM(Reports!F6:I6)</f>
        <v>46.705999999999996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</row>
    <row r="14" spans="1:113" x14ac:dyDescent="0.15">
      <c r="A14" s="62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</row>
    <row r="15" spans="1:113" s="81" customFormat="1" x14ac:dyDescent="0.15">
      <c r="A15" s="76" t="s">
        <v>79</v>
      </c>
      <c r="B15" s="80">
        <f>Reports!E8</f>
        <v>2.0449999999999999</v>
      </c>
      <c r="C15" s="80">
        <f>Reports!I8</f>
        <v>3.6179999999999999</v>
      </c>
      <c r="D15" s="80">
        <f>C15*1.45</f>
        <v>5.2460999999999993</v>
      </c>
      <c r="E15" s="80">
        <f t="shared" ref="E15:H15" si="1">D15*1.45</f>
        <v>7.606844999999999</v>
      </c>
      <c r="F15" s="80">
        <f t="shared" si="1"/>
        <v>11.029925249999998</v>
      </c>
      <c r="G15" s="80">
        <f t="shared" si="1"/>
        <v>15.993391612499996</v>
      </c>
      <c r="H15" s="80">
        <f t="shared" si="1"/>
        <v>23.190417838124993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80"/>
      <c r="CJ15" s="80"/>
      <c r="CK15" s="80"/>
      <c r="CL15" s="80"/>
      <c r="CM15" s="80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  <c r="CY15" s="80"/>
      <c r="CZ15" s="80"/>
      <c r="DA15" s="80"/>
      <c r="DB15" s="80"/>
      <c r="DC15" s="80"/>
      <c r="DD15" s="80"/>
      <c r="DE15" s="80"/>
      <c r="DF15" s="80"/>
      <c r="DG15" s="80"/>
      <c r="DH15" s="80"/>
      <c r="DI15" s="80"/>
    </row>
    <row r="16" spans="1:113" s="15" customFormat="1" x14ac:dyDescent="0.15">
      <c r="A16" s="62" t="s">
        <v>80</v>
      </c>
      <c r="B16" s="51">
        <f>SUM(B10:B13)/B15</f>
        <v>129.27481662591688</v>
      </c>
      <c r="C16" s="51">
        <f>SUM(C10:C13)/C15</f>
        <v>140.83139856274184</v>
      </c>
      <c r="D16" s="15">
        <f>C16*1.05</f>
        <v>147.87296849087895</v>
      </c>
      <c r="E16" s="15">
        <f t="shared" ref="E16:H16" si="2">D16*1.05</f>
        <v>155.2666169154229</v>
      </c>
      <c r="F16" s="15">
        <f t="shared" si="2"/>
        <v>163.02994776119405</v>
      </c>
      <c r="G16" s="15">
        <f t="shared" si="2"/>
        <v>171.18144514925376</v>
      </c>
      <c r="H16" s="15">
        <f t="shared" si="2"/>
        <v>179.74051740671646</v>
      </c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</row>
    <row r="17" spans="1:196" s="37" customFormat="1" x14ac:dyDescent="0.15">
      <c r="C17" s="36"/>
      <c r="D17" s="36">
        <v>760</v>
      </c>
      <c r="E17" s="36"/>
      <c r="F17" s="36"/>
    </row>
    <row r="18" spans="1:196" x14ac:dyDescent="0.15">
      <c r="A18" s="1" t="s">
        <v>0</v>
      </c>
      <c r="B18" s="23">
        <f>SUM(B10:B13)</f>
        <v>264.36700000000002</v>
      </c>
      <c r="C18" s="23">
        <f>SUM(C10:C13)</f>
        <v>509.52799999999991</v>
      </c>
      <c r="D18" s="44">
        <f>D16*D15</f>
        <v>775.75637999999992</v>
      </c>
      <c r="E18" s="44">
        <f>E16*E15</f>
        <v>1181.08908855</v>
      </c>
      <c r="F18" s="44">
        <f t="shared" ref="F18:G18" si="3">F16*F15</f>
        <v>1798.2081373173748</v>
      </c>
      <c r="G18" s="44">
        <f t="shared" si="3"/>
        <v>2737.7718890657034</v>
      </c>
      <c r="H18" s="44">
        <f>H16*H15</f>
        <v>4168.2577011025332</v>
      </c>
      <c r="I18" s="44">
        <f>H18*1.25</f>
        <v>5210.322126378167</v>
      </c>
      <c r="J18" s="44">
        <f t="shared" ref="J18:M18" si="4">I18*1.25</f>
        <v>6512.9026579727088</v>
      </c>
      <c r="K18" s="44">
        <f t="shared" si="4"/>
        <v>8141.1283224658855</v>
      </c>
      <c r="L18" s="44">
        <f t="shared" si="4"/>
        <v>10176.410403082356</v>
      </c>
      <c r="M18" s="44">
        <f t="shared" si="4"/>
        <v>12720.513003852946</v>
      </c>
      <c r="N18" s="44">
        <f>M18*1.1</f>
        <v>13992.564304238242</v>
      </c>
      <c r="O18" s="44">
        <f t="shared" ref="O18:R18" si="5">N18*1.1</f>
        <v>15391.820734662067</v>
      </c>
      <c r="P18" s="44">
        <f t="shared" si="5"/>
        <v>16931.002808128276</v>
      </c>
      <c r="Q18" s="44">
        <f t="shared" si="5"/>
        <v>18624.103088941105</v>
      </c>
      <c r="R18" s="44">
        <f t="shared" si="5"/>
        <v>20486.513397835217</v>
      </c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</row>
    <row r="19" spans="1:196" x14ac:dyDescent="0.15">
      <c r="A19" s="2" t="s">
        <v>1</v>
      </c>
      <c r="B19" s="36">
        <f>SUM(Reports!B12:E12)</f>
        <v>209.97200000000001</v>
      </c>
      <c r="C19" s="36">
        <f>SUM(Reports!F12:I12)</f>
        <v>348.666</v>
      </c>
      <c r="D19" s="22">
        <f t="shared" ref="D19:E19" si="6">D18-D20</f>
        <v>530.84398500000009</v>
      </c>
      <c r="E19" s="22">
        <f t="shared" si="6"/>
        <v>808.20996716250022</v>
      </c>
      <c r="F19" s="22">
        <f t="shared" ref="F19:N19" si="7">F18-F20</f>
        <v>1230.4996750049063</v>
      </c>
      <c r="G19" s="22">
        <f t="shared" si="7"/>
        <v>1873.4357551949702</v>
      </c>
      <c r="H19" s="22">
        <f>H18-H20</f>
        <v>2852.3059372843418</v>
      </c>
      <c r="I19" s="22">
        <f t="shared" si="7"/>
        <v>3565.3824216054277</v>
      </c>
      <c r="J19" s="22">
        <f t="shared" si="7"/>
        <v>4456.728027006784</v>
      </c>
      <c r="K19" s="22">
        <f t="shared" si="7"/>
        <v>5570.9100337584805</v>
      </c>
      <c r="L19" s="22">
        <f t="shared" si="7"/>
        <v>6963.6375421981002</v>
      </c>
      <c r="M19" s="22">
        <f t="shared" si="7"/>
        <v>8704.5469277476259</v>
      </c>
      <c r="N19" s="22">
        <f t="shared" si="7"/>
        <v>9575.0016205223892</v>
      </c>
      <c r="O19" s="22">
        <f t="shared" ref="O19:R19" si="8">O18-O20</f>
        <v>10532.501782574629</v>
      </c>
      <c r="P19" s="22">
        <f t="shared" si="8"/>
        <v>11585.751960832094</v>
      </c>
      <c r="Q19" s="22">
        <f t="shared" si="8"/>
        <v>12744.327156915304</v>
      </c>
      <c r="R19" s="22">
        <f t="shared" si="8"/>
        <v>14018.759872606835</v>
      </c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</row>
    <row r="20" spans="1:196" x14ac:dyDescent="0.15">
      <c r="A20" s="2" t="s">
        <v>2</v>
      </c>
      <c r="B20" s="25">
        <f t="shared" ref="B20:C20" si="9">B18-B19</f>
        <v>54.39500000000001</v>
      </c>
      <c r="C20" s="25">
        <f t="shared" si="9"/>
        <v>160.86199999999991</v>
      </c>
      <c r="D20" s="22">
        <f t="shared" ref="D20:R20" si="10">D18*C33</f>
        <v>244.91239499999986</v>
      </c>
      <c r="E20" s="22">
        <f t="shared" si="10"/>
        <v>372.87912138749982</v>
      </c>
      <c r="F20" s="22">
        <f t="shared" si="10"/>
        <v>567.70846231246844</v>
      </c>
      <c r="G20" s="22">
        <f t="shared" si="10"/>
        <v>864.33613387073331</v>
      </c>
      <c r="H20" s="22">
        <f>H18*G33</f>
        <v>1315.9517638181915</v>
      </c>
      <c r="I20" s="22">
        <f t="shared" si="10"/>
        <v>1644.9397047727393</v>
      </c>
      <c r="J20" s="22">
        <f t="shared" si="10"/>
        <v>2056.1746309659243</v>
      </c>
      <c r="K20" s="22">
        <f t="shared" si="10"/>
        <v>2570.218288707405</v>
      </c>
      <c r="L20" s="22">
        <f t="shared" si="10"/>
        <v>3212.7728608842563</v>
      </c>
      <c r="M20" s="22">
        <f t="shared" si="10"/>
        <v>4015.9660761053206</v>
      </c>
      <c r="N20" s="22">
        <f t="shared" si="10"/>
        <v>4417.5626837158525</v>
      </c>
      <c r="O20" s="22">
        <f t="shared" si="10"/>
        <v>4859.3189520874384</v>
      </c>
      <c r="P20" s="22">
        <f t="shared" si="10"/>
        <v>5345.2508472961827</v>
      </c>
      <c r="Q20" s="22">
        <f t="shared" si="10"/>
        <v>5879.7759320258019</v>
      </c>
      <c r="R20" s="22">
        <f t="shared" si="10"/>
        <v>6467.7535252283824</v>
      </c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</row>
    <row r="21" spans="1:196" x14ac:dyDescent="0.15">
      <c r="A21" s="2" t="s">
        <v>3</v>
      </c>
      <c r="B21" s="36">
        <f>SUM(Reports!B14:E14)</f>
        <v>76</v>
      </c>
      <c r="C21" s="36">
        <f>SUM(Reports!F14:I14)</f>
        <v>123</v>
      </c>
      <c r="D21" s="22">
        <f>SUM(Reports!J14:M14)</f>
        <v>161.80000000000001</v>
      </c>
      <c r="E21" s="22">
        <f>D21*1.3</f>
        <v>210.34000000000003</v>
      </c>
      <c r="F21" s="22">
        <f t="shared" ref="F21:H21" si="11">E21*1.3</f>
        <v>273.44200000000006</v>
      </c>
      <c r="G21" s="22">
        <f t="shared" si="11"/>
        <v>355.47460000000012</v>
      </c>
      <c r="H21" s="22">
        <f t="shared" si="11"/>
        <v>462.11698000000018</v>
      </c>
      <c r="I21" s="22">
        <f>H21*1.2</f>
        <v>554.54037600000015</v>
      </c>
      <c r="J21" s="22">
        <f t="shared" ref="J21:M21" si="12">I21*1.2</f>
        <v>665.44845120000014</v>
      </c>
      <c r="K21" s="22">
        <f t="shared" si="12"/>
        <v>798.53814144000012</v>
      </c>
      <c r="L21" s="22">
        <f t="shared" si="12"/>
        <v>958.24576972800014</v>
      </c>
      <c r="M21" s="22">
        <f t="shared" si="12"/>
        <v>1149.8949236736</v>
      </c>
      <c r="N21" s="22">
        <f>M21*1.05</f>
        <v>1207.3896698572801</v>
      </c>
      <c r="O21" s="22">
        <f>N21*1.05</f>
        <v>1267.7591533501441</v>
      </c>
      <c r="P21" s="22">
        <f t="shared" ref="P21:R21" si="13">O21*1.05</f>
        <v>1331.1471110176512</v>
      </c>
      <c r="Q21" s="22">
        <f t="shared" si="13"/>
        <v>1397.7044665685339</v>
      </c>
      <c r="R21" s="22">
        <f t="shared" si="13"/>
        <v>1467.5896898969606</v>
      </c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</row>
    <row r="22" spans="1:196" x14ac:dyDescent="0.15">
      <c r="A22" s="2" t="s">
        <v>4</v>
      </c>
      <c r="B22" s="36">
        <f>SUM(Reports!B15:E15)</f>
        <v>16</v>
      </c>
      <c r="C22" s="36">
        <f>SUM(Reports!F15:I15)</f>
        <v>25</v>
      </c>
      <c r="D22" s="22">
        <f>SUM(Reports!J15:M15)</f>
        <v>105</v>
      </c>
      <c r="E22" s="22">
        <f>D22*1.4</f>
        <v>147</v>
      </c>
      <c r="F22" s="22">
        <f t="shared" ref="F22:H22" si="14">E22*1.4</f>
        <v>205.79999999999998</v>
      </c>
      <c r="G22" s="22">
        <f t="shared" si="14"/>
        <v>288.11999999999995</v>
      </c>
      <c r="H22" s="22">
        <f t="shared" si="14"/>
        <v>403.36799999999988</v>
      </c>
      <c r="I22" s="22">
        <f>H22*1.25</f>
        <v>504.20999999999987</v>
      </c>
      <c r="J22" s="22">
        <f t="shared" ref="J22:M22" si="15">I22*1.25</f>
        <v>630.26249999999982</v>
      </c>
      <c r="K22" s="22">
        <f t="shared" si="15"/>
        <v>787.82812499999977</v>
      </c>
      <c r="L22" s="22">
        <f t="shared" si="15"/>
        <v>984.78515624999977</v>
      </c>
      <c r="M22" s="22">
        <f t="shared" si="15"/>
        <v>1230.9814453124998</v>
      </c>
      <c r="N22" s="22">
        <f>M22*0.95</f>
        <v>1169.4323730468748</v>
      </c>
      <c r="O22" s="22">
        <f t="shared" ref="O22:R22" si="16">N22*0.95</f>
        <v>1110.960754394531</v>
      </c>
      <c r="P22" s="22">
        <f t="shared" si="16"/>
        <v>1055.4127166748044</v>
      </c>
      <c r="Q22" s="22">
        <f t="shared" si="16"/>
        <v>1002.6420808410642</v>
      </c>
      <c r="R22" s="22">
        <f t="shared" si="16"/>
        <v>952.50997679901093</v>
      </c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</row>
    <row r="23" spans="1:196" x14ac:dyDescent="0.15">
      <c r="A23" s="2" t="s">
        <v>5</v>
      </c>
      <c r="B23" s="36">
        <f>SUM(Reports!B16:E16)</f>
        <v>89</v>
      </c>
      <c r="C23" s="36">
        <f>SUM(Reports!F16:I16)</f>
        <v>121</v>
      </c>
      <c r="D23" s="22">
        <f>SUM(Reports!J16:M16)</f>
        <v>150.5</v>
      </c>
      <c r="E23" s="22">
        <f>D23*1.25</f>
        <v>188.125</v>
      </c>
      <c r="F23" s="22">
        <f t="shared" ref="F23:H23" si="17">E23*1.25</f>
        <v>235.15625</v>
      </c>
      <c r="G23" s="22">
        <f t="shared" si="17"/>
        <v>293.9453125</v>
      </c>
      <c r="H23" s="22">
        <f t="shared" si="17"/>
        <v>367.431640625</v>
      </c>
      <c r="I23" s="22">
        <f>H23*1.1</f>
        <v>404.17480468750006</v>
      </c>
      <c r="J23" s="22">
        <f t="shared" ref="J23:M23" si="18">I23*1.1</f>
        <v>444.59228515625011</v>
      </c>
      <c r="K23" s="22">
        <f t="shared" si="18"/>
        <v>489.05151367187517</v>
      </c>
      <c r="L23" s="22">
        <f t="shared" si="18"/>
        <v>537.95666503906273</v>
      </c>
      <c r="M23" s="22">
        <f t="shared" si="18"/>
        <v>591.75233154296905</v>
      </c>
      <c r="N23" s="22">
        <f t="shared" ref="N23:R23" si="19">M23*0.98</f>
        <v>579.91728491210961</v>
      </c>
      <c r="O23" s="22">
        <f t="shared" si="19"/>
        <v>568.31893921386745</v>
      </c>
      <c r="P23" s="22">
        <f t="shared" si="19"/>
        <v>556.95256042959011</v>
      </c>
      <c r="Q23" s="22">
        <f t="shared" si="19"/>
        <v>545.8135092209983</v>
      </c>
      <c r="R23" s="22">
        <f t="shared" si="19"/>
        <v>534.8972390365783</v>
      </c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</row>
    <row r="24" spans="1:196" x14ac:dyDescent="0.15">
      <c r="A24" s="2" t="s">
        <v>6</v>
      </c>
      <c r="B24" s="25">
        <f t="shared" ref="B24:C24" si="20">SUM(B21:B23)</f>
        <v>181</v>
      </c>
      <c r="C24" s="25">
        <f t="shared" si="20"/>
        <v>269</v>
      </c>
      <c r="D24" s="22">
        <f t="shared" ref="D24:E24" si="21">SUM(D21:D23)</f>
        <v>417.3</v>
      </c>
      <c r="E24" s="22">
        <f t="shared" si="21"/>
        <v>545.46500000000003</v>
      </c>
      <c r="F24" s="22">
        <f t="shared" ref="F24:I24" si="22">SUM(F21:F23)</f>
        <v>714.39825000000008</v>
      </c>
      <c r="G24" s="22">
        <f t="shared" si="22"/>
        <v>937.53991250000013</v>
      </c>
      <c r="H24" s="22">
        <f t="shared" si="22"/>
        <v>1232.9166206250002</v>
      </c>
      <c r="I24" s="22">
        <f t="shared" si="22"/>
        <v>1462.9251806875</v>
      </c>
      <c r="J24" s="22">
        <f t="shared" ref="J24:M24" si="23">SUM(J21:J23)</f>
        <v>1740.3032363562502</v>
      </c>
      <c r="K24" s="22">
        <f t="shared" si="23"/>
        <v>2075.4177801118749</v>
      </c>
      <c r="L24" s="22">
        <f t="shared" si="23"/>
        <v>2480.9875910170626</v>
      </c>
      <c r="M24" s="22">
        <f t="shared" si="23"/>
        <v>2972.6287005290687</v>
      </c>
      <c r="N24" s="22">
        <f t="shared" ref="N24" si="24">SUM(N21:N23)</f>
        <v>2956.7393278162644</v>
      </c>
      <c r="O24" s="22">
        <f t="shared" ref="O24:R24" si="25">SUM(O21:O23)</f>
        <v>2947.0388469585423</v>
      </c>
      <c r="P24" s="22">
        <f t="shared" si="25"/>
        <v>2943.5123881220456</v>
      </c>
      <c r="Q24" s="22">
        <f t="shared" si="25"/>
        <v>2946.1600566305965</v>
      </c>
      <c r="R24" s="22">
        <f t="shared" si="25"/>
        <v>2954.9969057325502</v>
      </c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</row>
    <row r="25" spans="1:196" x14ac:dyDescent="0.15">
      <c r="A25" s="2" t="s">
        <v>7</v>
      </c>
      <c r="B25" s="25">
        <f t="shared" ref="B25:C25" si="26">B20-B24</f>
        <v>-126.60499999999999</v>
      </c>
      <c r="C25" s="25">
        <f t="shared" si="26"/>
        <v>-108.13800000000009</v>
      </c>
      <c r="D25" s="22">
        <f t="shared" ref="D25:E25" si="27">D20-D24</f>
        <v>-172.38760500000015</v>
      </c>
      <c r="E25" s="22">
        <f t="shared" si="27"/>
        <v>-172.58587861250021</v>
      </c>
      <c r="F25" s="22">
        <f t="shared" ref="F25:N25" si="28">F20-F24</f>
        <v>-146.68978768753163</v>
      </c>
      <c r="G25" s="22">
        <f t="shared" si="28"/>
        <v>-73.203778629266822</v>
      </c>
      <c r="H25" s="22">
        <f t="shared" si="28"/>
        <v>83.035143193191288</v>
      </c>
      <c r="I25" s="22">
        <f t="shared" si="28"/>
        <v>182.01452408523937</v>
      </c>
      <c r="J25" s="22">
        <f t="shared" si="28"/>
        <v>315.8713946096741</v>
      </c>
      <c r="K25" s="22">
        <f t="shared" si="28"/>
        <v>494.80050859553012</v>
      </c>
      <c r="L25" s="22">
        <f t="shared" si="28"/>
        <v>731.78526986719362</v>
      </c>
      <c r="M25" s="22">
        <f t="shared" si="28"/>
        <v>1043.3373755762518</v>
      </c>
      <c r="N25" s="22">
        <f t="shared" si="28"/>
        <v>1460.823355899588</v>
      </c>
      <c r="O25" s="22">
        <f t="shared" ref="O25:R25" si="29">O20-O24</f>
        <v>1912.2801051288961</v>
      </c>
      <c r="P25" s="22">
        <f t="shared" si="29"/>
        <v>2401.738459174137</v>
      </c>
      <c r="Q25" s="22">
        <f t="shared" si="29"/>
        <v>2933.6158753952054</v>
      </c>
      <c r="R25" s="22">
        <f t="shared" si="29"/>
        <v>3512.7566194958322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</row>
    <row r="26" spans="1:196" x14ac:dyDescent="0.15">
      <c r="A26" s="2" t="s">
        <v>8</v>
      </c>
      <c r="B26" s="36">
        <f>SUM(Reports!B19:E19)</f>
        <v>7</v>
      </c>
      <c r="C26" s="36">
        <f>SUM(Reports!F19:I19)</f>
        <v>-4</v>
      </c>
      <c r="D26" s="22">
        <f t="shared" ref="D26:R26" si="30">C43*$F$3</f>
        <v>9.4</v>
      </c>
      <c r="E26" s="22">
        <f t="shared" si="30"/>
        <v>6.1402478999999976</v>
      </c>
      <c r="F26" s="22">
        <f t="shared" si="30"/>
        <v>2.8113352857499927</v>
      </c>
      <c r="G26" s="22">
        <f t="shared" si="30"/>
        <v>-6.6233762285639847E-2</v>
      </c>
      <c r="H26" s="22">
        <f t="shared" si="30"/>
        <v>-1.531634010116689</v>
      </c>
      <c r="I26" s="22">
        <f t="shared" si="30"/>
        <v>-6.4570844821346327E-2</v>
      </c>
      <c r="J26" s="22">
        <f t="shared" si="30"/>
        <v>3.2105283135061784</v>
      </c>
      <c r="K26" s="22">
        <f t="shared" si="30"/>
        <v>8.9540029261234242</v>
      </c>
      <c r="L26" s="22">
        <f t="shared" si="30"/>
        <v>18.021584133513187</v>
      </c>
      <c r="M26" s="22">
        <f t="shared" si="30"/>
        <v>31.518107505525915</v>
      </c>
      <c r="N26" s="22">
        <f t="shared" si="30"/>
        <v>50.865506200997913</v>
      </c>
      <c r="O26" s="22">
        <f t="shared" si="30"/>
        <v>78.075905718808471</v>
      </c>
      <c r="P26" s="22">
        <f t="shared" si="30"/>
        <v>113.90231391406715</v>
      </c>
      <c r="Q26" s="22">
        <f t="shared" si="30"/>
        <v>159.18384782965484</v>
      </c>
      <c r="R26" s="22">
        <f t="shared" si="30"/>
        <v>214.8542428477023</v>
      </c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</row>
    <row r="27" spans="1:196" x14ac:dyDescent="0.15">
      <c r="A27" s="2" t="s">
        <v>9</v>
      </c>
      <c r="B27" s="25">
        <f t="shared" ref="B27:C27" si="31">B25+B26</f>
        <v>-119.60499999999999</v>
      </c>
      <c r="C27" s="25">
        <f t="shared" si="31"/>
        <v>-112.13800000000009</v>
      </c>
      <c r="D27" s="22">
        <f t="shared" ref="D27:E27" si="32">D25+D26</f>
        <v>-162.98760500000014</v>
      </c>
      <c r="E27" s="22">
        <f t="shared" si="32"/>
        <v>-166.44563071250022</v>
      </c>
      <c r="F27" s="22">
        <f t="shared" ref="F27" si="33">F25+F26</f>
        <v>-143.87845240178163</v>
      </c>
      <c r="G27" s="22">
        <f t="shared" ref="G27" si="34">G25+G26</f>
        <v>-73.270012391552456</v>
      </c>
      <c r="H27" s="22">
        <f t="shared" ref="H27" si="35">H25+H26</f>
        <v>81.503509183074598</v>
      </c>
      <c r="I27" s="22">
        <f t="shared" ref="I27" si="36">I25+I26</f>
        <v>181.94995324041804</v>
      </c>
      <c r="J27" s="22">
        <f t="shared" ref="J27" si="37">J25+J26</f>
        <v>319.08192292318029</v>
      </c>
      <c r="K27" s="22">
        <f t="shared" ref="K27" si="38">K25+K26</f>
        <v>503.75451152165357</v>
      </c>
      <c r="L27" s="22">
        <f t="shared" ref="L27" si="39">L25+L26</f>
        <v>749.80685400070683</v>
      </c>
      <c r="M27" s="22">
        <f t="shared" ref="M27:N27" si="40">M25+M26</f>
        <v>1074.8554830817777</v>
      </c>
      <c r="N27" s="22">
        <f t="shared" si="40"/>
        <v>1511.688862100586</v>
      </c>
      <c r="O27" s="22">
        <f t="shared" ref="O27:R27" si="41">O25+O26</f>
        <v>1990.3560108477045</v>
      </c>
      <c r="P27" s="22">
        <f t="shared" si="41"/>
        <v>2515.6407730882042</v>
      </c>
      <c r="Q27" s="22">
        <f t="shared" si="41"/>
        <v>3092.7997232248604</v>
      </c>
      <c r="R27" s="22">
        <f t="shared" si="41"/>
        <v>3727.6108623435343</v>
      </c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</row>
    <row r="28" spans="1:196" x14ac:dyDescent="0.15">
      <c r="A28" s="2" t="s">
        <v>10</v>
      </c>
      <c r="B28" s="36">
        <f>SUM(Reports!B21:E21)</f>
        <v>0</v>
      </c>
      <c r="C28" s="36">
        <f>SUM(Reports!F21:I21)</f>
        <v>0</v>
      </c>
      <c r="D28" s="22">
        <v>0</v>
      </c>
      <c r="E28" s="22">
        <v>0</v>
      </c>
      <c r="F28" s="22">
        <v>0</v>
      </c>
      <c r="G28" s="22">
        <v>0</v>
      </c>
      <c r="H28" s="22">
        <f t="shared" ref="G28:N28" si="42">H27*0.1</f>
        <v>8.1503509183074598</v>
      </c>
      <c r="I28" s="22">
        <f t="shared" si="42"/>
        <v>18.194995324041805</v>
      </c>
      <c r="J28" s="22">
        <f t="shared" si="42"/>
        <v>31.908192292318031</v>
      </c>
      <c r="K28" s="22">
        <f t="shared" si="42"/>
        <v>50.375451152165361</v>
      </c>
      <c r="L28" s="22">
        <f t="shared" si="42"/>
        <v>74.980685400070683</v>
      </c>
      <c r="M28" s="22">
        <f t="shared" si="42"/>
        <v>107.48554830817778</v>
      </c>
      <c r="N28" s="22">
        <f t="shared" si="42"/>
        <v>151.16888621005862</v>
      </c>
      <c r="O28" s="22">
        <f t="shared" ref="O28:R28" si="43">O27*0.1</f>
        <v>199.03560108477046</v>
      </c>
      <c r="P28" s="22">
        <f t="shared" si="43"/>
        <v>251.56407730882043</v>
      </c>
      <c r="Q28" s="22">
        <f t="shared" si="43"/>
        <v>309.27997232248606</v>
      </c>
      <c r="R28" s="22">
        <f t="shared" si="43"/>
        <v>372.76108623435346</v>
      </c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</row>
    <row r="29" spans="1:196" s="1" customFormat="1" x14ac:dyDescent="0.15">
      <c r="A29" s="1" t="s">
        <v>11</v>
      </c>
      <c r="B29" s="23">
        <f>B27-B28</f>
        <v>-119.60499999999999</v>
      </c>
      <c r="C29" s="23">
        <f t="shared" ref="C29:E29" si="44">C27-C28</f>
        <v>-112.13800000000009</v>
      </c>
      <c r="D29" s="23">
        <f t="shared" ref="D29" si="45">D27-D28</f>
        <v>-162.98760500000014</v>
      </c>
      <c r="E29" s="23">
        <f t="shared" si="44"/>
        <v>-166.44563071250022</v>
      </c>
      <c r="F29" s="23">
        <f t="shared" ref="F29:N29" si="46">F27-F28</f>
        <v>-143.87845240178163</v>
      </c>
      <c r="G29" s="23">
        <f t="shared" si="46"/>
        <v>-73.270012391552456</v>
      </c>
      <c r="H29" s="23">
        <f t="shared" si="46"/>
        <v>73.353158264767131</v>
      </c>
      <c r="I29" s="23">
        <f t="shared" si="46"/>
        <v>163.75495791637624</v>
      </c>
      <c r="J29" s="23">
        <f t="shared" si="46"/>
        <v>287.17373063086228</v>
      </c>
      <c r="K29" s="23">
        <f t="shared" si="46"/>
        <v>453.37906036948823</v>
      </c>
      <c r="L29" s="23">
        <f t="shared" si="46"/>
        <v>674.82616860063615</v>
      </c>
      <c r="M29" s="23">
        <f t="shared" si="46"/>
        <v>967.36993477359988</v>
      </c>
      <c r="N29" s="23">
        <f t="shared" si="46"/>
        <v>1360.5199758905273</v>
      </c>
      <c r="O29" s="23">
        <f t="shared" ref="O29:R29" si="47">O27-O28</f>
        <v>1791.3204097629341</v>
      </c>
      <c r="P29" s="23">
        <f t="shared" si="47"/>
        <v>2264.076695779384</v>
      </c>
      <c r="Q29" s="23">
        <f t="shared" si="47"/>
        <v>2783.5197509023742</v>
      </c>
      <c r="R29" s="23">
        <f t="shared" si="47"/>
        <v>3354.8497761091808</v>
      </c>
      <c r="S29" s="23">
        <f t="shared" ref="S29:AX29" si="48">R29*($F$2+1)</f>
        <v>3371.6240249897264</v>
      </c>
      <c r="T29" s="23">
        <f t="shared" si="48"/>
        <v>3388.4821451146745</v>
      </c>
      <c r="U29" s="23">
        <f t="shared" si="48"/>
        <v>3405.4245558402476</v>
      </c>
      <c r="V29" s="23">
        <f t="shared" si="48"/>
        <v>3422.4516786194486</v>
      </c>
      <c r="W29" s="23">
        <f t="shared" si="48"/>
        <v>3439.5639370125455</v>
      </c>
      <c r="X29" s="23">
        <f t="shared" si="48"/>
        <v>3456.7617566976078</v>
      </c>
      <c r="Y29" s="23">
        <f t="shared" si="48"/>
        <v>3474.0455654810953</v>
      </c>
      <c r="Z29" s="23">
        <f t="shared" si="48"/>
        <v>3491.4157933085003</v>
      </c>
      <c r="AA29" s="23">
        <f t="shared" si="48"/>
        <v>3508.8728722750425</v>
      </c>
      <c r="AB29" s="23">
        <f t="shared" si="48"/>
        <v>3526.4172366364173</v>
      </c>
      <c r="AC29" s="23">
        <f t="shared" si="48"/>
        <v>3544.0493228195992</v>
      </c>
      <c r="AD29" s="23">
        <f t="shared" si="48"/>
        <v>3561.7695694336967</v>
      </c>
      <c r="AE29" s="23">
        <f t="shared" si="48"/>
        <v>3579.5784172808649</v>
      </c>
      <c r="AF29" s="23">
        <f t="shared" si="48"/>
        <v>3597.4763093672686</v>
      </c>
      <c r="AG29" s="23">
        <f t="shared" si="48"/>
        <v>3615.4636909141045</v>
      </c>
      <c r="AH29" s="23">
        <f t="shared" si="48"/>
        <v>3633.5410093686746</v>
      </c>
      <c r="AI29" s="23">
        <f t="shared" si="48"/>
        <v>3651.7087144155175</v>
      </c>
      <c r="AJ29" s="23">
        <f t="shared" si="48"/>
        <v>3669.9672579875946</v>
      </c>
      <c r="AK29" s="23">
        <f t="shared" si="48"/>
        <v>3688.3170942775323</v>
      </c>
      <c r="AL29" s="23">
        <f t="shared" si="48"/>
        <v>3706.7586797489193</v>
      </c>
      <c r="AM29" s="23">
        <f t="shared" si="48"/>
        <v>3725.2924731476637</v>
      </c>
      <c r="AN29" s="23">
        <f t="shared" si="48"/>
        <v>3743.9189355134017</v>
      </c>
      <c r="AO29" s="23">
        <f t="shared" si="48"/>
        <v>3762.6385301909681</v>
      </c>
      <c r="AP29" s="23">
        <f t="shared" si="48"/>
        <v>3781.4517228419227</v>
      </c>
      <c r="AQ29" s="23">
        <f t="shared" si="48"/>
        <v>3800.3589814561319</v>
      </c>
      <c r="AR29" s="23">
        <f t="shared" si="48"/>
        <v>3819.3607763634122</v>
      </c>
      <c r="AS29" s="23">
        <f t="shared" si="48"/>
        <v>3838.4575802452291</v>
      </c>
      <c r="AT29" s="23">
        <f t="shared" si="48"/>
        <v>3857.649868146455</v>
      </c>
      <c r="AU29" s="23">
        <f t="shared" si="48"/>
        <v>3876.9381174871869</v>
      </c>
      <c r="AV29" s="23">
        <f t="shared" si="48"/>
        <v>3896.3228080746226</v>
      </c>
      <c r="AW29" s="23">
        <f t="shared" si="48"/>
        <v>3915.8044221149953</v>
      </c>
      <c r="AX29" s="23">
        <f t="shared" si="48"/>
        <v>3935.3834442255697</v>
      </c>
      <c r="AY29" s="23">
        <f t="shared" ref="AY29:CD29" si="49">AX29*($F$2+1)</f>
        <v>3955.0603614466972</v>
      </c>
      <c r="AZ29" s="23">
        <f t="shared" si="49"/>
        <v>3974.8356632539303</v>
      </c>
      <c r="BA29" s="23">
        <f t="shared" si="49"/>
        <v>3994.7098415701994</v>
      </c>
      <c r="BB29" s="23">
        <f t="shared" si="49"/>
        <v>4014.6833907780501</v>
      </c>
      <c r="BC29" s="23">
        <f t="shared" si="49"/>
        <v>4034.7568077319402</v>
      </c>
      <c r="BD29" s="23">
        <f t="shared" si="49"/>
        <v>4054.9305917705992</v>
      </c>
      <c r="BE29" s="23">
        <f t="shared" si="49"/>
        <v>4075.2052447294518</v>
      </c>
      <c r="BF29" s="23">
        <f t="shared" si="49"/>
        <v>4095.5812709530987</v>
      </c>
      <c r="BG29" s="23">
        <f t="shared" si="49"/>
        <v>4116.059177307864</v>
      </c>
      <c r="BH29" s="23">
        <f t="shared" si="49"/>
        <v>4136.6394731944029</v>
      </c>
      <c r="BI29" s="23">
        <f t="shared" si="49"/>
        <v>4157.3226705603747</v>
      </c>
      <c r="BJ29" s="23">
        <f t="shared" si="49"/>
        <v>4178.1092839131761</v>
      </c>
      <c r="BK29" s="23">
        <f t="shared" si="49"/>
        <v>4198.9998303327411</v>
      </c>
      <c r="BL29" s="23">
        <f t="shared" si="49"/>
        <v>4219.9948294844044</v>
      </c>
      <c r="BM29" s="23">
        <f t="shared" si="49"/>
        <v>4241.0948036318259</v>
      </c>
      <c r="BN29" s="23">
        <f t="shared" si="49"/>
        <v>4262.3002776499843</v>
      </c>
      <c r="BO29" s="23">
        <f t="shared" si="49"/>
        <v>4283.6117790382341</v>
      </c>
      <c r="BP29" s="23">
        <f t="shared" si="49"/>
        <v>4305.0298379334245</v>
      </c>
      <c r="BQ29" s="23">
        <f t="shared" si="49"/>
        <v>4326.5549871230915</v>
      </c>
      <c r="BR29" s="23">
        <f t="shared" si="49"/>
        <v>4348.1877620587065</v>
      </c>
      <c r="BS29" s="23">
        <f t="shared" si="49"/>
        <v>4369.9287008689998</v>
      </c>
      <c r="BT29" s="23">
        <f t="shared" si="49"/>
        <v>4391.7783443733442</v>
      </c>
      <c r="BU29" s="23">
        <f t="shared" si="49"/>
        <v>4413.7372360952104</v>
      </c>
      <c r="BV29" s="23">
        <f t="shared" si="49"/>
        <v>4435.8059222756856</v>
      </c>
      <c r="BW29" s="23">
        <f t="shared" si="49"/>
        <v>4457.9849518870633</v>
      </c>
      <c r="BX29" s="23">
        <f t="shared" si="49"/>
        <v>4480.2748766464983</v>
      </c>
      <c r="BY29" s="23">
        <f t="shared" si="49"/>
        <v>4502.6762510297303</v>
      </c>
      <c r="BZ29" s="23">
        <f t="shared" si="49"/>
        <v>4525.1896322848788</v>
      </c>
      <c r="CA29" s="23">
        <f t="shared" si="49"/>
        <v>4547.8155804463031</v>
      </c>
      <c r="CB29" s="23">
        <f t="shared" si="49"/>
        <v>4570.5546583485338</v>
      </c>
      <c r="CC29" s="23">
        <f t="shared" si="49"/>
        <v>4593.4074316402757</v>
      </c>
      <c r="CD29" s="23">
        <f t="shared" si="49"/>
        <v>4616.3744687984763</v>
      </c>
      <c r="CE29" s="23">
        <f t="shared" ref="CE29:DJ29" si="50">CD29*($F$2+1)</f>
        <v>4639.4563411424679</v>
      </c>
      <c r="CF29" s="23">
        <f t="shared" si="50"/>
        <v>4662.65362284818</v>
      </c>
      <c r="CG29" s="23">
        <f t="shared" si="50"/>
        <v>4685.9668909624206</v>
      </c>
      <c r="CH29" s="23">
        <f t="shared" si="50"/>
        <v>4709.3967254172321</v>
      </c>
      <c r="CI29" s="23">
        <f t="shared" si="50"/>
        <v>4732.943709044318</v>
      </c>
      <c r="CJ29" s="23">
        <f t="shared" si="50"/>
        <v>4756.6084275895391</v>
      </c>
      <c r="CK29" s="23">
        <f t="shared" si="50"/>
        <v>4780.3914697274868</v>
      </c>
      <c r="CL29" s="23">
        <f t="shared" si="50"/>
        <v>4804.2934270761234</v>
      </c>
      <c r="CM29" s="23">
        <f t="shared" si="50"/>
        <v>4828.3148942115031</v>
      </c>
      <c r="CN29" s="23">
        <f t="shared" si="50"/>
        <v>4852.4564686825597</v>
      </c>
      <c r="CO29" s="23">
        <f t="shared" si="50"/>
        <v>4876.7187510259719</v>
      </c>
      <c r="CP29" s="23">
        <f t="shared" si="50"/>
        <v>4901.1023447811012</v>
      </c>
      <c r="CQ29" s="23">
        <f t="shared" si="50"/>
        <v>4925.6078565050066</v>
      </c>
      <c r="CR29" s="23">
        <f t="shared" si="50"/>
        <v>4950.2358957875313</v>
      </c>
      <c r="CS29" s="23">
        <f t="shared" si="50"/>
        <v>4974.9870752664683</v>
      </c>
      <c r="CT29" s="23">
        <f t="shared" si="50"/>
        <v>4999.8620106427998</v>
      </c>
      <c r="CU29" s="23">
        <f t="shared" si="50"/>
        <v>5024.8613206960135</v>
      </c>
      <c r="CV29" s="23">
        <f t="shared" si="50"/>
        <v>5049.985627299493</v>
      </c>
      <c r="CW29" s="23">
        <f t="shared" si="50"/>
        <v>5075.2355554359901</v>
      </c>
      <c r="CX29" s="23">
        <f t="shared" si="50"/>
        <v>5100.6117332131698</v>
      </c>
      <c r="CY29" s="23">
        <f t="shared" si="50"/>
        <v>5126.1147918792349</v>
      </c>
      <c r="CZ29" s="23">
        <f t="shared" si="50"/>
        <v>5151.7453658386303</v>
      </c>
      <c r="DA29" s="23">
        <f t="shared" si="50"/>
        <v>5177.504092667823</v>
      </c>
      <c r="DB29" s="23">
        <f t="shared" si="50"/>
        <v>5203.3916131311616</v>
      </c>
      <c r="DC29" s="23">
        <f t="shared" si="50"/>
        <v>5229.4085711968173</v>
      </c>
      <c r="DD29" s="23">
        <f t="shared" si="50"/>
        <v>5255.5556140528006</v>
      </c>
      <c r="DE29" s="23">
        <f t="shared" si="50"/>
        <v>5281.8333921230642</v>
      </c>
      <c r="DF29" s="23">
        <f t="shared" si="50"/>
        <v>5308.2425590836792</v>
      </c>
      <c r="DG29" s="23">
        <f t="shared" si="50"/>
        <v>5334.783771879097</v>
      </c>
      <c r="DH29" s="23">
        <f t="shared" si="50"/>
        <v>5361.4576907384917</v>
      </c>
      <c r="DI29" s="23">
        <f t="shared" si="50"/>
        <v>5388.264979192184</v>
      </c>
      <c r="DJ29" s="23">
        <f t="shared" si="50"/>
        <v>5415.206304088144</v>
      </c>
      <c r="DK29" s="23">
        <f t="shared" ref="DK29:EP29" si="51">DJ29*($F$2+1)</f>
        <v>5442.2823356085837</v>
      </c>
      <c r="DL29" s="23">
        <f t="shared" si="51"/>
        <v>5469.4937472866259</v>
      </c>
      <c r="DM29" s="23">
        <f t="shared" si="51"/>
        <v>5496.8412160230582</v>
      </c>
      <c r="DN29" s="23">
        <f t="shared" si="51"/>
        <v>5524.325422103173</v>
      </c>
      <c r="DO29" s="23">
        <f t="shared" si="51"/>
        <v>5551.9470492136879</v>
      </c>
      <c r="DP29" s="23">
        <f t="shared" si="51"/>
        <v>5579.7067844597559</v>
      </c>
      <c r="DQ29" s="23">
        <f t="shared" si="51"/>
        <v>5607.6053183820541</v>
      </c>
      <c r="DR29" s="23">
        <f t="shared" si="51"/>
        <v>5635.6433449739634</v>
      </c>
      <c r="DS29" s="23">
        <f t="shared" si="51"/>
        <v>5663.8215616988327</v>
      </c>
      <c r="DT29" s="23">
        <f t="shared" si="51"/>
        <v>5692.1406695073265</v>
      </c>
      <c r="DU29" s="23">
        <f t="shared" si="51"/>
        <v>5720.6013728548623</v>
      </c>
      <c r="DV29" s="23">
        <f t="shared" si="51"/>
        <v>5749.2043797191363</v>
      </c>
      <c r="DW29" s="23">
        <f t="shared" si="51"/>
        <v>5777.9504016177316</v>
      </c>
      <c r="DX29" s="23">
        <f t="shared" si="51"/>
        <v>5806.8401536258198</v>
      </c>
      <c r="DY29" s="23">
        <f t="shared" si="51"/>
        <v>5835.8743543939481</v>
      </c>
      <c r="DZ29" s="23">
        <f t="shared" si="51"/>
        <v>5865.0537261659174</v>
      </c>
      <c r="EA29" s="23">
        <f t="shared" si="51"/>
        <v>5894.3789947967462</v>
      </c>
      <c r="EB29" s="23">
        <f t="shared" si="51"/>
        <v>5923.8508897707288</v>
      </c>
      <c r="EC29" s="23">
        <f t="shared" si="51"/>
        <v>5953.4701442195819</v>
      </c>
      <c r="ED29" s="23">
        <f t="shared" si="51"/>
        <v>5983.2374949406794</v>
      </c>
      <c r="EE29" s="23">
        <f t="shared" si="51"/>
        <v>6013.1536824153818</v>
      </c>
      <c r="EF29" s="23">
        <f t="shared" si="51"/>
        <v>6043.2194508274579</v>
      </c>
      <c r="EG29" s="23">
        <f t="shared" si="51"/>
        <v>6073.4355480815948</v>
      </c>
      <c r="EH29" s="23">
        <f t="shared" si="51"/>
        <v>6103.8027258220018</v>
      </c>
      <c r="EI29" s="23">
        <f t="shared" si="51"/>
        <v>6134.3217394511112</v>
      </c>
      <c r="EJ29" s="23">
        <f t="shared" si="51"/>
        <v>6164.9933481483658</v>
      </c>
      <c r="EK29" s="23">
        <f t="shared" si="51"/>
        <v>6195.8183148891067</v>
      </c>
      <c r="EL29" s="23">
        <f t="shared" si="51"/>
        <v>6226.7974064635519</v>
      </c>
      <c r="EM29" s="23">
        <f t="shared" si="51"/>
        <v>6257.9313934958691</v>
      </c>
      <c r="EN29" s="23">
        <f t="shared" si="51"/>
        <v>6289.2210504633476</v>
      </c>
      <c r="EO29" s="23">
        <f t="shared" si="51"/>
        <v>6320.6671557156633</v>
      </c>
      <c r="EP29" s="23">
        <f t="shared" si="51"/>
        <v>6352.2704914942406</v>
      </c>
      <c r="EQ29" s="23">
        <f t="shared" ref="EQ29:FV29" si="52">EP29*($F$2+1)</f>
        <v>6384.0318439517114</v>
      </c>
      <c r="ER29" s="23">
        <f t="shared" si="52"/>
        <v>6415.9520031714692</v>
      </c>
      <c r="ES29" s="23">
        <f t="shared" si="52"/>
        <v>6448.0317631873259</v>
      </c>
      <c r="ET29" s="23">
        <f t="shared" si="52"/>
        <v>6480.2719220032614</v>
      </c>
      <c r="EU29" s="23">
        <f t="shared" si="52"/>
        <v>6512.6732816132771</v>
      </c>
      <c r="EV29" s="23">
        <f t="shared" si="52"/>
        <v>6545.2366480213432</v>
      </c>
      <c r="EW29" s="23">
        <f t="shared" si="52"/>
        <v>6577.9628312614495</v>
      </c>
      <c r="EX29" s="23">
        <f t="shared" si="52"/>
        <v>6610.8526454177563</v>
      </c>
      <c r="EY29" s="23">
        <f t="shared" si="52"/>
        <v>6643.9069086448444</v>
      </c>
      <c r="EZ29" s="23">
        <f t="shared" si="52"/>
        <v>6677.1264431880682</v>
      </c>
      <c r="FA29" s="23">
        <f t="shared" si="52"/>
        <v>6710.5120754040081</v>
      </c>
      <c r="FB29" s="23">
        <f t="shared" si="52"/>
        <v>6744.0646357810274</v>
      </c>
      <c r="FC29" s="23">
        <f t="shared" si="52"/>
        <v>6777.7849589599318</v>
      </c>
      <c r="FD29" s="23">
        <f t="shared" si="52"/>
        <v>6811.6738837547309</v>
      </c>
      <c r="FE29" s="23">
        <f t="shared" si="52"/>
        <v>6845.7322531735035</v>
      </c>
      <c r="FF29" s="23">
        <f t="shared" si="52"/>
        <v>6879.9609144393708</v>
      </c>
      <c r="FG29" s="23">
        <f t="shared" si="52"/>
        <v>6914.3607190115672</v>
      </c>
      <c r="FH29" s="23">
        <f t="shared" si="52"/>
        <v>6948.9325226066239</v>
      </c>
      <c r="FI29" s="23">
        <f t="shared" si="52"/>
        <v>6983.6771852196562</v>
      </c>
      <c r="FJ29" s="23">
        <f t="shared" si="52"/>
        <v>7018.5955711457536</v>
      </c>
      <c r="FK29" s="23">
        <f t="shared" si="52"/>
        <v>7053.688549001482</v>
      </c>
      <c r="FL29" s="23">
        <f t="shared" si="52"/>
        <v>7088.9569917464887</v>
      </c>
      <c r="FM29" s="23">
        <f t="shared" si="52"/>
        <v>7124.4017767052201</v>
      </c>
      <c r="FN29" s="23">
        <f t="shared" si="52"/>
        <v>7160.0237855887453</v>
      </c>
      <c r="FO29" s="23">
        <f t="shared" si="52"/>
        <v>7195.8239045166883</v>
      </c>
      <c r="FP29" s="23">
        <f t="shared" si="52"/>
        <v>7231.8030240392709</v>
      </c>
      <c r="FQ29" s="23">
        <f t="shared" si="52"/>
        <v>7267.9620391594663</v>
      </c>
      <c r="FR29" s="23">
        <f t="shared" si="52"/>
        <v>7304.3018493552627</v>
      </c>
      <c r="FS29" s="23">
        <f t="shared" si="52"/>
        <v>7340.8233586020378</v>
      </c>
      <c r="FT29" s="23">
        <f t="shared" si="52"/>
        <v>7377.5274753950471</v>
      </c>
      <c r="FU29" s="23">
        <f t="shared" si="52"/>
        <v>7414.4151127720215</v>
      </c>
      <c r="FV29" s="23">
        <f t="shared" si="52"/>
        <v>7451.487188335881</v>
      </c>
      <c r="FW29" s="23">
        <f t="shared" ref="FW29:GN29" si="53">FV29*($F$2+1)</f>
        <v>7488.7446242775595</v>
      </c>
      <c r="FX29" s="23">
        <f t="shared" si="53"/>
        <v>7526.1883473989465</v>
      </c>
      <c r="FY29" s="23">
        <f t="shared" si="53"/>
        <v>7563.8192891359404</v>
      </c>
      <c r="FZ29" s="23">
        <f t="shared" si="53"/>
        <v>7601.6383855816193</v>
      </c>
      <c r="GA29" s="23">
        <f t="shared" si="53"/>
        <v>7639.6465775095267</v>
      </c>
      <c r="GB29" s="23">
        <f t="shared" si="53"/>
        <v>7677.8448103970732</v>
      </c>
      <c r="GC29" s="23">
        <f t="shared" si="53"/>
        <v>7716.2340344490576</v>
      </c>
      <c r="GD29" s="23">
        <f t="shared" si="53"/>
        <v>7754.8152046213017</v>
      </c>
      <c r="GE29" s="23">
        <f t="shared" si="53"/>
        <v>7793.5892806444072</v>
      </c>
      <c r="GF29" s="23">
        <f t="shared" si="53"/>
        <v>7832.5572270476287</v>
      </c>
      <c r="GG29" s="23">
        <f t="shared" si="53"/>
        <v>7871.7200131828658</v>
      </c>
      <c r="GH29" s="23">
        <f t="shared" si="53"/>
        <v>7911.0786132487792</v>
      </c>
      <c r="GI29" s="23">
        <f t="shared" si="53"/>
        <v>7950.6340063150219</v>
      </c>
      <c r="GJ29" s="23">
        <f t="shared" si="53"/>
        <v>7990.3871763465959</v>
      </c>
      <c r="GK29" s="23">
        <f t="shared" si="53"/>
        <v>8030.3391122283283</v>
      </c>
      <c r="GL29" s="23">
        <f t="shared" si="53"/>
        <v>8070.4908077894688</v>
      </c>
      <c r="GM29" s="23">
        <f t="shared" si="53"/>
        <v>8110.8432618284151</v>
      </c>
      <c r="GN29" s="23">
        <f t="shared" si="53"/>
        <v>8151.3974781375564</v>
      </c>
    </row>
    <row r="30" spans="1:196" x14ac:dyDescent="0.15">
      <c r="A30" s="2" t="s">
        <v>12</v>
      </c>
      <c r="B30" s="27">
        <f t="shared" ref="B30:C30" si="54">B29/B31</f>
        <v>-2.526226030158667</v>
      </c>
      <c r="C30" s="27">
        <f t="shared" si="54"/>
        <v>-2.3432027936724475</v>
      </c>
      <c r="D30" s="45">
        <f t="shared" ref="D30:E30" si="55">D29/D31</f>
        <v>-3.405741241773363</v>
      </c>
      <c r="E30" s="45">
        <f t="shared" si="55"/>
        <v>-3.4779991339251879</v>
      </c>
      <c r="F30" s="45">
        <f t="shared" ref="F30:N30" si="56">F29/F31</f>
        <v>-3.006441987703746</v>
      </c>
      <c r="G30" s="45">
        <f t="shared" si="56"/>
        <v>-1.5310287121965829</v>
      </c>
      <c r="H30" s="45">
        <f t="shared" si="56"/>
        <v>1.5327661040030978</v>
      </c>
      <c r="I30" s="45">
        <f t="shared" si="56"/>
        <v>3.4217756234939678</v>
      </c>
      <c r="J30" s="45">
        <f t="shared" si="56"/>
        <v>6.000698138753811</v>
      </c>
      <c r="K30" s="45">
        <f t="shared" si="56"/>
        <v>9.4736760139325931</v>
      </c>
      <c r="L30" s="45">
        <f t="shared" si="56"/>
        <v>14.1009699076877</v>
      </c>
      <c r="M30" s="45">
        <f t="shared" si="56"/>
        <v>20.213878735809722</v>
      </c>
      <c r="N30" s="45">
        <f t="shared" si="56"/>
        <v>28.429026809412079</v>
      </c>
      <c r="O30" s="45">
        <f t="shared" ref="O30:R30" si="57">O29/O31</f>
        <v>37.430906459175098</v>
      </c>
      <c r="P30" s="45">
        <f t="shared" si="57"/>
        <v>47.309483303063473</v>
      </c>
      <c r="Q30" s="45">
        <f t="shared" si="57"/>
        <v>58.163613195855753</v>
      </c>
      <c r="R30" s="45">
        <f t="shared" si="57"/>
        <v>70.101958013611892</v>
      </c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</row>
    <row r="31" spans="1:196" s="15" customFormat="1" x14ac:dyDescent="0.15">
      <c r="A31" s="15" t="s">
        <v>13</v>
      </c>
      <c r="B31" s="22">
        <f>Reports!E24</f>
        <v>47.345328000000002</v>
      </c>
      <c r="C31" s="22">
        <f>Reports!I24</f>
        <v>47.856720000000003</v>
      </c>
      <c r="D31" s="22">
        <f t="shared" ref="D31:E31" si="58">C31</f>
        <v>47.856720000000003</v>
      </c>
      <c r="E31" s="22">
        <f t="shared" si="58"/>
        <v>47.856720000000003</v>
      </c>
      <c r="F31" s="22">
        <f t="shared" ref="F31" si="59">E31</f>
        <v>47.856720000000003</v>
      </c>
      <c r="G31" s="22">
        <f t="shared" ref="G31" si="60">F31</f>
        <v>47.856720000000003</v>
      </c>
      <c r="H31" s="22">
        <f t="shared" ref="H31" si="61">G31</f>
        <v>47.856720000000003</v>
      </c>
      <c r="I31" s="22">
        <f t="shared" ref="I31" si="62">H31</f>
        <v>47.856720000000003</v>
      </c>
      <c r="J31" s="22">
        <f t="shared" ref="J31" si="63">I31</f>
        <v>47.856720000000003</v>
      </c>
      <c r="K31" s="22">
        <f t="shared" ref="K31" si="64">J31</f>
        <v>47.856720000000003</v>
      </c>
      <c r="L31" s="22">
        <f t="shared" ref="L31" si="65">K31</f>
        <v>47.856720000000003</v>
      </c>
      <c r="M31" s="22">
        <f t="shared" ref="M31:R31" si="66">L31</f>
        <v>47.856720000000003</v>
      </c>
      <c r="N31" s="22">
        <f t="shared" si="66"/>
        <v>47.856720000000003</v>
      </c>
      <c r="O31" s="22">
        <f t="shared" si="66"/>
        <v>47.856720000000003</v>
      </c>
      <c r="P31" s="22">
        <f t="shared" si="66"/>
        <v>47.856720000000003</v>
      </c>
      <c r="Q31" s="22">
        <f t="shared" si="66"/>
        <v>47.856720000000003</v>
      </c>
      <c r="R31" s="22">
        <f t="shared" si="66"/>
        <v>47.856720000000003</v>
      </c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</row>
    <row r="32" spans="1:196" x14ac:dyDescent="0.1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</row>
    <row r="33" spans="1:113" x14ac:dyDescent="0.15">
      <c r="A33" s="2" t="s">
        <v>15</v>
      </c>
      <c r="B33" s="32">
        <f>IFERROR(B20/B18,0)</f>
        <v>0.20575563515869985</v>
      </c>
      <c r="C33" s="32">
        <f t="shared" ref="C33:N33" si="67">IFERROR(C20/C18,0)</f>
        <v>0.31570787081377261</v>
      </c>
      <c r="D33" s="32">
        <f>IFERROR(D20/D18,0)</f>
        <v>0.31570787081377261</v>
      </c>
      <c r="E33" s="32">
        <f>IFERROR(E20/E18,0)</f>
        <v>0.31570787081377261</v>
      </c>
      <c r="F33" s="32">
        <f t="shared" si="67"/>
        <v>0.31570787081377261</v>
      </c>
      <c r="G33" s="32">
        <f t="shared" si="67"/>
        <v>0.31570787081377261</v>
      </c>
      <c r="H33" s="32">
        <f t="shared" si="67"/>
        <v>0.31570787081377261</v>
      </c>
      <c r="I33" s="32">
        <f t="shared" si="67"/>
        <v>0.31570787081377261</v>
      </c>
      <c r="J33" s="32">
        <f t="shared" si="67"/>
        <v>0.31570787081377261</v>
      </c>
      <c r="K33" s="32">
        <f t="shared" si="67"/>
        <v>0.31570787081377261</v>
      </c>
      <c r="L33" s="32">
        <f t="shared" si="67"/>
        <v>0.31570787081377261</v>
      </c>
      <c r="M33" s="32">
        <f t="shared" si="67"/>
        <v>0.31570787081377261</v>
      </c>
      <c r="N33" s="32">
        <f t="shared" si="67"/>
        <v>0.31570787081377261</v>
      </c>
      <c r="O33" s="32">
        <f t="shared" ref="O33:R33" si="68">IFERROR(O20/O18,0)</f>
        <v>0.31570787081377261</v>
      </c>
      <c r="P33" s="32">
        <f t="shared" si="68"/>
        <v>0.31570787081377261</v>
      </c>
      <c r="Q33" s="32">
        <f t="shared" si="68"/>
        <v>0.31570787081377261</v>
      </c>
      <c r="R33" s="32">
        <f t="shared" si="68"/>
        <v>0.31570787081377261</v>
      </c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</row>
    <row r="34" spans="1:113" x14ac:dyDescent="0.15">
      <c r="A34" s="2" t="s">
        <v>16</v>
      </c>
      <c r="B34" s="34">
        <f>IFERROR(B25/B18,0)</f>
        <v>-0.47889865225236122</v>
      </c>
      <c r="C34" s="34">
        <f t="shared" ref="C34:N34" si="69">IFERROR(C25/C18,0)</f>
        <v>-0.2122317124868508</v>
      </c>
      <c r="D34" s="34">
        <f t="shared" ref="D34" si="70">IFERROR(D25/D18,0)</f>
        <v>-0.22221873959966681</v>
      </c>
      <c r="E34" s="34">
        <f t="shared" si="69"/>
        <v>-0.14612435275681068</v>
      </c>
      <c r="F34" s="34">
        <f t="shared" si="69"/>
        <v>-8.1575533245204987E-2</v>
      </c>
      <c r="G34" s="34">
        <f t="shared" si="69"/>
        <v>-2.6738450680143577E-2</v>
      </c>
      <c r="H34" s="34">
        <f t="shared" si="69"/>
        <v>1.9920827632904731E-2</v>
      </c>
      <c r="I34" s="34">
        <f t="shared" si="69"/>
        <v>3.4933449347355899E-2</v>
      </c>
      <c r="J34" s="34">
        <f t="shared" si="69"/>
        <v>4.8499326828261913E-2</v>
      </c>
      <c r="K34" s="34">
        <f t="shared" si="69"/>
        <v>6.0777878568760706E-2</v>
      </c>
      <c r="L34" s="34">
        <f t="shared" si="69"/>
        <v>7.190996047540904E-2</v>
      </c>
      <c r="M34" s="34">
        <f t="shared" si="69"/>
        <v>8.2020070673268677E-2</v>
      </c>
      <c r="N34" s="34">
        <f t="shared" si="69"/>
        <v>0.10439997445336847</v>
      </c>
      <c r="O34" s="34">
        <f t="shared" ref="O34:R34" si="71">IFERROR(O25/O18,0)</f>
        <v>0.12424001929950237</v>
      </c>
      <c r="P34" s="34">
        <f t="shared" si="71"/>
        <v>0.14185447172810725</v>
      </c>
      <c r="Q34" s="34">
        <f t="shared" si="71"/>
        <v>0.15751716264592475</v>
      </c>
      <c r="R34" s="34">
        <f t="shared" si="71"/>
        <v>0.17146678652830308</v>
      </c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</row>
    <row r="35" spans="1:113" x14ac:dyDescent="0.15">
      <c r="A35" s="2" t="s">
        <v>17</v>
      </c>
      <c r="B35" s="34">
        <f>IFERROR(B28/B27,0)</f>
        <v>0</v>
      </c>
      <c r="C35" s="34">
        <f t="shared" ref="C35:N35" si="72">IFERROR(C28/C27,0)</f>
        <v>0</v>
      </c>
      <c r="D35" s="34">
        <f t="shared" ref="D35" si="73">IFERROR(D28/D27,0)</f>
        <v>0</v>
      </c>
      <c r="E35" s="34">
        <f t="shared" si="72"/>
        <v>0</v>
      </c>
      <c r="F35" s="34">
        <f t="shared" si="72"/>
        <v>0</v>
      </c>
      <c r="G35" s="34">
        <f t="shared" si="72"/>
        <v>0</v>
      </c>
      <c r="H35" s="34">
        <f t="shared" si="72"/>
        <v>0.1</v>
      </c>
      <c r="I35" s="34">
        <f t="shared" si="72"/>
        <v>0.1</v>
      </c>
      <c r="J35" s="34">
        <f t="shared" si="72"/>
        <v>0.1</v>
      </c>
      <c r="K35" s="34">
        <f t="shared" si="72"/>
        <v>0.1</v>
      </c>
      <c r="L35" s="34">
        <f t="shared" si="72"/>
        <v>0.1</v>
      </c>
      <c r="M35" s="34">
        <f t="shared" si="72"/>
        <v>0.1</v>
      </c>
      <c r="N35" s="34">
        <f t="shared" si="72"/>
        <v>0.1</v>
      </c>
      <c r="O35" s="34">
        <f t="shared" ref="O35:R35" si="74">IFERROR(O28/O27,0)</f>
        <v>0.1</v>
      </c>
      <c r="P35" s="34">
        <f t="shared" si="74"/>
        <v>0.1</v>
      </c>
      <c r="Q35" s="34">
        <f t="shared" si="74"/>
        <v>0.1</v>
      </c>
      <c r="R35" s="34">
        <f t="shared" si="74"/>
        <v>0.1</v>
      </c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</row>
    <row r="36" spans="1:113" x14ac:dyDescent="0.15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</row>
    <row r="37" spans="1:113" x14ac:dyDescent="0.15">
      <c r="A37" s="1" t="s">
        <v>14</v>
      </c>
      <c r="B37" s="46"/>
      <c r="C37" s="46">
        <f>C18/B18-1</f>
        <v>0.92735099312697833</v>
      </c>
      <c r="D37" s="46">
        <f t="shared" ref="D37:R37" si="75">D18/C18-1</f>
        <v>0.52250000000000019</v>
      </c>
      <c r="E37" s="46">
        <f>E18/D18-1</f>
        <v>0.52250000000000019</v>
      </c>
      <c r="F37" s="46">
        <f t="shared" si="75"/>
        <v>0.52249999999999974</v>
      </c>
      <c r="G37" s="46">
        <f t="shared" si="75"/>
        <v>0.52250000000000019</v>
      </c>
      <c r="H37" s="46">
        <f t="shared" si="75"/>
        <v>0.52249999999999996</v>
      </c>
      <c r="I37" s="46">
        <f t="shared" si="75"/>
        <v>0.25</v>
      </c>
      <c r="J37" s="46">
        <f t="shared" si="75"/>
        <v>0.25</v>
      </c>
      <c r="K37" s="46">
        <f t="shared" si="75"/>
        <v>0.25</v>
      </c>
      <c r="L37" s="46">
        <f t="shared" si="75"/>
        <v>0.25</v>
      </c>
      <c r="M37" s="46">
        <f t="shared" si="75"/>
        <v>0.25</v>
      </c>
      <c r="N37" s="46">
        <f t="shared" si="75"/>
        <v>0.10000000000000009</v>
      </c>
      <c r="O37" s="46">
        <f t="shared" si="75"/>
        <v>0.10000000000000009</v>
      </c>
      <c r="P37" s="46">
        <f t="shared" si="75"/>
        <v>0.10000000000000009</v>
      </c>
      <c r="Q37" s="46">
        <f t="shared" si="75"/>
        <v>0.10000000000000009</v>
      </c>
      <c r="R37" s="46">
        <f t="shared" si="75"/>
        <v>0.10000000000000009</v>
      </c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</row>
    <row r="38" spans="1:113" x14ac:dyDescent="0.15">
      <c r="A38" s="2" t="s">
        <v>26</v>
      </c>
      <c r="B38" s="34"/>
      <c r="C38" s="34">
        <f t="shared" ref="C38:R38" si="76">C21/B21-1</f>
        <v>0.61842105263157898</v>
      </c>
      <c r="D38" s="34">
        <f t="shared" si="76"/>
        <v>0.3154471544715447</v>
      </c>
      <c r="E38" s="34">
        <f t="shared" si="76"/>
        <v>0.30000000000000004</v>
      </c>
      <c r="F38" s="34">
        <f t="shared" si="76"/>
        <v>0.30000000000000004</v>
      </c>
      <c r="G38" s="34">
        <f t="shared" si="76"/>
        <v>0.30000000000000004</v>
      </c>
      <c r="H38" s="34">
        <f t="shared" si="76"/>
        <v>0.30000000000000004</v>
      </c>
      <c r="I38" s="34">
        <f t="shared" si="76"/>
        <v>0.19999999999999996</v>
      </c>
      <c r="J38" s="34">
        <f t="shared" si="76"/>
        <v>0.19999999999999996</v>
      </c>
      <c r="K38" s="34">
        <f t="shared" si="76"/>
        <v>0.19999999999999996</v>
      </c>
      <c r="L38" s="34">
        <f t="shared" si="76"/>
        <v>0.19999999999999996</v>
      </c>
      <c r="M38" s="34">
        <f t="shared" si="76"/>
        <v>0.19999999999999996</v>
      </c>
      <c r="N38" s="34">
        <f t="shared" si="76"/>
        <v>5.0000000000000044E-2</v>
      </c>
      <c r="O38" s="34">
        <f t="shared" si="76"/>
        <v>5.0000000000000044E-2</v>
      </c>
      <c r="P38" s="34">
        <f t="shared" si="76"/>
        <v>5.0000000000000044E-2</v>
      </c>
      <c r="Q38" s="34">
        <f t="shared" si="76"/>
        <v>5.0000000000000044E-2</v>
      </c>
      <c r="R38" s="34">
        <f t="shared" si="76"/>
        <v>5.0000000000000044E-2</v>
      </c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</row>
    <row r="39" spans="1:113" x14ac:dyDescent="0.15">
      <c r="A39" s="2" t="s">
        <v>27</v>
      </c>
      <c r="B39" s="34"/>
      <c r="C39" s="34">
        <f t="shared" ref="C39:R39" si="77">C22/B22-1</f>
        <v>0.5625</v>
      </c>
      <c r="D39" s="34">
        <f t="shared" si="77"/>
        <v>3.2</v>
      </c>
      <c r="E39" s="34">
        <f t="shared" si="77"/>
        <v>0.39999999999999991</v>
      </c>
      <c r="F39" s="34">
        <f t="shared" si="77"/>
        <v>0.39999999999999991</v>
      </c>
      <c r="G39" s="34">
        <f t="shared" si="77"/>
        <v>0.39999999999999991</v>
      </c>
      <c r="H39" s="34">
        <f t="shared" si="77"/>
        <v>0.39999999999999991</v>
      </c>
      <c r="I39" s="34">
        <f t="shared" si="77"/>
        <v>0.25</v>
      </c>
      <c r="J39" s="34">
        <f t="shared" si="77"/>
        <v>0.25</v>
      </c>
      <c r="K39" s="34">
        <f t="shared" si="77"/>
        <v>0.25</v>
      </c>
      <c r="L39" s="34">
        <f t="shared" si="77"/>
        <v>0.25</v>
      </c>
      <c r="M39" s="34">
        <f t="shared" si="77"/>
        <v>0.25</v>
      </c>
      <c r="N39" s="34">
        <f t="shared" si="77"/>
        <v>-5.0000000000000044E-2</v>
      </c>
      <c r="O39" s="34">
        <f t="shared" si="77"/>
        <v>-5.0000000000000044E-2</v>
      </c>
      <c r="P39" s="34">
        <f t="shared" si="77"/>
        <v>-5.0000000000000044E-2</v>
      </c>
      <c r="Q39" s="34">
        <f t="shared" si="77"/>
        <v>-5.0000000000000044E-2</v>
      </c>
      <c r="R39" s="34">
        <f t="shared" si="77"/>
        <v>-5.0000000000000044E-2</v>
      </c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</row>
    <row r="40" spans="1:113" x14ac:dyDescent="0.15">
      <c r="A40" s="2" t="s">
        <v>28</v>
      </c>
      <c r="B40" s="34"/>
      <c r="C40" s="34">
        <f t="shared" ref="C40:R40" si="78">C23/B23-1</f>
        <v>0.3595505617977528</v>
      </c>
      <c r="D40" s="34">
        <f t="shared" si="78"/>
        <v>0.24380165289256195</v>
      </c>
      <c r="E40" s="34">
        <f t="shared" si="78"/>
        <v>0.25</v>
      </c>
      <c r="F40" s="34">
        <f t="shared" si="78"/>
        <v>0.25</v>
      </c>
      <c r="G40" s="34">
        <f t="shared" si="78"/>
        <v>0.25</v>
      </c>
      <c r="H40" s="34">
        <f t="shared" si="78"/>
        <v>0.25</v>
      </c>
      <c r="I40" s="34">
        <f t="shared" si="78"/>
        <v>0.10000000000000009</v>
      </c>
      <c r="J40" s="34">
        <f t="shared" si="78"/>
        <v>0.10000000000000009</v>
      </c>
      <c r="K40" s="34">
        <f t="shared" si="78"/>
        <v>0.10000000000000009</v>
      </c>
      <c r="L40" s="34">
        <f t="shared" si="78"/>
        <v>0.10000000000000009</v>
      </c>
      <c r="M40" s="34">
        <f t="shared" si="78"/>
        <v>0.10000000000000009</v>
      </c>
      <c r="N40" s="34">
        <f t="shared" si="78"/>
        <v>-2.0000000000000129E-2</v>
      </c>
      <c r="O40" s="34">
        <f t="shared" si="78"/>
        <v>-1.9999999999999907E-2</v>
      </c>
      <c r="P40" s="34">
        <f t="shared" si="78"/>
        <v>-2.0000000000000018E-2</v>
      </c>
      <c r="Q40" s="34">
        <f t="shared" si="78"/>
        <v>-2.0000000000000018E-2</v>
      </c>
      <c r="R40" s="34">
        <f t="shared" si="78"/>
        <v>-2.0000000000000018E-2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</row>
    <row r="41" spans="1:113" x14ac:dyDescent="0.15">
      <c r="A41" s="5" t="s">
        <v>52</v>
      </c>
      <c r="B41" s="42"/>
      <c r="C41" s="42">
        <f t="shared" ref="C41:R41" si="79">C24/B24-1</f>
        <v>0.48618784530386749</v>
      </c>
      <c r="D41" s="42">
        <f t="shared" si="79"/>
        <v>0.55130111524163583</v>
      </c>
      <c r="E41" s="42">
        <f t="shared" si="79"/>
        <v>0.3071291636712199</v>
      </c>
      <c r="F41" s="42">
        <f t="shared" si="79"/>
        <v>0.30970502232040564</v>
      </c>
      <c r="G41" s="42">
        <f t="shared" si="79"/>
        <v>0.31234911689663303</v>
      </c>
      <c r="H41" s="42">
        <f t="shared" si="79"/>
        <v>0.31505507572190972</v>
      </c>
      <c r="I41" s="42">
        <f>I24/H24-1</f>
        <v>0.1865564598730951</v>
      </c>
      <c r="J41" s="42">
        <f t="shared" si="79"/>
        <v>0.18960508666505871</v>
      </c>
      <c r="K41" s="42">
        <f t="shared" si="79"/>
        <v>0.19256100704453605</v>
      </c>
      <c r="L41" s="42">
        <f t="shared" si="79"/>
        <v>0.19541598553874073</v>
      </c>
      <c r="M41" s="42">
        <f t="shared" si="79"/>
        <v>0.19816346977796107</v>
      </c>
      <c r="N41" s="42">
        <f t="shared" si="79"/>
        <v>-5.3452261663141654E-3</v>
      </c>
      <c r="O41" s="42">
        <f t="shared" si="79"/>
        <v>-3.2808035414088055E-3</v>
      </c>
      <c r="P41" s="42">
        <f t="shared" si="79"/>
        <v>-1.1966109100108868E-3</v>
      </c>
      <c r="Q41" s="42">
        <f t="shared" si="79"/>
        <v>8.9949290488289257E-4</v>
      </c>
      <c r="R41" s="42">
        <f t="shared" si="79"/>
        <v>2.9994463749738465E-3</v>
      </c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</row>
    <row r="42" spans="1:113" x14ac:dyDescent="0.15"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</row>
    <row r="43" spans="1:113" x14ac:dyDescent="0.15">
      <c r="A43" s="1" t="s">
        <v>18</v>
      </c>
      <c r="B43" s="42"/>
      <c r="C43" s="23">
        <f t="shared" ref="C43" si="80">C44-C45</f>
        <v>470</v>
      </c>
      <c r="D43" s="47">
        <f>C43+D29</f>
        <v>307.01239499999986</v>
      </c>
      <c r="E43" s="47">
        <f>D43+E29</f>
        <v>140.56676428749964</v>
      </c>
      <c r="F43" s="47">
        <f t="shared" ref="F43:R43" si="81">E43+F29</f>
        <v>-3.3116881142819921</v>
      </c>
      <c r="G43" s="47">
        <f t="shared" si="81"/>
        <v>-76.581700505834448</v>
      </c>
      <c r="H43" s="47">
        <f t="shared" si="81"/>
        <v>-3.2285422410673164</v>
      </c>
      <c r="I43" s="47">
        <f t="shared" si="81"/>
        <v>160.52641567530893</v>
      </c>
      <c r="J43" s="47">
        <f t="shared" si="81"/>
        <v>447.70014630617118</v>
      </c>
      <c r="K43" s="47">
        <f t="shared" si="81"/>
        <v>901.07920667565941</v>
      </c>
      <c r="L43" s="47">
        <f t="shared" si="81"/>
        <v>1575.9053752762957</v>
      </c>
      <c r="M43" s="47">
        <f t="shared" si="81"/>
        <v>2543.2753100498958</v>
      </c>
      <c r="N43" s="47">
        <f t="shared" si="81"/>
        <v>3903.7952859404231</v>
      </c>
      <c r="O43" s="47">
        <f t="shared" si="81"/>
        <v>5695.1156957033572</v>
      </c>
      <c r="P43" s="47">
        <f t="shared" si="81"/>
        <v>7959.1923914827412</v>
      </c>
      <c r="Q43" s="47">
        <f t="shared" si="81"/>
        <v>10742.712142385115</v>
      </c>
      <c r="R43" s="47">
        <f t="shared" si="81"/>
        <v>14097.561918494295</v>
      </c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</row>
    <row r="44" spans="1:113" x14ac:dyDescent="0.15">
      <c r="A44" s="2" t="s">
        <v>19</v>
      </c>
      <c r="B44" s="42"/>
      <c r="C44" s="48">
        <f>Reports!I37</f>
        <v>1362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</row>
    <row r="45" spans="1:113" x14ac:dyDescent="0.15">
      <c r="A45" s="2" t="s">
        <v>20</v>
      </c>
      <c r="B45" s="42"/>
      <c r="C45" s="48">
        <f>Reports!I38</f>
        <v>892</v>
      </c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</row>
    <row r="46" spans="1:113" x14ac:dyDescent="0.15">
      <c r="B46" s="42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</row>
    <row r="47" spans="1:113" x14ac:dyDescent="0.15">
      <c r="A47" s="2" t="s">
        <v>40</v>
      </c>
      <c r="B47" s="42"/>
      <c r="C47" s="48">
        <f>Reports!I40</f>
        <v>0</v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</row>
    <row r="48" spans="1:113" x14ac:dyDescent="0.15">
      <c r="A48" s="2" t="s">
        <v>41</v>
      </c>
      <c r="B48" s="42"/>
      <c r="C48" s="48">
        <f>Reports!I41</f>
        <v>1402</v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</row>
    <row r="49" spans="1:113" x14ac:dyDescent="0.15">
      <c r="A49" s="2" t="s">
        <v>42</v>
      </c>
      <c r="B49" s="42"/>
      <c r="C49" s="48">
        <f>Reports!I42</f>
        <v>1769</v>
      </c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</row>
    <row r="50" spans="1:113" x14ac:dyDescent="0.15">
      <c r="B50" s="42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  <c r="CX50" s="37"/>
      <c r="CY50" s="37"/>
      <c r="CZ50" s="37"/>
      <c r="DA50" s="37"/>
      <c r="DB50" s="37"/>
      <c r="DC50" s="37"/>
      <c r="DD50" s="37"/>
      <c r="DE50" s="37"/>
      <c r="DF50" s="37"/>
      <c r="DG50" s="37"/>
      <c r="DH50" s="37"/>
      <c r="DI50" s="37"/>
    </row>
    <row r="51" spans="1:113" x14ac:dyDescent="0.15">
      <c r="A51" s="2" t="s">
        <v>43</v>
      </c>
      <c r="B51" s="42"/>
      <c r="C51" s="51">
        <f t="shared" ref="C51" si="82">C48-C47-C44</f>
        <v>40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</row>
    <row r="52" spans="1:113" x14ac:dyDescent="0.15">
      <c r="A52" s="2" t="s">
        <v>44</v>
      </c>
      <c r="B52" s="42"/>
      <c r="C52" s="51">
        <f t="shared" ref="C52" si="83">C48-C49</f>
        <v>-367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</row>
    <row r="53" spans="1:113" x14ac:dyDescent="0.15">
      <c r="B53" s="42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</row>
    <row r="54" spans="1:113" x14ac:dyDescent="0.15">
      <c r="A54" s="17" t="s">
        <v>46</v>
      </c>
      <c r="B54" s="42"/>
      <c r="C54" s="52">
        <f t="shared" ref="C54" si="84">C29/C52</f>
        <v>0.30555313351498664</v>
      </c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</row>
    <row r="55" spans="1:113" x14ac:dyDescent="0.15">
      <c r="A55" s="17" t="s">
        <v>47</v>
      </c>
      <c r="B55" s="42"/>
      <c r="C55" s="52">
        <f t="shared" ref="C55" si="85">C29/C48</f>
        <v>-7.9984308131241147E-2</v>
      </c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</row>
    <row r="56" spans="1:113" x14ac:dyDescent="0.15">
      <c r="A56" s="17" t="s">
        <v>48</v>
      </c>
      <c r="B56" s="42"/>
      <c r="C56" s="52">
        <f t="shared" ref="C56" si="86">C29/(C52-C47)</f>
        <v>0.30555313351498664</v>
      </c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</row>
    <row r="57" spans="1:113" x14ac:dyDescent="0.15">
      <c r="A57" s="17" t="s">
        <v>49</v>
      </c>
      <c r="B57" s="42"/>
      <c r="C57" s="52">
        <f t="shared" ref="C57" si="87">C29/C51</f>
        <v>-2.8034500000000024</v>
      </c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</row>
    <row r="58" spans="1:113" x14ac:dyDescent="0.15">
      <c r="B58" s="42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</row>
    <row r="59" spans="1:113" s="18" customFormat="1" x14ac:dyDescent="0.15">
      <c r="A59" s="66" t="s">
        <v>75</v>
      </c>
      <c r="B59" s="42"/>
      <c r="C59" s="18">
        <f>C10/B10-1</f>
        <v>0.93975657850003369</v>
      </c>
    </row>
    <row r="60" spans="1:113" s="18" customFormat="1" x14ac:dyDescent="0.15">
      <c r="A60" s="66" t="s">
        <v>76</v>
      </c>
      <c r="B60" s="42"/>
      <c r="C60" s="18">
        <f>C11/B11-1</f>
        <v>1.4446972569839458</v>
      </c>
    </row>
    <row r="61" spans="1:113" s="18" customFormat="1" x14ac:dyDescent="0.15">
      <c r="A61" s="66" t="s">
        <v>77</v>
      </c>
      <c r="B61" s="42"/>
      <c r="C61" s="18">
        <f>C12/B12-1</f>
        <v>0.56385045727111316</v>
      </c>
    </row>
    <row r="62" spans="1:113" s="18" customFormat="1" x14ac:dyDescent="0.15">
      <c r="A62" s="66" t="s">
        <v>78</v>
      </c>
      <c r="B62" s="42"/>
      <c r="C62" s="18">
        <f>C13/B13-1</f>
        <v>8.9607592237150762</v>
      </c>
    </row>
    <row r="63" spans="1:113" s="18" customFormat="1" x14ac:dyDescent="0.15">
      <c r="A63" s="66"/>
      <c r="B63" s="42"/>
    </row>
    <row r="64" spans="1:113" x14ac:dyDescent="0.15">
      <c r="A64" s="72" t="s">
        <v>81</v>
      </c>
      <c r="B64" s="42"/>
      <c r="C64" s="18">
        <f>C15/B15-1</f>
        <v>0.76919315403422983</v>
      </c>
      <c r="D64" s="18">
        <f t="shared" ref="D64:H64" si="88">D15/C15-1</f>
        <v>0.44999999999999996</v>
      </c>
      <c r="E64" s="18">
        <f t="shared" si="88"/>
        <v>0.44999999999999996</v>
      </c>
      <c r="F64" s="18">
        <f t="shared" si="88"/>
        <v>0.44999999999999996</v>
      </c>
      <c r="G64" s="18">
        <f t="shared" si="88"/>
        <v>0.44999999999999996</v>
      </c>
      <c r="H64" s="18">
        <f t="shared" si="88"/>
        <v>0.44999999999999996</v>
      </c>
    </row>
    <row r="65" spans="1:8" x14ac:dyDescent="0.15">
      <c r="A65" s="66" t="s">
        <v>65</v>
      </c>
      <c r="C65" s="18">
        <f>C16/B16-1</f>
        <v>8.9395461842087132E-2</v>
      </c>
      <c r="D65" s="18">
        <f t="shared" ref="D65:H65" si="89">D16/C16-1</f>
        <v>5.0000000000000044E-2</v>
      </c>
      <c r="E65" s="18">
        <f t="shared" si="89"/>
        <v>5.0000000000000044E-2</v>
      </c>
      <c r="F65" s="18">
        <f t="shared" si="89"/>
        <v>5.0000000000000044E-2</v>
      </c>
      <c r="G65" s="18">
        <f t="shared" si="89"/>
        <v>5.0000000000000044E-2</v>
      </c>
      <c r="H65" s="18">
        <f t="shared" si="89"/>
        <v>5.0000000000000044E-2</v>
      </c>
    </row>
    <row r="66" spans="1:8" s="83" customFormat="1" x14ac:dyDescent="0.15">
      <c r="A66" s="82"/>
      <c r="D66" s="83">
        <v>7250</v>
      </c>
      <c r="H66" s="83" t="s">
        <v>87</v>
      </c>
    </row>
    <row r="67" spans="1:8" s="15" customFormat="1" x14ac:dyDescent="0.15">
      <c r="A67" s="62" t="s">
        <v>66</v>
      </c>
      <c r="B67" s="15">
        <v>2620.0590000000002</v>
      </c>
      <c r="C67" s="15">
        <v>4637.22</v>
      </c>
      <c r="D67" s="15">
        <f>SUM(Reports!J61:M61)</f>
        <v>7345.7389999999996</v>
      </c>
      <c r="E67" s="15">
        <f>D67*1.5</f>
        <v>11018.608499999998</v>
      </c>
      <c r="F67" s="15">
        <f>E67*1.45</f>
        <v>15976.982324999997</v>
      </c>
      <c r="G67" s="15">
        <f>F67*1.4</f>
        <v>22367.775254999993</v>
      </c>
      <c r="H67" s="15">
        <f>G67*1.35</f>
        <v>30196.496594249991</v>
      </c>
    </row>
    <row r="68" spans="1:8" s="18" customFormat="1" x14ac:dyDescent="0.15">
      <c r="A68" s="72" t="s">
        <v>67</v>
      </c>
      <c r="C68" s="18">
        <f>C67/B67-1</f>
        <v>0.76989144137593835</v>
      </c>
      <c r="D68" s="18">
        <f>D67/C67-1</f>
        <v>0.58408248907750737</v>
      </c>
      <c r="E68" s="18">
        <f t="shared" ref="E68:H68" si="90">E67/D67-1</f>
        <v>0.49999999999999978</v>
      </c>
      <c r="F68" s="18">
        <f t="shared" si="90"/>
        <v>0.44999999999999996</v>
      </c>
      <c r="G68" s="18">
        <f t="shared" si="90"/>
        <v>0.39999999999999991</v>
      </c>
      <c r="H68" s="18">
        <f t="shared" si="90"/>
        <v>0.35000000000000009</v>
      </c>
    </row>
    <row r="69" spans="1:8" x14ac:dyDescent="0.15">
      <c r="A69" s="66"/>
    </row>
    <row r="70" spans="1:8" s="18" customFormat="1" x14ac:dyDescent="0.15">
      <c r="A70" s="72" t="s">
        <v>68</v>
      </c>
      <c r="B70" s="18">
        <f>B18/B67</f>
        <v>0.10090116291274356</v>
      </c>
      <c r="C70" s="18">
        <f>C18/C67</f>
        <v>0.10987790098377904</v>
      </c>
      <c r="D70" s="18">
        <f>D18/D67</f>
        <v>0.10560630863688458</v>
      </c>
      <c r="E70" s="18">
        <f>E18/E67</f>
        <v>0.10719040326643788</v>
      </c>
      <c r="F70" s="18">
        <f t="shared" ref="E70:H70" si="91">F18/F67</f>
        <v>0.11254992342975977</v>
      </c>
      <c r="G70" s="18">
        <f t="shared" si="91"/>
        <v>0.12239804172986377</v>
      </c>
      <c r="H70" s="18">
        <f t="shared" si="91"/>
        <v>0.13803779150645748</v>
      </c>
    </row>
  </sheetData>
  <hyperlinks>
    <hyperlink ref="A1" r:id="rId1" xr:uid="{00000000-0004-0000-0000-000000000000}"/>
    <hyperlink ref="L4" r:id="rId2" xr:uid="{CBCA994A-BC74-CB48-8009-AD2DE8254A02}"/>
    <hyperlink ref="A4" r:id="rId3" xr:uid="{7B50C906-7A52-D74B-9F00-5A27BBA2C66B}"/>
    <hyperlink ref="A7" r:id="rId4" xr:uid="{529FA410-FA0A-144A-9AD8-38112F91A9FA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"/>
  <sheetViews>
    <sheetView zoomScale="125" zoomScaleNormal="125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M55" sqref="M55"/>
    </sheetView>
  </sheetViews>
  <sheetFormatPr baseColWidth="10" defaultRowHeight="13" x14ac:dyDescent="0.15"/>
  <cols>
    <col min="1" max="1" width="19.83203125" style="66" bestFit="1" customWidth="1"/>
    <col min="2" max="2" width="10.83203125" style="20"/>
    <col min="3" max="5" width="10.83203125" style="19"/>
    <col min="6" max="6" width="10.83203125" style="20"/>
    <col min="7" max="9" width="10.83203125" style="19"/>
    <col min="10" max="10" width="10.83203125" style="20"/>
    <col min="11" max="13" width="10.83203125" style="19"/>
    <col min="14" max="16384" width="10.83203125" style="5"/>
  </cols>
  <sheetData>
    <row r="1" spans="1:13" s="19" customFormat="1" x14ac:dyDescent="0.15">
      <c r="A1" s="71" t="s">
        <v>29</v>
      </c>
      <c r="B1" s="21" t="s">
        <v>36</v>
      </c>
      <c r="C1" s="22" t="s">
        <v>37</v>
      </c>
      <c r="D1" s="22" t="s">
        <v>38</v>
      </c>
      <c r="E1" s="22" t="s">
        <v>39</v>
      </c>
      <c r="F1" s="21" t="s">
        <v>53</v>
      </c>
      <c r="G1" s="22" t="s">
        <v>58</v>
      </c>
      <c r="H1" s="22" t="s">
        <v>59</v>
      </c>
      <c r="I1" s="22" t="s">
        <v>54</v>
      </c>
      <c r="J1" s="20" t="s">
        <v>61</v>
      </c>
      <c r="K1" s="19" t="s">
        <v>62</v>
      </c>
      <c r="L1" s="19" t="s">
        <v>63</v>
      </c>
      <c r="M1" s="19" t="s">
        <v>64</v>
      </c>
    </row>
    <row r="2" spans="1:13" s="19" customFormat="1" x14ac:dyDescent="0.15">
      <c r="A2" s="61"/>
      <c r="B2" s="55">
        <v>43373</v>
      </c>
      <c r="C2" s="54">
        <v>43465</v>
      </c>
      <c r="D2" s="54">
        <v>43555</v>
      </c>
      <c r="E2" s="54">
        <v>43646</v>
      </c>
      <c r="F2" s="55">
        <v>43738</v>
      </c>
      <c r="G2" s="54">
        <v>43830</v>
      </c>
      <c r="H2" s="54">
        <v>43921</v>
      </c>
      <c r="I2" s="54">
        <v>44012</v>
      </c>
      <c r="J2" s="55">
        <v>44104</v>
      </c>
      <c r="K2" s="54">
        <v>44196</v>
      </c>
      <c r="L2" s="54"/>
      <c r="M2" s="54"/>
    </row>
    <row r="3" spans="1:13" s="7" customFormat="1" x14ac:dyDescent="0.15">
      <c r="A3" s="62" t="s">
        <v>71</v>
      </c>
      <c r="B3" s="21">
        <v>23.266999999999999</v>
      </c>
      <c r="C3" s="22">
        <v>39.856999999999999</v>
      </c>
      <c r="D3" s="22">
        <v>36.256</v>
      </c>
      <c r="E3" s="22">
        <v>32.982999999999997</v>
      </c>
      <c r="F3" s="21">
        <v>36.389000000000003</v>
      </c>
      <c r="G3" s="22">
        <v>67.763999999999996</v>
      </c>
      <c r="H3" s="22">
        <v>67.349999999999994</v>
      </c>
      <c r="I3" s="22">
        <v>85.248999999999995</v>
      </c>
      <c r="J3" s="21">
        <v>93.265000000000001</v>
      </c>
      <c r="K3" s="22">
        <v>99.63</v>
      </c>
      <c r="L3" s="22"/>
      <c r="M3" s="22"/>
    </row>
    <row r="4" spans="1:13" s="7" customFormat="1" x14ac:dyDescent="0.15">
      <c r="A4" s="62" t="s">
        <v>72</v>
      </c>
      <c r="B4" s="21">
        <v>1.454</v>
      </c>
      <c r="C4" s="22">
        <v>1.5960000000000001</v>
      </c>
      <c r="D4" s="22">
        <v>1.9430000000000001</v>
      </c>
      <c r="E4" s="22">
        <v>2.9180000000000001</v>
      </c>
      <c r="F4" s="21">
        <v>3.601</v>
      </c>
      <c r="G4" s="22">
        <v>7.11</v>
      </c>
      <c r="H4" s="22">
        <v>5.93</v>
      </c>
      <c r="I4" s="22">
        <v>2.6989999999999998</v>
      </c>
      <c r="J4" s="21">
        <v>5.9580000000000002</v>
      </c>
      <c r="K4" s="22">
        <v>10.82</v>
      </c>
      <c r="L4" s="22"/>
      <c r="M4" s="22"/>
    </row>
    <row r="5" spans="1:13" s="7" customFormat="1" x14ac:dyDescent="0.15">
      <c r="A5" s="62" t="s">
        <v>73</v>
      </c>
      <c r="B5" s="21">
        <v>24.428000000000001</v>
      </c>
      <c r="C5" s="22">
        <v>27.41</v>
      </c>
      <c r="D5" s="22">
        <v>31.966000000000001</v>
      </c>
      <c r="E5" s="22">
        <v>35.6</v>
      </c>
      <c r="F5" s="21">
        <v>40.167999999999999</v>
      </c>
      <c r="G5" s="22">
        <v>45.073</v>
      </c>
      <c r="H5" s="22">
        <v>52.372</v>
      </c>
      <c r="I5" s="22">
        <v>49.116999999999997</v>
      </c>
      <c r="J5" s="21">
        <v>54.237000000000002</v>
      </c>
      <c r="K5" s="22">
        <v>73.856999999999999</v>
      </c>
      <c r="L5" s="22"/>
      <c r="M5" s="22"/>
    </row>
    <row r="6" spans="1:13" s="7" customFormat="1" x14ac:dyDescent="0.15">
      <c r="A6" s="62" t="s">
        <v>74</v>
      </c>
      <c r="B6" s="21">
        <f>2.094+0.74</f>
        <v>2.8339999999999996</v>
      </c>
      <c r="C6" s="22">
        <f>-0.191+0.98</f>
        <v>0.78899999999999992</v>
      </c>
      <c r="D6" s="22">
        <f>1.493+1.468</f>
        <v>2.9610000000000003</v>
      </c>
      <c r="E6" s="22">
        <f>-3.836+1.941</f>
        <v>-1.8949999999999998</v>
      </c>
      <c r="F6" s="21">
        <f>5.725+2.064</f>
        <v>7.7889999999999997</v>
      </c>
      <c r="G6" s="22">
        <f>4.738+5.291</f>
        <v>10.029</v>
      </c>
      <c r="H6" s="22">
        <f>9.866+2.755</f>
        <v>12.620999999999999</v>
      </c>
      <c r="I6" s="22">
        <f>11.578+4.689</f>
        <v>16.266999999999999</v>
      </c>
      <c r="J6" s="21">
        <f>16.434+4.084</f>
        <v>20.518000000000001</v>
      </c>
      <c r="K6" s="22">
        <f>14.56+5.174</f>
        <v>19.734000000000002</v>
      </c>
      <c r="L6" s="22"/>
      <c r="M6" s="22"/>
    </row>
    <row r="7" spans="1:13" s="7" customFormat="1" x14ac:dyDescent="0.15">
      <c r="A7" s="62"/>
      <c r="B7" s="21"/>
      <c r="C7" s="22"/>
      <c r="D7" s="22"/>
      <c r="E7" s="22"/>
      <c r="F7" s="21"/>
      <c r="G7" s="22"/>
      <c r="H7" s="22"/>
      <c r="I7" s="22"/>
      <c r="J7" s="21"/>
      <c r="K7" s="22"/>
      <c r="L7" s="22"/>
      <c r="M7" s="22"/>
    </row>
    <row r="8" spans="1:13" s="79" customFormat="1" x14ac:dyDescent="0.15">
      <c r="A8" s="76" t="s">
        <v>79</v>
      </c>
      <c r="B8" s="78"/>
      <c r="C8" s="77"/>
      <c r="D8" s="77"/>
      <c r="E8" s="77">
        <v>2.0449999999999999</v>
      </c>
      <c r="F8" s="78">
        <v>2.383</v>
      </c>
      <c r="G8" s="77">
        <v>3</v>
      </c>
      <c r="I8" s="77">
        <v>3.6179999999999999</v>
      </c>
      <c r="J8" s="78">
        <v>3.8820000000000001</v>
      </c>
      <c r="K8" s="77">
        <v>4.5</v>
      </c>
      <c r="L8" s="77"/>
      <c r="M8" s="77"/>
    </row>
    <row r="9" spans="1:13" s="7" customFormat="1" x14ac:dyDescent="0.15">
      <c r="A9" s="62" t="s">
        <v>80</v>
      </c>
      <c r="B9" s="21"/>
      <c r="C9" s="22"/>
      <c r="D9" s="22"/>
      <c r="E9" s="25">
        <f>SUM(E3:E6)/E8</f>
        <v>34.037163814180936</v>
      </c>
      <c r="F9" s="26">
        <f>SUM(F3:F6)/F8</f>
        <v>36.906000839278221</v>
      </c>
      <c r="G9" s="25">
        <f>SUM(G3:G6)/G8</f>
        <v>43.325333333333333</v>
      </c>
      <c r="I9" s="25">
        <f>SUM(I3:I6)/I8</f>
        <v>42.380320619126586</v>
      </c>
      <c r="J9" s="26">
        <f>SUM(J3:J6)/J8</f>
        <v>44.816589386913961</v>
      </c>
      <c r="K9" s="25">
        <f>SUM(K3:K6)/K8</f>
        <v>45.342444444444446</v>
      </c>
      <c r="L9" s="22"/>
      <c r="M9" s="22"/>
    </row>
    <row r="10" spans="1:13" s="22" customFormat="1" x14ac:dyDescent="0.15">
      <c r="A10" s="62"/>
      <c r="B10" s="21"/>
      <c r="F10" s="21"/>
      <c r="J10" s="21"/>
      <c r="L10" s="22">
        <v>185</v>
      </c>
    </row>
    <row r="11" spans="1:13" s="16" customFormat="1" x14ac:dyDescent="0.15">
      <c r="A11" s="63" t="s">
        <v>0</v>
      </c>
      <c r="B11" s="24">
        <f>SUM(B3:B6)</f>
        <v>51.983000000000004</v>
      </c>
      <c r="C11" s="23">
        <f>SUM(C3:C6)</f>
        <v>69.652000000000001</v>
      </c>
      <c r="D11" s="23">
        <f>SUM(D3:D6)</f>
        <v>73.125999999999991</v>
      </c>
      <c r="E11" s="23">
        <f>E8*E9</f>
        <v>69.606000000000009</v>
      </c>
      <c r="F11" s="24">
        <f>F9*F8</f>
        <v>87.947000000000003</v>
      </c>
      <c r="G11" s="23">
        <f>G9*G8</f>
        <v>129.976</v>
      </c>
      <c r="H11" s="23">
        <f>SUM(H3:H6)</f>
        <v>138.273</v>
      </c>
      <c r="I11" s="23">
        <f>I8*I9</f>
        <v>153.33199999999999</v>
      </c>
      <c r="J11" s="24">
        <f>J9*J8</f>
        <v>173.97800000000001</v>
      </c>
      <c r="K11" s="23">
        <f>K9*K8</f>
        <v>204.041</v>
      </c>
      <c r="L11" s="44">
        <v>185</v>
      </c>
      <c r="M11" s="44">
        <f>760-L11-K11-J11</f>
        <v>196.98099999999999</v>
      </c>
    </row>
    <row r="12" spans="1:13" s="7" customFormat="1" x14ac:dyDescent="0.15">
      <c r="A12" s="62" t="s">
        <v>1</v>
      </c>
      <c r="B12" s="21">
        <f>11.975+19.805+4.766+6.758</f>
        <v>43.304000000000002</v>
      </c>
      <c r="C12" s="22">
        <f>22.646+24.872+6.127+8.778</f>
        <v>62.423000000000002</v>
      </c>
      <c r="D12" s="22">
        <f>20.576+16.508+7.342+8.315</f>
        <v>52.741</v>
      </c>
      <c r="E12" s="22">
        <f>18.186+16.84+7.66+8.818</f>
        <v>51.503999999999991</v>
      </c>
      <c r="F12" s="21">
        <f>19.961+24.844+8.128+9.695</f>
        <v>62.628</v>
      </c>
      <c r="G12" s="22">
        <f>42.661+30.178+8.167+11.652</f>
        <v>92.658000000000001</v>
      </c>
      <c r="H12" s="48">
        <f>43.519+82.216+8.204+13.678</f>
        <v>147.61699999999999</v>
      </c>
      <c r="I12" s="48">
        <f>55.311-32.171+7.817+14.806</f>
        <v>45.762999999999998</v>
      </c>
      <c r="J12" s="21">
        <f>65.868+40.267+10.352+13.498</f>
        <v>129.98499999999999</v>
      </c>
      <c r="K12" s="22">
        <f>67.768+17.468+12.06+16.802</f>
        <v>114.09800000000001</v>
      </c>
      <c r="L12" s="22"/>
      <c r="M12" s="22"/>
    </row>
    <row r="13" spans="1:13" s="7" customFormat="1" x14ac:dyDescent="0.15">
      <c r="A13" s="62" t="s">
        <v>2</v>
      </c>
      <c r="B13" s="26">
        <f>B11-B12</f>
        <v>8.679000000000002</v>
      </c>
      <c r="C13" s="25">
        <f>C11-C12</f>
        <v>7.2289999999999992</v>
      </c>
      <c r="D13" s="25">
        <f t="shared" ref="D13:F13" si="0">D11-D12</f>
        <v>20.384999999999991</v>
      </c>
      <c r="E13" s="25">
        <f t="shared" si="0"/>
        <v>18.102000000000018</v>
      </c>
      <c r="F13" s="26">
        <f t="shared" si="0"/>
        <v>25.319000000000003</v>
      </c>
      <c r="G13" s="25">
        <f t="shared" ref="G13:K13" si="1">G11-G12</f>
        <v>37.317999999999998</v>
      </c>
      <c r="H13" s="25">
        <f t="shared" si="1"/>
        <v>-9.3439999999999941</v>
      </c>
      <c r="I13" s="25">
        <f t="shared" si="1"/>
        <v>107.56899999999999</v>
      </c>
      <c r="J13" s="26">
        <f t="shared" ref="J13" si="2">J11-J12</f>
        <v>43.993000000000023</v>
      </c>
      <c r="K13" s="25">
        <f t="shared" si="1"/>
        <v>89.942999999999984</v>
      </c>
      <c r="L13" s="22"/>
      <c r="M13" s="22"/>
    </row>
    <row r="14" spans="1:13" s="7" customFormat="1" x14ac:dyDescent="0.15">
      <c r="A14" s="62" t="s">
        <v>3</v>
      </c>
      <c r="B14" s="21">
        <v>16</v>
      </c>
      <c r="C14" s="22">
        <v>21</v>
      </c>
      <c r="D14" s="22">
        <v>18</v>
      </c>
      <c r="E14" s="22">
        <v>21</v>
      </c>
      <c r="F14" s="21">
        <v>25</v>
      </c>
      <c r="G14" s="22">
        <v>32</v>
      </c>
      <c r="H14" s="48">
        <v>34</v>
      </c>
      <c r="I14" s="48">
        <v>32</v>
      </c>
      <c r="J14" s="21">
        <v>34</v>
      </c>
      <c r="K14" s="22">
        <v>42</v>
      </c>
      <c r="L14" s="22">
        <f>H14*1.3</f>
        <v>44.2</v>
      </c>
      <c r="M14" s="22">
        <f>I14*1.3</f>
        <v>41.6</v>
      </c>
    </row>
    <row r="15" spans="1:13" s="7" customFormat="1" x14ac:dyDescent="0.15">
      <c r="A15" s="62" t="s">
        <v>4</v>
      </c>
      <c r="B15" s="21">
        <v>4</v>
      </c>
      <c r="C15" s="22">
        <v>3</v>
      </c>
      <c r="D15" s="22">
        <v>4</v>
      </c>
      <c r="E15" s="22">
        <v>5</v>
      </c>
      <c r="F15" s="21">
        <v>5</v>
      </c>
      <c r="G15" s="22">
        <v>8</v>
      </c>
      <c r="H15" s="48">
        <v>7</v>
      </c>
      <c r="I15" s="48">
        <v>5</v>
      </c>
      <c r="J15" s="21">
        <v>23</v>
      </c>
      <c r="K15" s="22">
        <v>39</v>
      </c>
      <c r="L15" s="22">
        <f>H15*4</f>
        <v>28</v>
      </c>
      <c r="M15" s="22">
        <f>I15*3</f>
        <v>15</v>
      </c>
    </row>
    <row r="16" spans="1:13" s="7" customFormat="1" x14ac:dyDescent="0.15">
      <c r="A16" s="62" t="s">
        <v>5</v>
      </c>
      <c r="B16" s="21">
        <v>16</v>
      </c>
      <c r="C16" s="22">
        <v>22</v>
      </c>
      <c r="D16" s="22">
        <v>19</v>
      </c>
      <c r="E16" s="22">
        <v>32</v>
      </c>
      <c r="F16" s="21">
        <v>28</v>
      </c>
      <c r="G16" s="22">
        <v>31</v>
      </c>
      <c r="H16" s="48">
        <v>31</v>
      </c>
      <c r="I16" s="48">
        <v>31</v>
      </c>
      <c r="J16" s="21">
        <v>32</v>
      </c>
      <c r="K16" s="22">
        <v>41</v>
      </c>
      <c r="L16" s="22">
        <f>H16*1.25</f>
        <v>38.75</v>
      </c>
      <c r="M16" s="22">
        <f t="shared" ref="M16" si="3">I16*1.25</f>
        <v>38.75</v>
      </c>
    </row>
    <row r="17" spans="1:13" s="7" customFormat="1" x14ac:dyDescent="0.15">
      <c r="A17" s="62" t="s">
        <v>6</v>
      </c>
      <c r="B17" s="26">
        <f t="shared" ref="B17" si="4">SUM(B14:B16)</f>
        <v>36</v>
      </c>
      <c r="C17" s="25">
        <f t="shared" ref="C17:D17" si="5">SUM(C14:C16)</f>
        <v>46</v>
      </c>
      <c r="D17" s="25">
        <f t="shared" si="5"/>
        <v>41</v>
      </c>
      <c r="E17" s="25">
        <f t="shared" ref="E17:G17" si="6">SUM(E14:E16)</f>
        <v>58</v>
      </c>
      <c r="F17" s="26">
        <f t="shared" si="6"/>
        <v>58</v>
      </c>
      <c r="G17" s="25">
        <f t="shared" si="6"/>
        <v>71</v>
      </c>
      <c r="H17" s="25">
        <f t="shared" ref="H17:I17" si="7">SUM(H14:H16)</f>
        <v>72</v>
      </c>
      <c r="I17" s="25">
        <f t="shared" si="7"/>
        <v>68</v>
      </c>
      <c r="J17" s="26">
        <f t="shared" ref="J17:K17" si="8">SUM(J14:J16)</f>
        <v>89</v>
      </c>
      <c r="K17" s="25">
        <f t="shared" si="8"/>
        <v>122</v>
      </c>
      <c r="L17" s="22"/>
      <c r="M17" s="22"/>
    </row>
    <row r="18" spans="1:13" s="7" customFormat="1" x14ac:dyDescent="0.15">
      <c r="A18" s="62" t="s">
        <v>7</v>
      </c>
      <c r="B18" s="26">
        <f t="shared" ref="B18:D18" si="9">B13-B17</f>
        <v>-27.320999999999998</v>
      </c>
      <c r="C18" s="25">
        <f t="shared" si="9"/>
        <v>-38.771000000000001</v>
      </c>
      <c r="D18" s="25">
        <f t="shared" si="9"/>
        <v>-20.615000000000009</v>
      </c>
      <c r="E18" s="25">
        <f t="shared" ref="E18:G18" si="10">E13-E17</f>
        <v>-39.897999999999982</v>
      </c>
      <c r="F18" s="26">
        <f t="shared" si="10"/>
        <v>-32.680999999999997</v>
      </c>
      <c r="G18" s="25">
        <f t="shared" si="10"/>
        <v>-33.682000000000002</v>
      </c>
      <c r="H18" s="25">
        <f t="shared" ref="H18:I18" si="11">H13-H17</f>
        <v>-81.343999999999994</v>
      </c>
      <c r="I18" s="25">
        <f t="shared" si="11"/>
        <v>39.568999999999988</v>
      </c>
      <c r="J18" s="26">
        <f t="shared" ref="J18:K18" si="12">J13-J17</f>
        <v>-45.006999999999977</v>
      </c>
      <c r="K18" s="25">
        <f t="shared" si="12"/>
        <v>-32.057000000000016</v>
      </c>
      <c r="L18" s="22"/>
      <c r="M18" s="22"/>
    </row>
    <row r="19" spans="1:13" s="7" customFormat="1" x14ac:dyDescent="0.15">
      <c r="A19" s="62" t="s">
        <v>8</v>
      </c>
      <c r="B19" s="21">
        <v>1</v>
      </c>
      <c r="C19" s="22">
        <v>1</v>
      </c>
      <c r="D19" s="22">
        <v>1</v>
      </c>
      <c r="E19" s="22">
        <v>4</v>
      </c>
      <c r="F19" s="21">
        <v>2</v>
      </c>
      <c r="G19" s="22">
        <v>2</v>
      </c>
      <c r="H19" s="48">
        <v>-4</v>
      </c>
      <c r="I19" s="48">
        <v>-4</v>
      </c>
      <c r="J19" s="21">
        <v>30</v>
      </c>
      <c r="K19" s="22">
        <f>0+2</f>
        <v>2</v>
      </c>
      <c r="L19" s="22"/>
      <c r="M19" s="22"/>
    </row>
    <row r="20" spans="1:13" s="7" customFormat="1" x14ac:dyDescent="0.15">
      <c r="A20" s="62" t="s">
        <v>9</v>
      </c>
      <c r="B20" s="26">
        <f t="shared" ref="B20" si="13">B18+B19</f>
        <v>-26.320999999999998</v>
      </c>
      <c r="C20" s="25">
        <f t="shared" ref="C20" si="14">C18+C19</f>
        <v>-37.771000000000001</v>
      </c>
      <c r="D20" s="25">
        <f t="shared" ref="D20:H20" si="15">D18+D19</f>
        <v>-19.615000000000009</v>
      </c>
      <c r="E20" s="25">
        <v>4</v>
      </c>
      <c r="F20" s="26">
        <f t="shared" si="15"/>
        <v>-30.680999999999997</v>
      </c>
      <c r="G20" s="25">
        <f t="shared" si="15"/>
        <v>-31.682000000000002</v>
      </c>
      <c r="H20" s="25">
        <f t="shared" si="15"/>
        <v>-85.343999999999994</v>
      </c>
      <c r="I20" s="25">
        <f t="shared" ref="I20" si="16">I18+I19</f>
        <v>35.568999999999988</v>
      </c>
      <c r="J20" s="26">
        <f t="shared" ref="J20:K20" si="17">J18+J19</f>
        <v>-15.006999999999977</v>
      </c>
      <c r="K20" s="25">
        <f t="shared" si="17"/>
        <v>-30.057000000000016</v>
      </c>
      <c r="L20" s="22"/>
      <c r="M20" s="22"/>
    </row>
    <row r="21" spans="1:13" s="7" customFormat="1" x14ac:dyDescent="0.15">
      <c r="A21" s="62" t="s">
        <v>10</v>
      </c>
      <c r="B21" s="21">
        <v>0</v>
      </c>
      <c r="C21" s="22">
        <v>0</v>
      </c>
      <c r="D21" s="22">
        <v>0</v>
      </c>
      <c r="E21" s="22">
        <v>0</v>
      </c>
      <c r="F21" s="21">
        <v>0</v>
      </c>
      <c r="G21" s="22">
        <v>0</v>
      </c>
      <c r="H21" s="22">
        <v>0</v>
      </c>
      <c r="I21" s="22">
        <v>0</v>
      </c>
      <c r="J21" s="21">
        <v>0</v>
      </c>
      <c r="K21" s="22">
        <v>0</v>
      </c>
      <c r="L21" s="22"/>
      <c r="M21" s="22"/>
    </row>
    <row r="22" spans="1:13" s="16" customFormat="1" x14ac:dyDescent="0.15">
      <c r="A22" s="63" t="s">
        <v>11</v>
      </c>
      <c r="B22" s="24">
        <f t="shared" ref="B22:K22" si="18">B20-B21</f>
        <v>-26.320999999999998</v>
      </c>
      <c r="C22" s="23">
        <f t="shared" si="18"/>
        <v>-37.771000000000001</v>
      </c>
      <c r="D22" s="23">
        <f t="shared" si="18"/>
        <v>-19.615000000000009</v>
      </c>
      <c r="E22" s="23">
        <f t="shared" si="18"/>
        <v>4</v>
      </c>
      <c r="F22" s="24">
        <f t="shared" si="18"/>
        <v>-30.680999999999997</v>
      </c>
      <c r="G22" s="23">
        <f t="shared" si="18"/>
        <v>-31.682000000000002</v>
      </c>
      <c r="H22" s="23">
        <f t="shared" si="18"/>
        <v>-85.343999999999994</v>
      </c>
      <c r="I22" s="23">
        <f t="shared" si="18"/>
        <v>35.568999999999988</v>
      </c>
      <c r="J22" s="24">
        <f t="shared" si="18"/>
        <v>-15.006999999999977</v>
      </c>
      <c r="K22" s="23">
        <f t="shared" si="18"/>
        <v>-30.057000000000016</v>
      </c>
      <c r="L22" s="22"/>
      <c r="M22" s="22"/>
    </row>
    <row r="23" spans="1:13" s="3" customFormat="1" x14ac:dyDescent="0.15">
      <c r="A23" s="64" t="s">
        <v>12</v>
      </c>
      <c r="B23" s="57">
        <f t="shared" ref="B23:G23" si="19">IFERROR(B22/B24,0)</f>
        <v>0</v>
      </c>
      <c r="C23" s="56">
        <f t="shared" si="19"/>
        <v>0</v>
      </c>
      <c r="D23" s="56">
        <f t="shared" si="19"/>
        <v>0</v>
      </c>
      <c r="E23" s="56">
        <f t="shared" si="19"/>
        <v>8.4485632880186193E-2</v>
      </c>
      <c r="F23" s="57">
        <f t="shared" si="19"/>
        <v>0</v>
      </c>
      <c r="G23" s="56">
        <f t="shared" si="19"/>
        <v>-0.65894525041011454</v>
      </c>
      <c r="H23" s="56">
        <f t="shared" ref="H23:I23" si="20">IFERROR(H22/H24,0)</f>
        <v>0</v>
      </c>
      <c r="I23" s="56">
        <f t="shared" si="20"/>
        <v>0.74323940295114221</v>
      </c>
      <c r="J23" s="57">
        <f t="shared" ref="J23:K23" si="21">IFERROR(J22/J24,0)</f>
        <v>0</v>
      </c>
      <c r="K23" s="56">
        <f t="shared" si="21"/>
        <v>-0.42452477821768858</v>
      </c>
      <c r="L23" s="22"/>
      <c r="M23" s="22"/>
    </row>
    <row r="24" spans="1:13" s="7" customFormat="1" x14ac:dyDescent="0.15">
      <c r="A24" s="62" t="s">
        <v>13</v>
      </c>
      <c r="B24" s="21"/>
      <c r="C24" s="22"/>
      <c r="D24" s="22"/>
      <c r="E24" s="22">
        <v>47.345328000000002</v>
      </c>
      <c r="F24" s="21"/>
      <c r="G24" s="22">
        <v>48.079867</v>
      </c>
      <c r="H24" s="48"/>
      <c r="I24" s="48">
        <v>47.856720000000003</v>
      </c>
      <c r="J24" s="21"/>
      <c r="K24" s="22">
        <v>70.801520999999994</v>
      </c>
      <c r="L24" s="22"/>
      <c r="M24" s="22"/>
    </row>
    <row r="25" spans="1:13" s="39" customFormat="1" x14ac:dyDescent="0.15">
      <c r="A25" s="65"/>
      <c r="B25" s="53"/>
      <c r="E25" s="38"/>
      <c r="F25" s="53"/>
      <c r="J25" s="53"/>
      <c r="K25" s="22"/>
      <c r="L25" s="22"/>
      <c r="M25" s="22"/>
    </row>
    <row r="26" spans="1:13" x14ac:dyDescent="0.15">
      <c r="A26" s="66" t="s">
        <v>15</v>
      </c>
      <c r="B26" s="33">
        <f t="shared" ref="B26:J26" si="22">IFERROR(B13/B11,0)</f>
        <v>0.16695842871708061</v>
      </c>
      <c r="C26" s="32">
        <f t="shared" si="22"/>
        <v>0.10378740021822774</v>
      </c>
      <c r="D26" s="32">
        <f t="shared" si="22"/>
        <v>0.27876541859256615</v>
      </c>
      <c r="E26" s="32">
        <f t="shared" si="22"/>
        <v>0.26006378760451709</v>
      </c>
      <c r="F26" s="33">
        <f t="shared" si="22"/>
        <v>0.28788929696294363</v>
      </c>
      <c r="G26" s="32">
        <f t="shared" si="22"/>
        <v>0.28711454422354893</v>
      </c>
      <c r="H26" s="32">
        <f t="shared" si="22"/>
        <v>-6.7576461058919637E-2</v>
      </c>
      <c r="I26" s="32">
        <f t="shared" si="22"/>
        <v>0.70154305689614682</v>
      </c>
      <c r="J26" s="33">
        <f t="shared" si="22"/>
        <v>0.2528653048086541</v>
      </c>
      <c r="K26" s="32">
        <f t="shared" ref="K26" si="23">IFERROR(K13/K11,0)</f>
        <v>0.44080846496537451</v>
      </c>
      <c r="L26" s="22"/>
      <c r="M26" s="22"/>
    </row>
    <row r="27" spans="1:13" x14ac:dyDescent="0.15">
      <c r="A27" s="66" t="s">
        <v>16</v>
      </c>
      <c r="B27" s="35">
        <f t="shared" ref="B27:J27" si="24">IFERROR(B18/B11,0)</f>
        <v>-0.52557566896870123</v>
      </c>
      <c r="C27" s="34">
        <f t="shared" si="24"/>
        <v>-0.55663871819904664</v>
      </c>
      <c r="D27" s="34">
        <f t="shared" si="24"/>
        <v>-0.28191067472581588</v>
      </c>
      <c r="E27" s="34">
        <f t="shared" si="24"/>
        <v>-0.57319771284084675</v>
      </c>
      <c r="F27" s="35">
        <f t="shared" si="24"/>
        <v>-0.37159880382503097</v>
      </c>
      <c r="G27" s="34">
        <f t="shared" si="24"/>
        <v>-0.25914014895057552</v>
      </c>
      <c r="H27" s="34">
        <f t="shared" si="24"/>
        <v>-0.5882854931910062</v>
      </c>
      <c r="I27" s="34">
        <f t="shared" si="24"/>
        <v>0.25806093966034482</v>
      </c>
      <c r="J27" s="35">
        <f t="shared" si="24"/>
        <v>-0.25869362792996803</v>
      </c>
      <c r="K27" s="34">
        <f t="shared" ref="K27" si="25">IFERROR(K18/K11,0)</f>
        <v>-0.15711058071662076</v>
      </c>
      <c r="L27" s="22"/>
      <c r="M27" s="22"/>
    </row>
    <row r="28" spans="1:13" x14ac:dyDescent="0.15">
      <c r="A28" s="66" t="s">
        <v>17</v>
      </c>
      <c r="B28" s="35">
        <f t="shared" ref="B28:J28" si="26">IFERROR(B21/B20,0)</f>
        <v>0</v>
      </c>
      <c r="C28" s="34">
        <f t="shared" si="26"/>
        <v>0</v>
      </c>
      <c r="D28" s="34">
        <f t="shared" si="26"/>
        <v>0</v>
      </c>
      <c r="E28" s="34">
        <f t="shared" si="26"/>
        <v>0</v>
      </c>
      <c r="F28" s="35">
        <f t="shared" si="26"/>
        <v>0</v>
      </c>
      <c r="G28" s="34">
        <f t="shared" si="26"/>
        <v>0</v>
      </c>
      <c r="H28" s="34">
        <f t="shared" si="26"/>
        <v>0</v>
      </c>
      <c r="I28" s="34">
        <f t="shared" si="26"/>
        <v>0</v>
      </c>
      <c r="J28" s="35">
        <f t="shared" si="26"/>
        <v>0</v>
      </c>
      <c r="K28" s="34">
        <f t="shared" ref="K28" si="27">IFERROR(K21/K20,0)</f>
        <v>0</v>
      </c>
      <c r="L28" s="22"/>
      <c r="M28" s="22"/>
    </row>
    <row r="29" spans="1:13" s="39" customFormat="1" x14ac:dyDescent="0.15">
      <c r="A29" s="65"/>
      <c r="B29" s="53"/>
      <c r="E29" s="38"/>
      <c r="F29" s="53"/>
      <c r="J29" s="53"/>
      <c r="L29" s="22"/>
      <c r="M29" s="22"/>
    </row>
    <row r="30" spans="1:13" s="11" customFormat="1" x14ac:dyDescent="0.15">
      <c r="A30" s="67" t="s">
        <v>14</v>
      </c>
      <c r="B30" s="29"/>
      <c r="C30" s="28"/>
      <c r="D30" s="28"/>
      <c r="E30" s="28"/>
      <c r="F30" s="29">
        <f t="shared" ref="F30" si="28">IFERROR((F11/B11)-1,0)</f>
        <v>0.69184156358809612</v>
      </c>
      <c r="G30" s="28">
        <f t="shared" ref="G30:M30" si="29">IFERROR((G11/C11)-1,0)</f>
        <v>0.8660770688566013</v>
      </c>
      <c r="H30" s="28">
        <f t="shared" si="29"/>
        <v>0.89088696222957653</v>
      </c>
      <c r="I30" s="28">
        <f t="shared" si="29"/>
        <v>1.2028560756256641</v>
      </c>
      <c r="J30" s="29">
        <f t="shared" si="29"/>
        <v>0.97821415170500425</v>
      </c>
      <c r="K30" s="28">
        <f>IFERROR((K11/G11)-1,0)</f>
        <v>0.5698359697174864</v>
      </c>
      <c r="L30" s="28">
        <f>IFERROR((L11/H11)-1,0)</f>
        <v>0.33793292978383338</v>
      </c>
      <c r="M30" s="28">
        <f>IFERROR((M11/I11)-1,0)</f>
        <v>0.28466986669449312</v>
      </c>
    </row>
    <row r="31" spans="1:13" s="11" customFormat="1" x14ac:dyDescent="0.15">
      <c r="A31" s="66" t="s">
        <v>26</v>
      </c>
      <c r="B31" s="31"/>
      <c r="C31" s="30"/>
      <c r="D31" s="30"/>
      <c r="E31" s="30"/>
      <c r="F31" s="31">
        <f t="shared" ref="F31:K33" si="30">F14/B14-1</f>
        <v>0.5625</v>
      </c>
      <c r="G31" s="30">
        <f t="shared" si="30"/>
        <v>0.52380952380952372</v>
      </c>
      <c r="H31" s="30">
        <f t="shared" si="30"/>
        <v>0.88888888888888884</v>
      </c>
      <c r="I31" s="30">
        <f t="shared" si="30"/>
        <v>0.52380952380952372</v>
      </c>
      <c r="J31" s="31">
        <f t="shared" si="30"/>
        <v>0.3600000000000001</v>
      </c>
      <c r="K31" s="30">
        <f t="shared" si="30"/>
        <v>0.3125</v>
      </c>
      <c r="L31" s="30">
        <f t="shared" ref="L31:L34" si="31">L14/H14-1</f>
        <v>0.30000000000000004</v>
      </c>
      <c r="M31" s="30">
        <f t="shared" ref="M31:M34" si="32">M14/I14-1</f>
        <v>0.30000000000000004</v>
      </c>
    </row>
    <row r="32" spans="1:13" s="11" customFormat="1" x14ac:dyDescent="0.15">
      <c r="A32" s="66" t="s">
        <v>27</v>
      </c>
      <c r="B32" s="31"/>
      <c r="C32" s="30"/>
      <c r="D32" s="30"/>
      <c r="E32" s="30"/>
      <c r="F32" s="31">
        <f t="shared" si="30"/>
        <v>0.25</v>
      </c>
      <c r="G32" s="30">
        <f t="shared" si="30"/>
        <v>1.6666666666666665</v>
      </c>
      <c r="H32" s="30">
        <f t="shared" si="30"/>
        <v>0.75</v>
      </c>
      <c r="I32" s="30">
        <f t="shared" si="30"/>
        <v>0</v>
      </c>
      <c r="J32" s="31">
        <f t="shared" si="30"/>
        <v>3.5999999999999996</v>
      </c>
      <c r="K32" s="30">
        <f t="shared" si="30"/>
        <v>3.875</v>
      </c>
      <c r="L32" s="30">
        <f t="shared" si="31"/>
        <v>3</v>
      </c>
      <c r="M32" s="30">
        <f t="shared" si="32"/>
        <v>2</v>
      </c>
    </row>
    <row r="33" spans="1:13" s="11" customFormat="1" x14ac:dyDescent="0.15">
      <c r="A33" s="66" t="s">
        <v>28</v>
      </c>
      <c r="B33" s="31"/>
      <c r="C33" s="30"/>
      <c r="D33" s="30"/>
      <c r="E33" s="30"/>
      <c r="F33" s="31">
        <f t="shared" si="30"/>
        <v>0.75</v>
      </c>
      <c r="G33" s="30">
        <f t="shared" si="30"/>
        <v>0.40909090909090917</v>
      </c>
      <c r="H33" s="30">
        <f t="shared" si="30"/>
        <v>0.63157894736842102</v>
      </c>
      <c r="I33" s="30">
        <f t="shared" si="30"/>
        <v>-3.125E-2</v>
      </c>
      <c r="J33" s="31">
        <f t="shared" si="30"/>
        <v>0.14285714285714279</v>
      </c>
      <c r="K33" s="30">
        <f t="shared" si="30"/>
        <v>0.32258064516129026</v>
      </c>
      <c r="L33" s="30">
        <f t="shared" si="31"/>
        <v>0.25</v>
      </c>
      <c r="M33" s="30">
        <f t="shared" si="32"/>
        <v>0.25</v>
      </c>
    </row>
    <row r="34" spans="1:13" x14ac:dyDescent="0.15">
      <c r="A34" s="66" t="s">
        <v>52</v>
      </c>
      <c r="B34" s="33"/>
      <c r="C34" s="32"/>
      <c r="D34" s="32"/>
      <c r="E34" s="32"/>
      <c r="F34" s="33">
        <f t="shared" ref="F34:K34" si="33">F17/B17-1</f>
        <v>0.61111111111111116</v>
      </c>
      <c r="G34" s="32">
        <f t="shared" si="33"/>
        <v>0.54347826086956519</v>
      </c>
      <c r="H34" s="32">
        <f t="shared" si="33"/>
        <v>0.75609756097560976</v>
      </c>
      <c r="I34" s="32">
        <f t="shared" si="33"/>
        <v>0.17241379310344818</v>
      </c>
      <c r="J34" s="33">
        <f t="shared" si="33"/>
        <v>0.53448275862068972</v>
      </c>
      <c r="K34" s="32">
        <f t="shared" si="33"/>
        <v>0.71830985915492951</v>
      </c>
      <c r="L34" s="32">
        <f t="shared" si="31"/>
        <v>-1</v>
      </c>
      <c r="M34" s="32">
        <f t="shared" si="32"/>
        <v>-1</v>
      </c>
    </row>
    <row r="35" spans="1:13" x14ac:dyDescent="0.15">
      <c r="B35" s="43"/>
      <c r="C35" s="42"/>
      <c r="D35" s="42"/>
      <c r="E35" s="42"/>
      <c r="G35" s="42"/>
      <c r="K35" s="22"/>
      <c r="L35" s="22"/>
      <c r="M35" s="22"/>
    </row>
    <row r="36" spans="1:13" s="16" customFormat="1" x14ac:dyDescent="0.15">
      <c r="A36" s="63" t="s">
        <v>18</v>
      </c>
      <c r="B36" s="20"/>
      <c r="C36" s="42"/>
      <c r="D36" s="19"/>
      <c r="E36" s="42"/>
      <c r="F36" s="20"/>
      <c r="G36" s="42"/>
      <c r="H36" s="19"/>
      <c r="I36" s="23">
        <f t="shared" ref="I36:K36" si="34">I37-I38</f>
        <v>470</v>
      </c>
      <c r="J36" s="20"/>
      <c r="K36" s="23">
        <f t="shared" si="34"/>
        <v>903</v>
      </c>
      <c r="L36" s="22"/>
      <c r="M36" s="22"/>
    </row>
    <row r="37" spans="1:13" s="7" customFormat="1" x14ac:dyDescent="0.15">
      <c r="A37" s="62" t="s">
        <v>19</v>
      </c>
      <c r="B37" s="21"/>
      <c r="C37" s="22"/>
      <c r="D37" s="22"/>
      <c r="E37" s="42"/>
      <c r="F37" s="21"/>
      <c r="G37" s="22"/>
      <c r="H37" s="22"/>
      <c r="I37" s="22">
        <f>267+61+1034</f>
        <v>1362</v>
      </c>
      <c r="J37" s="21"/>
      <c r="K37" s="22">
        <f>521+116+1888</f>
        <v>2525</v>
      </c>
      <c r="L37" s="22"/>
      <c r="M37" s="22"/>
    </row>
    <row r="38" spans="1:13" s="7" customFormat="1" x14ac:dyDescent="0.15">
      <c r="A38" s="62" t="s">
        <v>20</v>
      </c>
      <c r="B38" s="21"/>
      <c r="C38" s="22"/>
      <c r="D38" s="22"/>
      <c r="E38" s="42"/>
      <c r="F38" s="21"/>
      <c r="G38" s="22"/>
      <c r="H38" s="22"/>
      <c r="I38" s="22">
        <f>74+818</f>
        <v>892</v>
      </c>
      <c r="J38" s="21"/>
      <c r="K38" s="22">
        <f>0+818+804</f>
        <v>1622</v>
      </c>
      <c r="L38" s="22"/>
      <c r="M38" s="22"/>
    </row>
    <row r="39" spans="1:13" s="7" customFormat="1" x14ac:dyDescent="0.15">
      <c r="A39" s="62"/>
      <c r="B39" s="21"/>
      <c r="C39" s="22"/>
      <c r="D39" s="22"/>
      <c r="E39" s="42"/>
      <c r="F39" s="21"/>
      <c r="G39" s="22"/>
      <c r="H39" s="22"/>
      <c r="I39" s="22"/>
      <c r="J39" s="21"/>
      <c r="K39" s="22"/>
      <c r="L39" s="22"/>
      <c r="M39" s="22"/>
    </row>
    <row r="40" spans="1:13" s="7" customFormat="1" x14ac:dyDescent="0.15">
      <c r="A40" s="68" t="s">
        <v>40</v>
      </c>
      <c r="B40" s="21"/>
      <c r="C40" s="22"/>
      <c r="D40" s="22"/>
      <c r="E40" s="42"/>
      <c r="F40" s="21"/>
      <c r="G40" s="22"/>
      <c r="H40" s="22"/>
      <c r="I40" s="22">
        <v>0</v>
      </c>
      <c r="J40" s="21"/>
      <c r="K40" s="22">
        <v>0</v>
      </c>
      <c r="L40" s="22"/>
      <c r="M40" s="22"/>
    </row>
    <row r="41" spans="1:13" s="7" customFormat="1" x14ac:dyDescent="0.15">
      <c r="A41" s="68" t="s">
        <v>41</v>
      </c>
      <c r="B41" s="21"/>
      <c r="C41" s="22"/>
      <c r="D41" s="22"/>
      <c r="E41" s="42"/>
      <c r="F41" s="21"/>
      <c r="G41" s="22"/>
      <c r="H41" s="22"/>
      <c r="I41" s="22">
        <v>1402</v>
      </c>
      <c r="J41" s="21"/>
      <c r="K41" s="22">
        <v>2708</v>
      </c>
      <c r="L41" s="22"/>
      <c r="M41" s="22"/>
    </row>
    <row r="42" spans="1:13" s="7" customFormat="1" x14ac:dyDescent="0.15">
      <c r="A42" s="68" t="s">
        <v>42</v>
      </c>
      <c r="B42" s="21"/>
      <c r="C42" s="22"/>
      <c r="D42" s="22"/>
      <c r="E42" s="42"/>
      <c r="F42" s="21"/>
      <c r="G42" s="22"/>
      <c r="H42" s="22"/>
      <c r="I42" s="22">
        <f>965+804</f>
        <v>1769</v>
      </c>
      <c r="J42" s="21"/>
      <c r="K42" s="22">
        <f>1730+1327</f>
        <v>3057</v>
      </c>
      <c r="L42" s="22"/>
      <c r="M42" s="22"/>
    </row>
    <row r="43" spans="1:13" s="7" customFormat="1" x14ac:dyDescent="0.15">
      <c r="A43" s="62"/>
      <c r="B43" s="21"/>
      <c r="C43" s="22"/>
      <c r="D43" s="22"/>
      <c r="E43" s="42"/>
      <c r="F43" s="21"/>
      <c r="G43" s="22"/>
      <c r="H43" s="22"/>
      <c r="I43" s="22"/>
      <c r="J43" s="21"/>
      <c r="K43" s="22"/>
      <c r="L43" s="22"/>
      <c r="M43" s="22"/>
    </row>
    <row r="44" spans="1:13" s="7" customFormat="1" x14ac:dyDescent="0.15">
      <c r="A44" s="68" t="s">
        <v>43</v>
      </c>
      <c r="B44" s="21"/>
      <c r="C44" s="22"/>
      <c r="D44" s="22"/>
      <c r="E44" s="42"/>
      <c r="F44" s="21"/>
      <c r="G44" s="22"/>
      <c r="H44" s="22"/>
      <c r="I44" s="25">
        <f t="shared" ref="I44" si="35">I41-I37-I40</f>
        <v>40</v>
      </c>
      <c r="J44" s="21"/>
      <c r="K44" s="25">
        <f t="shared" ref="K44" si="36">K41-K37-K40</f>
        <v>183</v>
      </c>
      <c r="L44" s="22"/>
      <c r="M44" s="22"/>
    </row>
    <row r="45" spans="1:13" s="7" customFormat="1" x14ac:dyDescent="0.15">
      <c r="A45" s="68" t="s">
        <v>44</v>
      </c>
      <c r="B45" s="21"/>
      <c r="C45" s="22"/>
      <c r="D45" s="22"/>
      <c r="E45" s="42"/>
      <c r="F45" s="21"/>
      <c r="G45" s="22"/>
      <c r="H45" s="22"/>
      <c r="I45" s="25">
        <f>I41-I42</f>
        <v>-367</v>
      </c>
      <c r="J45" s="21"/>
      <c r="K45" s="25">
        <f>K41-K42</f>
        <v>-349</v>
      </c>
      <c r="L45" s="22"/>
      <c r="M45" s="22"/>
    </row>
    <row r="46" spans="1:13" s="7" customFormat="1" x14ac:dyDescent="0.15">
      <c r="A46" s="62"/>
      <c r="B46" s="21"/>
      <c r="C46" s="22"/>
      <c r="D46" s="22"/>
      <c r="E46" s="42"/>
      <c r="F46" s="21"/>
      <c r="G46" s="22"/>
      <c r="H46" s="22"/>
      <c r="I46" s="22"/>
      <c r="J46" s="21"/>
      <c r="K46" s="22"/>
      <c r="L46" s="22"/>
      <c r="M46" s="22"/>
    </row>
    <row r="47" spans="1:13" s="16" customFormat="1" x14ac:dyDescent="0.15">
      <c r="A47" s="69" t="s">
        <v>45</v>
      </c>
      <c r="B47" s="21"/>
      <c r="C47" s="22"/>
      <c r="D47" s="22"/>
      <c r="E47" s="42"/>
      <c r="F47" s="21"/>
      <c r="G47" s="22"/>
      <c r="H47" s="22"/>
      <c r="I47" s="23">
        <f t="shared" ref="I47:K47" si="37">SUM(F22:I22)</f>
        <v>-112.13800000000001</v>
      </c>
      <c r="J47" s="21"/>
      <c r="K47" s="23">
        <f t="shared" si="37"/>
        <v>-94.838999999999999</v>
      </c>
      <c r="L47" s="22"/>
      <c r="M47" s="22"/>
    </row>
    <row r="48" spans="1:13" x14ac:dyDescent="0.15">
      <c r="A48" s="70" t="s">
        <v>46</v>
      </c>
      <c r="B48" s="21"/>
      <c r="C48" s="22"/>
      <c r="D48" s="22"/>
      <c r="E48" s="42"/>
      <c r="F48" s="21"/>
      <c r="G48" s="22"/>
      <c r="H48" s="22"/>
      <c r="I48" s="32">
        <f t="shared" ref="I48" si="38">I47/I45</f>
        <v>0.30555313351498636</v>
      </c>
      <c r="J48" s="21"/>
      <c r="K48" s="32">
        <f t="shared" ref="K48" si="39">K47/K45</f>
        <v>0.27174498567335242</v>
      </c>
      <c r="L48" s="22"/>
      <c r="M48" s="22"/>
    </row>
    <row r="49" spans="1:13" x14ac:dyDescent="0.15">
      <c r="A49" s="70" t="s">
        <v>47</v>
      </c>
      <c r="B49" s="21"/>
      <c r="C49" s="22"/>
      <c r="D49" s="22"/>
      <c r="E49" s="42"/>
      <c r="F49" s="21"/>
      <c r="G49" s="22"/>
      <c r="H49" s="22"/>
      <c r="I49" s="32">
        <f t="shared" ref="I49" si="40">I47/I41</f>
        <v>-7.9984308131241091E-2</v>
      </c>
      <c r="J49" s="21"/>
      <c r="K49" s="32">
        <f t="shared" ref="K49" si="41">K47/K41</f>
        <v>-3.5021787296898081E-2</v>
      </c>
      <c r="L49" s="22"/>
      <c r="M49" s="22"/>
    </row>
    <row r="50" spans="1:13" x14ac:dyDescent="0.15">
      <c r="A50" s="70" t="s">
        <v>48</v>
      </c>
      <c r="B50" s="21"/>
      <c r="C50" s="22"/>
      <c r="D50" s="22"/>
      <c r="E50" s="42"/>
      <c r="F50" s="21"/>
      <c r="G50" s="22"/>
      <c r="H50" s="22"/>
      <c r="I50" s="32">
        <f t="shared" ref="I50" si="42">I47/(I45-I40)</f>
        <v>0.30555313351498636</v>
      </c>
      <c r="J50" s="21"/>
      <c r="K50" s="32">
        <f t="shared" ref="K50" si="43">K47/(K45-K40)</f>
        <v>0.27174498567335242</v>
      </c>
      <c r="L50" s="22"/>
      <c r="M50" s="22"/>
    </row>
    <row r="51" spans="1:13" x14ac:dyDescent="0.15">
      <c r="A51" s="70" t="s">
        <v>49</v>
      </c>
      <c r="B51" s="21"/>
      <c r="C51" s="22"/>
      <c r="D51" s="22"/>
      <c r="E51" s="42"/>
      <c r="F51" s="21"/>
      <c r="G51" s="22"/>
      <c r="H51" s="22"/>
      <c r="I51" s="32">
        <f t="shared" ref="I51" si="44">I47/I44</f>
        <v>-2.8034500000000002</v>
      </c>
      <c r="J51" s="21"/>
      <c r="K51" s="32">
        <f t="shared" ref="K51" si="45">K47/K44</f>
        <v>-0.51824590163934425</v>
      </c>
      <c r="L51" s="22"/>
      <c r="M51" s="22"/>
    </row>
    <row r="52" spans="1:13" x14ac:dyDescent="0.15">
      <c r="E52" s="42"/>
      <c r="K52" s="22"/>
      <c r="L52" s="22"/>
      <c r="M52" s="22"/>
    </row>
    <row r="53" spans="1:13" x14ac:dyDescent="0.15">
      <c r="A53" s="66" t="s">
        <v>75</v>
      </c>
      <c r="B53" s="33"/>
      <c r="C53" s="32"/>
      <c r="D53" s="32"/>
      <c r="E53" s="42"/>
      <c r="F53" s="33">
        <f t="shared" ref="F53:K56" si="46">F3/B3-1</f>
        <v>0.56397472815575722</v>
      </c>
      <c r="G53" s="32">
        <f t="shared" si="46"/>
        <v>0.70017813683920016</v>
      </c>
      <c r="H53" s="32">
        <f t="shared" si="46"/>
        <v>0.85762356575463361</v>
      </c>
      <c r="I53" s="32">
        <f t="shared" si="46"/>
        <v>1.584634508686293</v>
      </c>
      <c r="J53" s="33">
        <f t="shared" si="46"/>
        <v>1.5629998076341751</v>
      </c>
      <c r="K53" s="32">
        <f t="shared" si="46"/>
        <v>0.47024969010093853</v>
      </c>
      <c r="L53" s="32"/>
      <c r="M53" s="32"/>
    </row>
    <row r="54" spans="1:13" x14ac:dyDescent="0.15">
      <c r="A54" s="66" t="s">
        <v>76</v>
      </c>
      <c r="B54" s="33"/>
      <c r="C54" s="32"/>
      <c r="D54" s="32"/>
      <c r="E54" s="32"/>
      <c r="F54" s="33">
        <f t="shared" si="46"/>
        <v>1.4766162310866577</v>
      </c>
      <c r="G54" s="32">
        <f t="shared" si="46"/>
        <v>3.4548872180451129</v>
      </c>
      <c r="H54" s="32">
        <f t="shared" si="46"/>
        <v>2.0519814719505916</v>
      </c>
      <c r="I54" s="32">
        <f t="shared" si="46"/>
        <v>-7.505140507196717E-2</v>
      </c>
      <c r="J54" s="33">
        <f t="shared" si="46"/>
        <v>0.65454040544293268</v>
      </c>
      <c r="K54" s="32">
        <f t="shared" si="46"/>
        <v>0.52180028129395217</v>
      </c>
      <c r="L54" s="32"/>
      <c r="M54" s="32"/>
    </row>
    <row r="55" spans="1:13" x14ac:dyDescent="0.15">
      <c r="A55" s="66" t="s">
        <v>77</v>
      </c>
      <c r="B55" s="33"/>
      <c r="C55" s="32"/>
      <c r="D55" s="32"/>
      <c r="E55" s="32"/>
      <c r="F55" s="33">
        <f t="shared" si="46"/>
        <v>0.6443425577206483</v>
      </c>
      <c r="G55" s="32">
        <f t="shared" si="46"/>
        <v>0.64439985406785838</v>
      </c>
      <c r="H55" s="32">
        <f t="shared" si="46"/>
        <v>0.63836576362385022</v>
      </c>
      <c r="I55" s="32">
        <f t="shared" si="46"/>
        <v>0.37969101123595483</v>
      </c>
      <c r="J55" s="33">
        <f t="shared" si="46"/>
        <v>0.3502539334793866</v>
      </c>
      <c r="K55" s="32">
        <f t="shared" si="46"/>
        <v>0.63860847957757416</v>
      </c>
      <c r="L55" s="32"/>
      <c r="M55" s="32"/>
    </row>
    <row r="56" spans="1:13" x14ac:dyDescent="0.15">
      <c r="A56" s="66" t="s">
        <v>78</v>
      </c>
      <c r="B56" s="33"/>
      <c r="C56" s="32"/>
      <c r="D56" s="32"/>
      <c r="E56" s="32"/>
      <c r="F56" s="33">
        <f t="shared" si="46"/>
        <v>1.7484121383203957</v>
      </c>
      <c r="G56" s="32">
        <f t="shared" si="46"/>
        <v>11.711026615969583</v>
      </c>
      <c r="H56" s="32">
        <f t="shared" si="46"/>
        <v>3.2624113475177294</v>
      </c>
      <c r="I56" s="32">
        <f t="shared" si="46"/>
        <v>-9.5841688654353572</v>
      </c>
      <c r="J56" s="33">
        <f t="shared" si="46"/>
        <v>1.634227757093337</v>
      </c>
      <c r="K56" s="32">
        <f t="shared" si="46"/>
        <v>0.96769368830391889</v>
      </c>
      <c r="L56" s="32"/>
      <c r="M56" s="32"/>
    </row>
    <row r="57" spans="1:13" x14ac:dyDescent="0.15">
      <c r="L57" s="22"/>
    </row>
    <row r="58" spans="1:13" s="73" customFormat="1" x14ac:dyDescent="0.15">
      <c r="A58" s="72" t="s">
        <v>81</v>
      </c>
      <c r="B58" s="33"/>
      <c r="C58" s="32"/>
      <c r="D58" s="32"/>
      <c r="E58" s="32"/>
      <c r="F58" s="33"/>
      <c r="G58" s="32"/>
      <c r="H58" s="32"/>
      <c r="I58" s="32"/>
      <c r="J58" s="33">
        <f>J8/F8-1</f>
        <v>0.62903902643726406</v>
      </c>
      <c r="K58" s="32">
        <f>K8/G8-1</f>
        <v>0.5</v>
      </c>
      <c r="L58" s="22"/>
      <c r="M58" s="32"/>
    </row>
    <row r="59" spans="1:13" x14ac:dyDescent="0.15">
      <c r="A59" s="66" t="s">
        <v>65</v>
      </c>
      <c r="J59" s="33">
        <f>J9/F9-1</f>
        <v>0.21434423583540041</v>
      </c>
      <c r="K59" s="32">
        <f>K9/G9-1</f>
        <v>4.6557313144991008E-2</v>
      </c>
      <c r="L59" s="22"/>
      <c r="M59" s="32"/>
    </row>
    <row r="60" spans="1:13" x14ac:dyDescent="0.15">
      <c r="K60" s="22"/>
      <c r="L60" s="22">
        <v>1800</v>
      </c>
    </row>
    <row r="61" spans="1:13" s="7" customFormat="1" x14ac:dyDescent="0.15">
      <c r="A61" s="62" t="s">
        <v>66</v>
      </c>
      <c r="B61" s="21"/>
      <c r="C61" s="22"/>
      <c r="D61" s="22"/>
      <c r="E61" s="22"/>
      <c r="F61" s="21">
        <v>861.30600000000004</v>
      </c>
      <c r="G61" s="22">
        <v>1300</v>
      </c>
      <c r="I61" s="22"/>
      <c r="J61" s="21">
        <v>1475.9290000000001</v>
      </c>
      <c r="K61" s="22">
        <v>2100</v>
      </c>
      <c r="L61" s="22">
        <v>1800</v>
      </c>
      <c r="M61" s="22">
        <f>M11/0.1</f>
        <v>1969.81</v>
      </c>
    </row>
    <row r="62" spans="1:13" s="73" customFormat="1" x14ac:dyDescent="0.15">
      <c r="A62" s="72" t="s">
        <v>67</v>
      </c>
      <c r="B62" s="33"/>
      <c r="C62" s="32"/>
      <c r="D62" s="32"/>
      <c r="E62" s="32"/>
      <c r="F62" s="33"/>
      <c r="G62" s="32"/>
      <c r="H62" s="32"/>
      <c r="I62" s="32"/>
      <c r="J62" s="33">
        <f>J61/F61-1</f>
        <v>0.71359423944567912</v>
      </c>
      <c r="K62" s="32">
        <f>K61/G61-1</f>
        <v>0.61538461538461542</v>
      </c>
      <c r="L62" s="32"/>
      <c r="M62" s="32"/>
    </row>
    <row r="63" spans="1:13" x14ac:dyDescent="0.15">
      <c r="K63" s="22"/>
      <c r="L63" s="22"/>
    </row>
    <row r="64" spans="1:13" s="73" customFormat="1" x14ac:dyDescent="0.15">
      <c r="A64" s="72" t="s">
        <v>68</v>
      </c>
      <c r="B64" s="33"/>
      <c r="C64" s="32"/>
      <c r="D64" s="32"/>
      <c r="E64" s="32"/>
      <c r="F64" s="33">
        <f>F11/F61</f>
        <v>0.102108890452406</v>
      </c>
      <c r="G64" s="32">
        <f>G11/G61</f>
        <v>9.9981538461538455E-2</v>
      </c>
      <c r="H64" s="32"/>
      <c r="I64" s="32"/>
      <c r="J64" s="33">
        <f>J11/J61</f>
        <v>0.11787694394513556</v>
      </c>
      <c r="K64" s="32">
        <f>K11/K61</f>
        <v>9.7162380952380945E-2</v>
      </c>
      <c r="L64" s="32">
        <f>L11/L61</f>
        <v>0.10277777777777777</v>
      </c>
      <c r="M64" s="32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7"/>
  <sheetViews>
    <sheetView zoomScale="130" zoomScaleNormal="130" workbookViewId="0">
      <selection activeCell="C10" sqref="C10"/>
    </sheetView>
  </sheetViews>
  <sheetFormatPr baseColWidth="10" defaultRowHeight="13" x14ac:dyDescent="0.15"/>
  <cols>
    <col min="1" max="1" width="10.83203125" style="2"/>
    <col min="2" max="2" width="15.83203125" style="2" bestFit="1" customWidth="1"/>
    <col min="3" max="3" width="35.6640625" style="2" bestFit="1" customWidth="1"/>
    <col min="4" max="16384" width="10.83203125" style="2"/>
  </cols>
  <sheetData>
    <row r="4" spans="2:3" x14ac:dyDescent="0.15">
      <c r="B4" s="60" t="s">
        <v>60</v>
      </c>
    </row>
    <row r="6" spans="2:3" x14ac:dyDescent="0.15">
      <c r="B6" s="2" t="s">
        <v>82</v>
      </c>
      <c r="C6" s="2" t="s">
        <v>84</v>
      </c>
    </row>
    <row r="7" spans="2:3" x14ac:dyDescent="0.15">
      <c r="B7" s="2" t="s">
        <v>83</v>
      </c>
      <c r="C7" s="2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2021-02-15T12:23:05Z</dcterms:modified>
</cp:coreProperties>
</file>