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michaelsjoeberg/Dropbox/_PROJECTS/_investing/stocks/"/>
    </mc:Choice>
  </mc:AlternateContent>
  <xr:revisionPtr revIDLastSave="0" documentId="13_ncr:1_{51D03419-7492-FF4C-ACCF-E425BDD803D9}" xr6:coauthVersionLast="46" xr6:coauthVersionMax="46" xr10:uidLastSave="{00000000-0000-0000-0000-000000000000}"/>
  <bookViews>
    <workbookView xWindow="-64280" yWindow="-5940" windowWidth="28260" windowHeight="26740" tabRatio="500" activeTab="2" xr2:uid="{00000000-000D-0000-FFFF-FFFF00000000}"/>
  </bookViews>
  <sheets>
    <sheet name="Main" sheetId="2" r:id="rId1"/>
    <sheet name="Reports" sheetId="1" r:id="rId2"/>
    <sheet name="Products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2" l="1"/>
  <c r="F5" i="2"/>
  <c r="G35" i="2"/>
  <c r="J13" i="2"/>
  <c r="K13" i="2" s="1"/>
  <c r="I13" i="2"/>
  <c r="H13" i="2"/>
  <c r="H14" i="2"/>
  <c r="G16" i="2"/>
  <c r="G14" i="2"/>
  <c r="G11" i="2"/>
  <c r="G10" i="2"/>
  <c r="U51" i="1"/>
  <c r="U4" i="1"/>
  <c r="U3" i="1"/>
  <c r="U6" i="1"/>
  <c r="U25" i="1" s="1"/>
  <c r="U49" i="1"/>
  <c r="U48" i="1"/>
  <c r="I14" i="2"/>
  <c r="J14" i="2" s="1"/>
  <c r="K14" i="2" s="1"/>
  <c r="F14" i="2"/>
  <c r="G60" i="2"/>
  <c r="F16" i="2"/>
  <c r="E16" i="2"/>
  <c r="F61" i="2"/>
  <c r="F60" i="2"/>
  <c r="E14" i="2"/>
  <c r="E13" i="2"/>
  <c r="G13" i="2"/>
  <c r="F13" i="2"/>
  <c r="U52" i="1"/>
  <c r="N52" i="1"/>
  <c r="O52" i="1"/>
  <c r="P52" i="1"/>
  <c r="Q52" i="1"/>
  <c r="R52" i="1"/>
  <c r="S52" i="1"/>
  <c r="T52" i="1"/>
  <c r="F4" i="2"/>
  <c r="C5" i="2"/>
  <c r="C3" i="2"/>
  <c r="E35" i="1"/>
  <c r="E32" i="1"/>
  <c r="I35" i="1"/>
  <c r="I32" i="1"/>
  <c r="M35" i="1"/>
  <c r="M32" i="1"/>
  <c r="M14" i="1"/>
  <c r="Q14" i="1"/>
  <c r="R35" i="1"/>
  <c r="R33" i="1"/>
  <c r="R32" i="1"/>
  <c r="N14" i="1"/>
  <c r="R14" i="1"/>
  <c r="S35" i="1"/>
  <c r="S33" i="1"/>
  <c r="S32" i="1"/>
  <c r="O14" i="1"/>
  <c r="S14" i="1"/>
  <c r="Q35" i="1"/>
  <c r="T35" i="1"/>
  <c r="Q33" i="1"/>
  <c r="Q32" i="1"/>
  <c r="T33" i="1"/>
  <c r="T32" i="1"/>
  <c r="P14" i="1"/>
  <c r="T14" i="1"/>
  <c r="P6" i="1"/>
  <c r="K60" i="2" l="1"/>
  <c r="H60" i="2"/>
  <c r="G61" i="2"/>
  <c r="I61" i="2"/>
  <c r="H16" i="2"/>
  <c r="H61" i="2"/>
  <c r="I60" i="2"/>
  <c r="J60" i="2"/>
  <c r="T49" i="1"/>
  <c r="T48" i="1"/>
  <c r="T40" i="1"/>
  <c r="T31" i="1"/>
  <c r="T27" i="1"/>
  <c r="T26" i="1"/>
  <c r="T12" i="1"/>
  <c r="T6" i="1"/>
  <c r="T8" i="1" s="1"/>
  <c r="I16" i="2" l="1"/>
  <c r="T13" i="1"/>
  <c r="T21" i="1"/>
  <c r="T39" i="1"/>
  <c r="S49" i="1"/>
  <c r="S48" i="1"/>
  <c r="S40" i="1"/>
  <c r="S31" i="1"/>
  <c r="S27" i="1"/>
  <c r="S26" i="1"/>
  <c r="S6" i="1"/>
  <c r="S8" i="1" s="1"/>
  <c r="S21" i="1" s="1"/>
  <c r="J16" i="2" l="1"/>
  <c r="J61" i="2"/>
  <c r="S39" i="1"/>
  <c r="S12" i="1"/>
  <c r="T15" i="1"/>
  <c r="T22" i="1"/>
  <c r="F47" i="2"/>
  <c r="F46" i="2"/>
  <c r="F29" i="2"/>
  <c r="F26" i="2"/>
  <c r="F24" i="2"/>
  <c r="F20" i="2"/>
  <c r="F19" i="2"/>
  <c r="G19" i="2" s="1"/>
  <c r="H19" i="2" s="1"/>
  <c r="I19" i="2" s="1"/>
  <c r="J19" i="2" s="1"/>
  <c r="K19" i="2" s="1"/>
  <c r="L19" i="2" s="1"/>
  <c r="M19" i="2" s="1"/>
  <c r="N19" i="2" s="1"/>
  <c r="O19" i="2" s="1"/>
  <c r="P19" i="2" s="1"/>
  <c r="Q19" i="2" s="1"/>
  <c r="R19" i="2" s="1"/>
  <c r="S19" i="2" s="1"/>
  <c r="T19" i="2" s="1"/>
  <c r="U19" i="2" s="1"/>
  <c r="F17" i="2"/>
  <c r="F11" i="2"/>
  <c r="F10" i="2"/>
  <c r="F42" i="2"/>
  <c r="Q49" i="1"/>
  <c r="Q48" i="1"/>
  <c r="Q40" i="1"/>
  <c r="Q27" i="1"/>
  <c r="Q26" i="1"/>
  <c r="Q12" i="1"/>
  <c r="Q6" i="1"/>
  <c r="K61" i="2" l="1"/>
  <c r="K16" i="2"/>
  <c r="G20" i="2"/>
  <c r="H20" i="2" s="1"/>
  <c r="I20" i="2" s="1"/>
  <c r="J20" i="2" s="1"/>
  <c r="K20" i="2" s="1"/>
  <c r="L20" i="2" s="1"/>
  <c r="M20" i="2" s="1"/>
  <c r="N20" i="2" s="1"/>
  <c r="O20" i="2" s="1"/>
  <c r="P20" i="2" s="1"/>
  <c r="Q20" i="2" s="1"/>
  <c r="F50" i="2"/>
  <c r="Q36" i="2"/>
  <c r="Q31" i="1"/>
  <c r="R39" i="1"/>
  <c r="T17" i="1"/>
  <c r="T18" i="1" s="1"/>
  <c r="T23" i="1"/>
  <c r="Q39" i="1"/>
  <c r="F43" i="2"/>
  <c r="F41" i="2" s="1"/>
  <c r="G24" i="2" s="1"/>
  <c r="S13" i="1"/>
  <c r="Q8" i="1"/>
  <c r="Q21" i="1" s="1"/>
  <c r="F45" i="2"/>
  <c r="G36" i="2"/>
  <c r="Q37" i="2" l="1"/>
  <c r="R20" i="2"/>
  <c r="R37" i="2" s="1"/>
  <c r="R36" i="2"/>
  <c r="S20" i="2"/>
  <c r="S22" i="1"/>
  <c r="S15" i="1"/>
  <c r="Q13" i="1"/>
  <c r="F49" i="2"/>
  <c r="F18" i="2"/>
  <c r="S37" i="2" l="1"/>
  <c r="T20" i="2"/>
  <c r="S36" i="2"/>
  <c r="Q22" i="1"/>
  <c r="Q15" i="1"/>
  <c r="S23" i="1"/>
  <c r="S17" i="1"/>
  <c r="S18" i="1" s="1"/>
  <c r="T37" i="2" l="1"/>
  <c r="U20" i="2"/>
  <c r="U37" i="2" s="1"/>
  <c r="T36" i="2"/>
  <c r="Q17" i="1"/>
  <c r="Q23" i="1"/>
  <c r="U36" i="2" l="1"/>
  <c r="Q18" i="1"/>
  <c r="P49" i="1"/>
  <c r="P48" i="1"/>
  <c r="T28" i="1"/>
  <c r="T25" i="1"/>
  <c r="R49" i="1"/>
  <c r="R48" i="1"/>
  <c r="R40" i="1"/>
  <c r="R27" i="1"/>
  <c r="R26" i="1"/>
  <c r="R12" i="1"/>
  <c r="R6" i="1"/>
  <c r="P8" i="1" l="1"/>
  <c r="P12" i="1"/>
  <c r="R8" i="1"/>
  <c r="R31" i="1"/>
  <c r="C4" i="2"/>
  <c r="P26" i="1"/>
  <c r="P27" i="1"/>
  <c r="S28" i="1"/>
  <c r="O49" i="1"/>
  <c r="O48" i="1"/>
  <c r="O27" i="1"/>
  <c r="O26" i="1"/>
  <c r="O6" i="1"/>
  <c r="E20" i="2"/>
  <c r="E19" i="2"/>
  <c r="E17" i="2"/>
  <c r="E11" i="2"/>
  <c r="F58" i="2" s="1"/>
  <c r="E10" i="2"/>
  <c r="F57" i="2" s="1"/>
  <c r="D26" i="2"/>
  <c r="D24" i="2"/>
  <c r="D19" i="2"/>
  <c r="D20" i="2"/>
  <c r="D17" i="2"/>
  <c r="D11" i="2"/>
  <c r="D10" i="2"/>
  <c r="C20" i="2"/>
  <c r="C19" i="2"/>
  <c r="C17" i="2"/>
  <c r="C11" i="2"/>
  <c r="C10" i="2"/>
  <c r="C12" i="1"/>
  <c r="B6" i="1"/>
  <c r="B8" i="1" s="1"/>
  <c r="C6" i="1"/>
  <c r="D12" i="1"/>
  <c r="D6" i="1"/>
  <c r="C42" i="2"/>
  <c r="E12" i="1"/>
  <c r="K12" i="1"/>
  <c r="H12" i="1"/>
  <c r="L12" i="1"/>
  <c r="D45" i="2"/>
  <c r="D42" i="2"/>
  <c r="I12" i="1"/>
  <c r="Q28" i="1"/>
  <c r="E42" i="2"/>
  <c r="N49" i="1"/>
  <c r="N48" i="1"/>
  <c r="M6" i="1"/>
  <c r="L6" i="1"/>
  <c r="L8" i="1" s="1"/>
  <c r="L21" i="1" s="1"/>
  <c r="K6" i="1"/>
  <c r="K8" i="1" s="1"/>
  <c r="J12" i="1"/>
  <c r="N27" i="1"/>
  <c r="N26" i="1"/>
  <c r="J6" i="1"/>
  <c r="J8" i="1" s="1"/>
  <c r="J21" i="1" s="1"/>
  <c r="N6" i="1"/>
  <c r="N8" i="1" s="1"/>
  <c r="R28" i="1"/>
  <c r="F12" i="1"/>
  <c r="E46" i="2"/>
  <c r="E45" i="2"/>
  <c r="E24" i="2"/>
  <c r="E26" i="2"/>
  <c r="M40" i="1"/>
  <c r="E43" i="2"/>
  <c r="E47" i="2"/>
  <c r="E29" i="2"/>
  <c r="I6" i="1"/>
  <c r="I8" i="1" s="1"/>
  <c r="I21" i="1" s="1"/>
  <c r="E6" i="1"/>
  <c r="D43" i="2"/>
  <c r="M49" i="1"/>
  <c r="L49" i="1"/>
  <c r="K49" i="1"/>
  <c r="J49" i="1"/>
  <c r="I49" i="1"/>
  <c r="H49" i="1"/>
  <c r="G49" i="1"/>
  <c r="F49" i="1"/>
  <c r="M48" i="1"/>
  <c r="L48" i="1"/>
  <c r="K48" i="1"/>
  <c r="J48" i="1"/>
  <c r="I48" i="1"/>
  <c r="H48" i="1"/>
  <c r="G48" i="1"/>
  <c r="F48" i="1"/>
  <c r="C24" i="2"/>
  <c r="C26" i="2"/>
  <c r="C46" i="2"/>
  <c r="C47" i="2"/>
  <c r="C43" i="2"/>
  <c r="D46" i="2"/>
  <c r="D47" i="2"/>
  <c r="F6" i="1"/>
  <c r="F8" i="1" s="1"/>
  <c r="G6" i="1"/>
  <c r="H6" i="1"/>
  <c r="E40" i="1"/>
  <c r="I40" i="1"/>
  <c r="M27" i="1"/>
  <c r="M26" i="1"/>
  <c r="J27" i="1"/>
  <c r="J26" i="1"/>
  <c r="K27" i="1"/>
  <c r="K26" i="1"/>
  <c r="L27" i="1"/>
  <c r="L26" i="1"/>
  <c r="D29" i="2"/>
  <c r="C29" i="2"/>
  <c r="G29" i="2"/>
  <c r="H29" i="2" s="1"/>
  <c r="I29" i="2" s="1"/>
  <c r="J29" i="2" s="1"/>
  <c r="K29" i="2" s="1"/>
  <c r="L29" i="2" s="1"/>
  <c r="M29" i="2" s="1"/>
  <c r="N29" i="2" s="1"/>
  <c r="O29" i="2" s="1"/>
  <c r="P29" i="2" s="1"/>
  <c r="Q29" i="2" s="1"/>
  <c r="R29" i="2" s="1"/>
  <c r="S29" i="2" s="1"/>
  <c r="T29" i="2" s="1"/>
  <c r="U29" i="2" s="1"/>
  <c r="I26" i="1"/>
  <c r="G26" i="1"/>
  <c r="F26" i="1"/>
  <c r="H26" i="1"/>
  <c r="F27" i="1"/>
  <c r="G27" i="1"/>
  <c r="H27" i="1"/>
  <c r="I27" i="1"/>
  <c r="D9" i="2"/>
  <c r="E9" i="2" s="1"/>
  <c r="F9" i="2" s="1"/>
  <c r="G9" i="2" s="1"/>
  <c r="H9" i="2" s="1"/>
  <c r="I9" i="2" s="1"/>
  <c r="J9" i="2" s="1"/>
  <c r="K9" i="2" s="1"/>
  <c r="L9" i="2" s="1"/>
  <c r="M9" i="2" s="1"/>
  <c r="N9" i="2" s="1"/>
  <c r="O9" i="2" s="1"/>
  <c r="P9" i="2" s="1"/>
  <c r="Q9" i="2" s="1"/>
  <c r="R9" i="2" s="1"/>
  <c r="S9" i="2" s="1"/>
  <c r="T9" i="2" s="1"/>
  <c r="U9" i="2" s="1"/>
  <c r="H29" i="1" l="1"/>
  <c r="H28" i="1"/>
  <c r="I29" i="1"/>
  <c r="C16" i="2"/>
  <c r="C18" i="2" s="1"/>
  <c r="N25" i="1"/>
  <c r="H25" i="1"/>
  <c r="M39" i="1"/>
  <c r="F28" i="1"/>
  <c r="B16" i="2"/>
  <c r="B18" i="2" s="1"/>
  <c r="B31" i="2" s="1"/>
  <c r="I28" i="1"/>
  <c r="E31" i="1"/>
  <c r="O8" i="1"/>
  <c r="O21" i="1" s="1"/>
  <c r="S25" i="1"/>
  <c r="M8" i="1"/>
  <c r="M21" i="1" s="1"/>
  <c r="Q25" i="1"/>
  <c r="D16" i="2"/>
  <c r="D18" i="2" s="1"/>
  <c r="D31" i="2" s="1"/>
  <c r="D21" i="2"/>
  <c r="D22" i="2" s="1"/>
  <c r="G25" i="1"/>
  <c r="N12" i="1"/>
  <c r="R29" i="1" s="1"/>
  <c r="F21" i="2"/>
  <c r="G21" i="2" s="1"/>
  <c r="H21" i="2" s="1"/>
  <c r="I21" i="2" s="1"/>
  <c r="J21" i="2" s="1"/>
  <c r="K21" i="2" s="1"/>
  <c r="L21" i="2" s="1"/>
  <c r="M21" i="2" s="1"/>
  <c r="N21" i="2" s="1"/>
  <c r="O21" i="2" s="1"/>
  <c r="P21" i="2" s="1"/>
  <c r="L28" i="1"/>
  <c r="D8" i="1"/>
  <c r="D21" i="1" s="1"/>
  <c r="J28" i="1"/>
  <c r="F25" i="1"/>
  <c r="M12" i="1"/>
  <c r="F13" i="1"/>
  <c r="F22" i="1" s="1"/>
  <c r="C37" i="2"/>
  <c r="R25" i="1"/>
  <c r="L25" i="1"/>
  <c r="M28" i="1"/>
  <c r="P13" i="1"/>
  <c r="P15" i="1" s="1"/>
  <c r="P17" i="1" s="1"/>
  <c r="T29" i="1"/>
  <c r="C50" i="2"/>
  <c r="E36" i="2"/>
  <c r="E41" i="2"/>
  <c r="E58" i="2"/>
  <c r="D50" i="2"/>
  <c r="C58" i="2"/>
  <c r="E37" i="2"/>
  <c r="R13" i="1"/>
  <c r="R21" i="1"/>
  <c r="K13" i="1"/>
  <c r="K15" i="1" s="1"/>
  <c r="K21" i="1"/>
  <c r="C41" i="2"/>
  <c r="E57" i="2"/>
  <c r="K28" i="1"/>
  <c r="G28" i="1"/>
  <c r="I25" i="1"/>
  <c r="E50" i="2"/>
  <c r="E49" i="2"/>
  <c r="I13" i="1"/>
  <c r="I22" i="1" s="1"/>
  <c r="D57" i="2"/>
  <c r="B22" i="2"/>
  <c r="D37" i="2"/>
  <c r="I39" i="1"/>
  <c r="D41" i="2"/>
  <c r="E39" i="1"/>
  <c r="D58" i="2"/>
  <c r="F21" i="1"/>
  <c r="J25" i="1"/>
  <c r="M31" i="1"/>
  <c r="L29" i="1"/>
  <c r="D36" i="2"/>
  <c r="J29" i="1"/>
  <c r="P28" i="1"/>
  <c r="B21" i="1"/>
  <c r="D49" i="2"/>
  <c r="L13" i="1"/>
  <c r="M25" i="1"/>
  <c r="C57" i="2"/>
  <c r="C45" i="2"/>
  <c r="H8" i="1"/>
  <c r="J13" i="1"/>
  <c r="G12" i="1"/>
  <c r="G29" i="1" s="1"/>
  <c r="C8" i="1"/>
  <c r="I31" i="1"/>
  <c r="O25" i="1"/>
  <c r="O12" i="1"/>
  <c r="C21" i="2"/>
  <c r="E21" i="2"/>
  <c r="N28" i="1"/>
  <c r="C6" i="2"/>
  <c r="C7" i="2" s="1"/>
  <c r="G8" i="1"/>
  <c r="N21" i="1"/>
  <c r="B12" i="1"/>
  <c r="F29" i="1" s="1"/>
  <c r="O28" i="1"/>
  <c r="E8" i="1"/>
  <c r="K25" i="1"/>
  <c r="C36" i="2"/>
  <c r="P29" i="1"/>
  <c r="E38" i="2" l="1"/>
  <c r="C35" i="2"/>
  <c r="F15" i="1"/>
  <c r="F17" i="1" s="1"/>
  <c r="M13" i="1"/>
  <c r="K22" i="1"/>
  <c r="Q21" i="2"/>
  <c r="F22" i="2"/>
  <c r="F23" i="2" s="1"/>
  <c r="F25" i="2" s="1"/>
  <c r="P18" i="1"/>
  <c r="D13" i="1"/>
  <c r="D22" i="1" s="1"/>
  <c r="N13" i="1"/>
  <c r="N15" i="1" s="1"/>
  <c r="N23" i="1" s="1"/>
  <c r="Q29" i="1"/>
  <c r="M29" i="1"/>
  <c r="N29" i="1"/>
  <c r="B23" i="2"/>
  <c r="B32" i="2" s="1"/>
  <c r="O29" i="1"/>
  <c r="S29" i="1"/>
  <c r="D35" i="2"/>
  <c r="C49" i="2"/>
  <c r="C38" i="2"/>
  <c r="R22" i="1"/>
  <c r="R15" i="1"/>
  <c r="B13" i="1"/>
  <c r="B15" i="1" s="1"/>
  <c r="K29" i="1"/>
  <c r="I15" i="1"/>
  <c r="I17" i="1" s="1"/>
  <c r="K17" i="1"/>
  <c r="K23" i="1"/>
  <c r="P25" i="1"/>
  <c r="E21" i="1"/>
  <c r="E13" i="1"/>
  <c r="D15" i="1"/>
  <c r="G13" i="1"/>
  <c r="G21" i="1"/>
  <c r="D23" i="2"/>
  <c r="J22" i="1"/>
  <c r="J15" i="1"/>
  <c r="H21" i="1"/>
  <c r="H13" i="1"/>
  <c r="C31" i="2"/>
  <c r="F37" i="2"/>
  <c r="C13" i="1"/>
  <c r="C21" i="1"/>
  <c r="M22" i="1"/>
  <c r="M15" i="1"/>
  <c r="L15" i="1"/>
  <c r="L22" i="1"/>
  <c r="E35" i="2"/>
  <c r="E18" i="2"/>
  <c r="D38" i="2"/>
  <c r="O13" i="1"/>
  <c r="E22" i="2"/>
  <c r="E39" i="2" s="1"/>
  <c r="C22" i="2"/>
  <c r="C39" i="2" s="1"/>
  <c r="B22" i="1" l="1"/>
  <c r="F23" i="1"/>
  <c r="I23" i="1"/>
  <c r="N17" i="1"/>
  <c r="Q38" i="2"/>
  <c r="R21" i="2"/>
  <c r="Q22" i="2"/>
  <c r="B25" i="2"/>
  <c r="N18" i="1"/>
  <c r="N22" i="1"/>
  <c r="R17" i="1"/>
  <c r="R23" i="1"/>
  <c r="F36" i="2"/>
  <c r="B27" i="2"/>
  <c r="B33" i="2"/>
  <c r="E22" i="1"/>
  <c r="E15" i="1"/>
  <c r="B23" i="1"/>
  <c r="B17" i="1"/>
  <c r="D17" i="1"/>
  <c r="D18" i="1" s="1"/>
  <c r="D23" i="1"/>
  <c r="O15" i="1"/>
  <c r="O22" i="1"/>
  <c r="C22" i="1"/>
  <c r="C15" i="1"/>
  <c r="G37" i="2"/>
  <c r="C23" i="2"/>
  <c r="D32" i="2"/>
  <c r="D25" i="2"/>
  <c r="L17" i="1"/>
  <c r="L23" i="1"/>
  <c r="D39" i="2"/>
  <c r="P21" i="1"/>
  <c r="H22" i="1"/>
  <c r="H15" i="1"/>
  <c r="I18" i="1"/>
  <c r="F18" i="1"/>
  <c r="F38" i="2"/>
  <c r="E23" i="2"/>
  <c r="E31" i="2"/>
  <c r="J23" i="1"/>
  <c r="J17" i="1"/>
  <c r="M23" i="1"/>
  <c r="M17" i="1"/>
  <c r="G22" i="1"/>
  <c r="G15" i="1"/>
  <c r="K18" i="1"/>
  <c r="F39" i="2"/>
  <c r="R38" i="2" l="1"/>
  <c r="S21" i="2"/>
  <c r="R22" i="2"/>
  <c r="R39" i="2" s="1"/>
  <c r="M18" i="1"/>
  <c r="T42" i="1"/>
  <c r="S42" i="1"/>
  <c r="R18" i="1"/>
  <c r="P22" i="1"/>
  <c r="G38" i="2"/>
  <c r="H22" i="2"/>
  <c r="O23" i="1"/>
  <c r="O17" i="1"/>
  <c r="E17" i="1"/>
  <c r="E18" i="1" s="1"/>
  <c r="E23" i="1"/>
  <c r="D27" i="2"/>
  <c r="D33" i="2"/>
  <c r="C32" i="2"/>
  <c r="C25" i="2"/>
  <c r="H37" i="2"/>
  <c r="F35" i="2"/>
  <c r="L18" i="1"/>
  <c r="G17" i="1"/>
  <c r="G23" i="1"/>
  <c r="H23" i="1"/>
  <c r="H17" i="1"/>
  <c r="J18" i="1"/>
  <c r="M42" i="1"/>
  <c r="E32" i="2"/>
  <c r="E25" i="2"/>
  <c r="N42" i="1"/>
  <c r="L42" i="1"/>
  <c r="B18" i="1"/>
  <c r="G22" i="2"/>
  <c r="G39" i="2" s="1"/>
  <c r="C17" i="1"/>
  <c r="C18" i="1" s="1"/>
  <c r="C23" i="1"/>
  <c r="B28" i="2"/>
  <c r="S38" i="2" l="1"/>
  <c r="T21" i="2"/>
  <c r="S22" i="2"/>
  <c r="S39" i="2" s="1"/>
  <c r="O18" i="1"/>
  <c r="Q42" i="1"/>
  <c r="S46" i="1"/>
  <c r="S43" i="1"/>
  <c r="S45" i="1"/>
  <c r="S44" i="1"/>
  <c r="E42" i="1"/>
  <c r="E46" i="1" s="1"/>
  <c r="T46" i="1"/>
  <c r="T44" i="1"/>
  <c r="T45" i="1"/>
  <c r="T43" i="1"/>
  <c r="P42" i="1"/>
  <c r="H39" i="2"/>
  <c r="H36" i="2"/>
  <c r="F31" i="2"/>
  <c r="D55" i="2"/>
  <c r="D52" i="2"/>
  <c r="D54" i="2"/>
  <c r="D28" i="2"/>
  <c r="D53" i="2"/>
  <c r="H38" i="2"/>
  <c r="L46" i="1"/>
  <c r="L43" i="1"/>
  <c r="L45" i="1"/>
  <c r="L44" i="1"/>
  <c r="I37" i="2"/>
  <c r="C33" i="2"/>
  <c r="C27" i="2"/>
  <c r="N45" i="1"/>
  <c r="N44" i="1"/>
  <c r="N43" i="1"/>
  <c r="N46" i="1"/>
  <c r="E33" i="2"/>
  <c r="E27" i="2"/>
  <c r="M46" i="1"/>
  <c r="M45" i="1"/>
  <c r="M44" i="1"/>
  <c r="M43" i="1"/>
  <c r="H18" i="1"/>
  <c r="K42" i="1"/>
  <c r="J42" i="1"/>
  <c r="G18" i="1"/>
  <c r="I42" i="1"/>
  <c r="O42" i="1"/>
  <c r="T38" i="2" l="1"/>
  <c r="U21" i="2"/>
  <c r="T22" i="2"/>
  <c r="T39" i="2" s="1"/>
  <c r="E45" i="1"/>
  <c r="E44" i="1"/>
  <c r="P45" i="1"/>
  <c r="P43" i="1"/>
  <c r="P46" i="1"/>
  <c r="P44" i="1"/>
  <c r="Q46" i="1"/>
  <c r="Q44" i="1"/>
  <c r="Q45" i="1"/>
  <c r="Q43" i="1"/>
  <c r="E43" i="1"/>
  <c r="C53" i="2"/>
  <c r="C52" i="2"/>
  <c r="C54" i="2"/>
  <c r="G18" i="2"/>
  <c r="G17" i="2" s="1"/>
  <c r="I22" i="2"/>
  <c r="I39" i="2" s="1"/>
  <c r="E55" i="2"/>
  <c r="E54" i="2"/>
  <c r="E52" i="2"/>
  <c r="I36" i="2"/>
  <c r="I46" i="1"/>
  <c r="I45" i="1"/>
  <c r="I44" i="1"/>
  <c r="I43" i="1"/>
  <c r="H35" i="2"/>
  <c r="K46" i="1"/>
  <c r="K45" i="1"/>
  <c r="K44" i="1"/>
  <c r="K43" i="1"/>
  <c r="P23" i="1"/>
  <c r="E28" i="2"/>
  <c r="E53" i="2"/>
  <c r="J37" i="2"/>
  <c r="O45" i="1"/>
  <c r="O44" i="1"/>
  <c r="O43" i="1"/>
  <c r="O46" i="1"/>
  <c r="C55" i="2"/>
  <c r="C28" i="2"/>
  <c r="F32" i="2"/>
  <c r="I38" i="2"/>
  <c r="J46" i="1"/>
  <c r="J45" i="1"/>
  <c r="J44" i="1"/>
  <c r="J43" i="1"/>
  <c r="U38" i="2" l="1"/>
  <c r="U22" i="2"/>
  <c r="U39" i="2" s="1"/>
  <c r="G23" i="2"/>
  <c r="G32" i="2" s="1"/>
  <c r="G31" i="2"/>
  <c r="H18" i="2" s="1"/>
  <c r="H23" i="2" s="1"/>
  <c r="J22" i="2"/>
  <c r="J39" i="2" s="1"/>
  <c r="L16" i="2"/>
  <c r="M16" i="2" s="1"/>
  <c r="N16" i="2" s="1"/>
  <c r="O16" i="2" s="1"/>
  <c r="P16" i="2" s="1"/>
  <c r="Q16" i="2" s="1"/>
  <c r="R16" i="2" s="1"/>
  <c r="S16" i="2" s="1"/>
  <c r="T16" i="2" s="1"/>
  <c r="U16" i="2" s="1"/>
  <c r="J36" i="2"/>
  <c r="F33" i="2"/>
  <c r="I35" i="2"/>
  <c r="K37" i="2"/>
  <c r="J38" i="2"/>
  <c r="H31" i="2" l="1"/>
  <c r="I18" i="2" s="1"/>
  <c r="I17" i="2" s="1"/>
  <c r="H17" i="2"/>
  <c r="F27" i="2"/>
  <c r="R42" i="1"/>
  <c r="K36" i="2"/>
  <c r="I23" i="2"/>
  <c r="I31" i="2"/>
  <c r="J18" i="2" s="1"/>
  <c r="J35" i="2"/>
  <c r="K38" i="2"/>
  <c r="K22" i="2"/>
  <c r="K39" i="2" s="1"/>
  <c r="L37" i="2"/>
  <c r="H32" i="2"/>
  <c r="R45" i="1" l="1"/>
  <c r="R46" i="1"/>
  <c r="F28" i="2"/>
  <c r="F52" i="2"/>
  <c r="F54" i="2"/>
  <c r="F53" i="2"/>
  <c r="F55" i="2"/>
  <c r="R44" i="1"/>
  <c r="R43" i="1"/>
  <c r="L36" i="2"/>
  <c r="M22" i="2"/>
  <c r="L38" i="2"/>
  <c r="J23" i="2"/>
  <c r="J31" i="2"/>
  <c r="K18" i="2" s="1"/>
  <c r="K17" i="2" s="1"/>
  <c r="K35" i="2"/>
  <c r="J17" i="2"/>
  <c r="L22" i="2"/>
  <c r="L39" i="2" s="1"/>
  <c r="M37" i="2"/>
  <c r="I32" i="2"/>
  <c r="M36" i="2" l="1"/>
  <c r="J32" i="2"/>
  <c r="G33" i="2"/>
  <c r="K23" i="2"/>
  <c r="K31" i="2"/>
  <c r="L18" i="2" s="1"/>
  <c r="L35" i="2"/>
  <c r="M39" i="2"/>
  <c r="N37" i="2"/>
  <c r="M38" i="2"/>
  <c r="G27" i="2" l="1"/>
  <c r="G41" i="2" s="1"/>
  <c r="N36" i="2"/>
  <c r="M35" i="2"/>
  <c r="O37" i="2"/>
  <c r="L23" i="2"/>
  <c r="L31" i="2"/>
  <c r="M18" i="2" s="1"/>
  <c r="K32" i="2"/>
  <c r="L17" i="2"/>
  <c r="N38" i="2"/>
  <c r="N22" i="2"/>
  <c r="N39" i="2" s="1"/>
  <c r="G28" i="2" l="1"/>
  <c r="O36" i="2"/>
  <c r="M23" i="2"/>
  <c r="M31" i="2"/>
  <c r="N18" i="2" s="1"/>
  <c r="M17" i="2"/>
  <c r="O38" i="2"/>
  <c r="L32" i="2"/>
  <c r="O22" i="2"/>
  <c r="O39" i="2" s="1"/>
  <c r="P37" i="2"/>
  <c r="P22" i="2"/>
  <c r="Q39" i="2" s="1"/>
  <c r="N35" i="2"/>
  <c r="P36" i="2" l="1"/>
  <c r="N31" i="2"/>
  <c r="O18" i="2" s="1"/>
  <c r="O17" i="2" s="1"/>
  <c r="N23" i="2"/>
  <c r="N17" i="2"/>
  <c r="O35" i="2"/>
  <c r="P39" i="2"/>
  <c r="H24" i="2"/>
  <c r="H25" i="2" s="1"/>
  <c r="P38" i="2"/>
  <c r="M32" i="2"/>
  <c r="Q35" i="2" l="1"/>
  <c r="H33" i="2"/>
  <c r="N32" i="2"/>
  <c r="P35" i="2"/>
  <c r="O23" i="2"/>
  <c r="O31" i="2"/>
  <c r="P18" i="2" s="1"/>
  <c r="R35" i="2" l="1"/>
  <c r="H27" i="2"/>
  <c r="P23" i="2"/>
  <c r="P31" i="2"/>
  <c r="Q18" i="2" s="1"/>
  <c r="P17" i="2"/>
  <c r="O32" i="2"/>
  <c r="Q23" i="2" l="1"/>
  <c r="Q31" i="2"/>
  <c r="R18" i="2" s="1"/>
  <c r="Q17" i="2"/>
  <c r="S35" i="2"/>
  <c r="H28" i="2"/>
  <c r="H41" i="2"/>
  <c r="I24" i="2" s="1"/>
  <c r="I25" i="2" s="1"/>
  <c r="P32" i="2"/>
  <c r="T35" i="2" l="1"/>
  <c r="R31" i="2"/>
  <c r="S18" i="2" s="1"/>
  <c r="R23" i="2"/>
  <c r="R17" i="2"/>
  <c r="Q32" i="2"/>
  <c r="I33" i="2"/>
  <c r="R32" i="2" l="1"/>
  <c r="S31" i="2"/>
  <c r="T18" i="2" s="1"/>
  <c r="S23" i="2"/>
  <c r="S17" i="2"/>
  <c r="U35" i="2"/>
  <c r="I27" i="2"/>
  <c r="I41" i="2" s="1"/>
  <c r="S32" i="2" l="1"/>
  <c r="T17" i="2"/>
  <c r="T31" i="2"/>
  <c r="U18" i="2" s="1"/>
  <c r="T23" i="2"/>
  <c r="I28" i="2"/>
  <c r="J24" i="2"/>
  <c r="J25" i="2" s="1"/>
  <c r="T32" i="2" l="1"/>
  <c r="U31" i="2"/>
  <c r="U23" i="2"/>
  <c r="U17" i="2"/>
  <c r="J33" i="2"/>
  <c r="U32" i="2" l="1"/>
  <c r="J27" i="2"/>
  <c r="J28" i="2" l="1"/>
  <c r="J41" i="2"/>
  <c r="K24" i="2" s="1"/>
  <c r="K25" i="2" s="1"/>
  <c r="K26" i="2" l="1"/>
  <c r="K33" i="2" s="1"/>
  <c r="K27" i="2" l="1"/>
  <c r="K41" i="2" s="1"/>
  <c r="K28" i="2" l="1"/>
  <c r="L24" i="2"/>
  <c r="L25" i="2" s="1"/>
  <c r="L26" i="2" l="1"/>
  <c r="L33" i="2" s="1"/>
  <c r="L27" i="2" l="1"/>
  <c r="L28" i="2" s="1"/>
  <c r="L41" i="2"/>
  <c r="M24" i="2" l="1"/>
  <c r="M25" i="2" s="1"/>
  <c r="M26" i="2" l="1"/>
  <c r="M33" i="2" s="1"/>
  <c r="M27" i="2" l="1"/>
  <c r="M28" i="2" l="1"/>
  <c r="M41" i="2"/>
  <c r="N24" i="2" l="1"/>
  <c r="N25" i="2" s="1"/>
  <c r="N26" i="2" l="1"/>
  <c r="N33" i="2" s="1"/>
  <c r="N27" i="2" l="1"/>
  <c r="N28" i="2" s="1"/>
  <c r="N41" i="2"/>
  <c r="O24" i="2" l="1"/>
  <c r="O25" i="2" s="1"/>
  <c r="O26" i="2" l="1"/>
  <c r="O33" i="2" s="1"/>
  <c r="O27" i="2" l="1"/>
  <c r="O28" i="2" s="1"/>
  <c r="O41" i="2" l="1"/>
  <c r="P24" i="2" s="1"/>
  <c r="P25" i="2" s="1"/>
  <c r="P26" i="2" l="1"/>
  <c r="P33" i="2" s="1"/>
  <c r="P27" i="2" l="1"/>
  <c r="P28" i="2" l="1"/>
  <c r="P41" i="2"/>
  <c r="Q24" i="2" l="1"/>
  <c r="Q25" i="2" s="1"/>
  <c r="Q26" i="2" l="1"/>
  <c r="Q33" i="2" s="1"/>
  <c r="Q27" i="2" l="1"/>
  <c r="Q28" i="2"/>
  <c r="Q41" i="2"/>
  <c r="R24" i="2" l="1"/>
  <c r="R25" i="2" s="1"/>
  <c r="R26" i="2" l="1"/>
  <c r="R33" i="2" s="1"/>
  <c r="R27" i="2" l="1"/>
  <c r="R28" i="2" s="1"/>
  <c r="R41" i="2" l="1"/>
  <c r="S24" i="2"/>
  <c r="S25" i="2" s="1"/>
  <c r="S26" i="2" l="1"/>
  <c r="S33" i="2" s="1"/>
  <c r="S27" i="2" l="1"/>
  <c r="S28" i="2" l="1"/>
  <c r="S41" i="2"/>
  <c r="T24" i="2" l="1"/>
  <c r="T25" i="2" s="1"/>
  <c r="T26" i="2" l="1"/>
  <c r="T33" i="2" s="1"/>
  <c r="T27" i="2" l="1"/>
  <c r="T28" i="2" s="1"/>
  <c r="T41" i="2" l="1"/>
  <c r="U24" i="2" s="1"/>
  <c r="U25" i="2" s="1"/>
  <c r="U26" i="2" l="1"/>
  <c r="U33" i="2" s="1"/>
  <c r="U27" i="2" l="1"/>
  <c r="U28" i="2" l="1"/>
  <c r="V27" i="2"/>
  <c r="W27" i="2" s="1"/>
  <c r="X27" i="2" s="1"/>
  <c r="Y27" i="2" s="1"/>
  <c r="Z27" i="2" s="1"/>
  <c r="AA27" i="2" s="1"/>
  <c r="AB27" i="2" s="1"/>
  <c r="AC27" i="2" s="1"/>
  <c r="AD27" i="2" s="1"/>
  <c r="AE27" i="2" s="1"/>
  <c r="AF27" i="2" s="1"/>
  <c r="AG27" i="2" s="1"/>
  <c r="AH27" i="2" s="1"/>
  <c r="AI27" i="2" s="1"/>
  <c r="AJ27" i="2" s="1"/>
  <c r="AK27" i="2" s="1"/>
  <c r="AL27" i="2" s="1"/>
  <c r="AM27" i="2" s="1"/>
  <c r="AN27" i="2" s="1"/>
  <c r="AO27" i="2" s="1"/>
  <c r="AP27" i="2" s="1"/>
  <c r="AQ27" i="2" s="1"/>
  <c r="AR27" i="2" s="1"/>
  <c r="AS27" i="2" s="1"/>
  <c r="AT27" i="2" s="1"/>
  <c r="AU27" i="2" s="1"/>
  <c r="AV27" i="2" s="1"/>
  <c r="AW27" i="2" s="1"/>
  <c r="AX27" i="2" s="1"/>
  <c r="AY27" i="2" s="1"/>
  <c r="AZ27" i="2" s="1"/>
  <c r="BA27" i="2" s="1"/>
  <c r="BB27" i="2" s="1"/>
  <c r="BC27" i="2" s="1"/>
  <c r="BD27" i="2" s="1"/>
  <c r="BE27" i="2" s="1"/>
  <c r="BF27" i="2" s="1"/>
  <c r="BG27" i="2" s="1"/>
  <c r="BH27" i="2" s="1"/>
  <c r="BI27" i="2" s="1"/>
  <c r="BJ27" i="2" s="1"/>
  <c r="BK27" i="2" s="1"/>
  <c r="BL27" i="2" s="1"/>
  <c r="BM27" i="2" s="1"/>
  <c r="BN27" i="2" s="1"/>
  <c r="BO27" i="2" s="1"/>
  <c r="BP27" i="2" s="1"/>
  <c r="BQ27" i="2" s="1"/>
  <c r="BR27" i="2" s="1"/>
  <c r="BS27" i="2" s="1"/>
  <c r="BT27" i="2" s="1"/>
  <c r="BU27" i="2" s="1"/>
  <c r="BV27" i="2" s="1"/>
  <c r="BW27" i="2" s="1"/>
  <c r="BX27" i="2" s="1"/>
  <c r="BY27" i="2" s="1"/>
  <c r="BZ27" i="2" s="1"/>
  <c r="CA27" i="2" s="1"/>
  <c r="CB27" i="2" s="1"/>
  <c r="CC27" i="2" s="1"/>
  <c r="CD27" i="2" s="1"/>
  <c r="CE27" i="2" s="1"/>
  <c r="CF27" i="2" s="1"/>
  <c r="CG27" i="2" s="1"/>
  <c r="CH27" i="2" s="1"/>
  <c r="CI27" i="2" s="1"/>
  <c r="CJ27" i="2" s="1"/>
  <c r="CK27" i="2" s="1"/>
  <c r="CL27" i="2" s="1"/>
  <c r="CM27" i="2" s="1"/>
  <c r="CN27" i="2" s="1"/>
  <c r="CO27" i="2" s="1"/>
  <c r="CP27" i="2" s="1"/>
  <c r="CQ27" i="2" s="1"/>
  <c r="CR27" i="2" s="1"/>
  <c r="CS27" i="2" s="1"/>
  <c r="CT27" i="2" s="1"/>
  <c r="CU27" i="2" s="1"/>
  <c r="CV27" i="2" s="1"/>
  <c r="CW27" i="2" s="1"/>
  <c r="CX27" i="2" s="1"/>
  <c r="CY27" i="2" s="1"/>
  <c r="CZ27" i="2" s="1"/>
  <c r="DA27" i="2" s="1"/>
  <c r="DB27" i="2" s="1"/>
  <c r="DC27" i="2" s="1"/>
  <c r="DD27" i="2" s="1"/>
  <c r="DE27" i="2" s="1"/>
  <c r="DF27" i="2" s="1"/>
  <c r="DG27" i="2" s="1"/>
  <c r="DH27" i="2" s="1"/>
  <c r="DI27" i="2" s="1"/>
  <c r="DJ27" i="2" s="1"/>
  <c r="DK27" i="2" s="1"/>
  <c r="DL27" i="2" s="1"/>
  <c r="DM27" i="2" s="1"/>
  <c r="DN27" i="2" s="1"/>
  <c r="DO27" i="2" s="1"/>
  <c r="DP27" i="2" s="1"/>
  <c r="DQ27" i="2" s="1"/>
  <c r="DR27" i="2" s="1"/>
  <c r="DS27" i="2" s="1"/>
  <c r="DT27" i="2" s="1"/>
  <c r="DU27" i="2" s="1"/>
  <c r="DV27" i="2" s="1"/>
  <c r="DW27" i="2" s="1"/>
  <c r="DX27" i="2" s="1"/>
  <c r="DY27" i="2" s="1"/>
  <c r="DZ27" i="2" s="1"/>
  <c r="EA27" i="2" s="1"/>
  <c r="EB27" i="2" s="1"/>
  <c r="EC27" i="2" s="1"/>
  <c r="ED27" i="2" s="1"/>
  <c r="EE27" i="2" s="1"/>
  <c r="EF27" i="2" s="1"/>
  <c r="EG27" i="2" s="1"/>
  <c r="EH27" i="2" s="1"/>
  <c r="EI27" i="2" s="1"/>
  <c r="EJ27" i="2" s="1"/>
  <c r="EK27" i="2" s="1"/>
  <c r="EL27" i="2" s="1"/>
  <c r="EM27" i="2" s="1"/>
  <c r="EN27" i="2" s="1"/>
  <c r="EO27" i="2" s="1"/>
  <c r="EP27" i="2" s="1"/>
  <c r="EQ27" i="2" s="1"/>
  <c r="ER27" i="2" s="1"/>
  <c r="ES27" i="2" s="1"/>
  <c r="ET27" i="2" s="1"/>
  <c r="EU27" i="2" s="1"/>
  <c r="EV27" i="2" s="1"/>
  <c r="EW27" i="2" s="1"/>
  <c r="EX27" i="2" s="1"/>
  <c r="EY27" i="2" s="1"/>
  <c r="EZ27" i="2" s="1"/>
  <c r="FA27" i="2" s="1"/>
  <c r="FB27" i="2" s="1"/>
  <c r="FC27" i="2" s="1"/>
  <c r="FD27" i="2" s="1"/>
  <c r="FE27" i="2" s="1"/>
  <c r="FF27" i="2" s="1"/>
  <c r="FG27" i="2" s="1"/>
  <c r="FH27" i="2" s="1"/>
  <c r="FI27" i="2" s="1"/>
  <c r="FJ27" i="2" s="1"/>
  <c r="FK27" i="2" s="1"/>
  <c r="FL27" i="2" s="1"/>
  <c r="FM27" i="2" s="1"/>
  <c r="FN27" i="2" s="1"/>
  <c r="FO27" i="2" s="1"/>
  <c r="FP27" i="2" s="1"/>
  <c r="FQ27" i="2" s="1"/>
  <c r="FR27" i="2" s="1"/>
  <c r="FS27" i="2" s="1"/>
  <c r="FT27" i="2" s="1"/>
  <c r="FU27" i="2" s="1"/>
  <c r="FV27" i="2" s="1"/>
  <c r="FW27" i="2" s="1"/>
  <c r="FX27" i="2" s="1"/>
  <c r="FY27" i="2" s="1"/>
  <c r="FZ27" i="2" s="1"/>
  <c r="GA27" i="2" s="1"/>
  <c r="GB27" i="2" s="1"/>
  <c r="GC27" i="2" s="1"/>
  <c r="GD27" i="2" s="1"/>
  <c r="GE27" i="2" s="1"/>
  <c r="GF27" i="2" s="1"/>
  <c r="GG27" i="2" s="1"/>
  <c r="GH27" i="2" s="1"/>
  <c r="GI27" i="2" s="1"/>
  <c r="GJ27" i="2" s="1"/>
  <c r="GK27" i="2" s="1"/>
  <c r="GL27" i="2" s="1"/>
  <c r="GM27" i="2" s="1"/>
  <c r="GN27" i="2" s="1"/>
  <c r="GO27" i="2" s="1"/>
  <c r="GP27" i="2" s="1"/>
  <c r="GQ27" i="2" s="1"/>
  <c r="GR27" i="2" s="1"/>
  <c r="U41" i="2"/>
  <c r="F6" i="2" l="1"/>
  <c r="F7" i="2" s="1"/>
  <c r="G7" i="2" s="1"/>
</calcChain>
</file>

<file path=xl/sharedStrings.xml><?xml version="1.0" encoding="utf-8"?>
<sst xmlns="http://schemas.openxmlformats.org/spreadsheetml/2006/main" count="130" uniqueCount="86">
  <si>
    <t>Q117</t>
  </si>
  <si>
    <t>Q217</t>
  </si>
  <si>
    <t>Q317</t>
  </si>
  <si>
    <t>Q417</t>
  </si>
  <si>
    <t>Revenue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</si>
  <si>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</si>
  <si>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</si>
  <si>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</si>
  <si>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</si>
  <si>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</si>
  <si>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</si>
  <si>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</si>
  <si>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</si>
  <si>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</si>
  <si>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</si>
  <si>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</si>
  <si>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</si>
  <si>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Shares</t>
  </si>
  <si>
    <t>Revenue y/y</t>
  </si>
  <si>
    <t>Gross Margin</t>
  </si>
  <si>
    <t>Operating Margin</t>
  </si>
  <si>
    <t>Tax Rate</t>
  </si>
  <si>
    <t>Net Cash</t>
  </si>
  <si>
    <t>Cash</t>
  </si>
  <si>
    <t>Debt</t>
  </si>
  <si>
    <t>Maturity</t>
  </si>
  <si>
    <t>ROIC</t>
  </si>
  <si>
    <t>Discount</t>
  </si>
  <si>
    <t>NPV</t>
  </si>
  <si>
    <t>Value</t>
  </si>
  <si>
    <t>Q118</t>
  </si>
  <si>
    <t>Q218</t>
  </si>
  <si>
    <t>Q318</t>
  </si>
  <si>
    <t>Q418</t>
  </si>
  <si>
    <t>R&amp;D y/y</t>
  </si>
  <si>
    <t>S&amp;M y/y</t>
  </si>
  <si>
    <t>G&amp;A y/y</t>
  </si>
  <si>
    <t>EDGAR</t>
  </si>
  <si>
    <t>CEO</t>
  </si>
  <si>
    <t>Founder</t>
  </si>
  <si>
    <t>Price</t>
  </si>
  <si>
    <t>Market Cap</t>
  </si>
  <si>
    <t>EV</t>
  </si>
  <si>
    <t>per share</t>
  </si>
  <si>
    <t>Q119</t>
  </si>
  <si>
    <t>Q219</t>
  </si>
  <si>
    <t>Q319</t>
  </si>
  <si>
    <t>Q419</t>
  </si>
  <si>
    <t>Intangibles</t>
  </si>
  <si>
    <t>Total assets</t>
  </si>
  <si>
    <t>Total liabilities</t>
  </si>
  <si>
    <t>TWC</t>
  </si>
  <si>
    <t>Equity</t>
  </si>
  <si>
    <t>NI 12M</t>
  </si>
  <si>
    <t>ROE</t>
  </si>
  <si>
    <t>ROA</t>
  </si>
  <si>
    <t>ROTB</t>
  </si>
  <si>
    <t>ROTWC</t>
  </si>
  <si>
    <t>Investor Relations</t>
  </si>
  <si>
    <t>Expected return on invested capital (innovation grade)</t>
  </si>
  <si>
    <t>Subscription</t>
  </si>
  <si>
    <t>Product</t>
  </si>
  <si>
    <t>Subscription y/y</t>
  </si>
  <si>
    <t>Product y/y</t>
  </si>
  <si>
    <t>Operating Expenses y/y</t>
  </si>
  <si>
    <t>Q120</t>
  </si>
  <si>
    <t>Q420</t>
  </si>
  <si>
    <t>Risk-free rate + market premium (opportunity cost)</t>
  </si>
  <si>
    <t>http://www.worldgovernmentbonds.com/country/united-states/</t>
  </si>
  <si>
    <t>Net present value on future net income (terminal value)</t>
  </si>
  <si>
    <t>Q220</t>
  </si>
  <si>
    <t>Q320</t>
  </si>
  <si>
    <t>Okta Inc (OKTA)</t>
  </si>
  <si>
    <t>Todd McKinnon</t>
  </si>
  <si>
    <t>Frederic Kerrest</t>
  </si>
  <si>
    <t>Q121</t>
  </si>
  <si>
    <t>Q221</t>
  </si>
  <si>
    <t>Q321</t>
  </si>
  <si>
    <t>Q421</t>
  </si>
  <si>
    <t>Services and other</t>
  </si>
  <si>
    <t>Services and other y/y</t>
  </si>
  <si>
    <t>Customers</t>
  </si>
  <si>
    <t>Customers y/y</t>
  </si>
  <si>
    <t>ARPC</t>
  </si>
  <si>
    <t>ARPC y/y</t>
  </si>
  <si>
    <t>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</si>
</sst>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_ ;[Red]\-#,##0\ "/>
    <numFmt numFmtId="165" formatCode="0.0%"/>
    <numFmt numFmtId="166" formatCode="#,##0.0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2">
    <xf numFmtId="0" fontId="0" fillId="0" borderId="0" xfId="0"/>
    <xf numFmtId="0" fontId="4" fillId="0" borderId="0" xfId="4" applyFont="1" applyBorder="1"/>
    <xf numFmtId="0" fontId="5" fillId="0" borderId="0" xfId="0" applyFont="1"/>
    <xf numFmtId="0" fontId="6" fillId="0" borderId="0" xfId="0" applyFont="1"/>
    <xf numFmtId="4" fontId="6" fillId="0" borderId="0" xfId="0" applyNumberFormat="1" applyFont="1" applyBorder="1"/>
    <xf numFmtId="0" fontId="7" fillId="0" borderId="0" xfId="0" applyFont="1"/>
    <xf numFmtId="0" fontId="6" fillId="0" borderId="0" xfId="0" applyFont="1" applyBorder="1"/>
    <xf numFmtId="10" fontId="6" fillId="0" borderId="0" xfId="0" applyNumberFormat="1" applyFont="1"/>
    <xf numFmtId="3" fontId="6" fillId="0" borderId="0" xfId="0" applyNumberFormat="1" applyFont="1" applyBorder="1"/>
    <xf numFmtId="0" fontId="4" fillId="0" borderId="0" xfId="4" applyFont="1"/>
    <xf numFmtId="3" fontId="6" fillId="2" borderId="0" xfId="0" applyNumberFormat="1" applyFont="1" applyFill="1" applyBorder="1"/>
    <xf numFmtId="164" fontId="6" fillId="2" borderId="0" xfId="0" applyNumberFormat="1" applyFont="1" applyFill="1"/>
    <xf numFmtId="0" fontId="5" fillId="0" borderId="0" xfId="0" applyFont="1" applyBorder="1"/>
    <xf numFmtId="164" fontId="5" fillId="2" borderId="0" xfId="0" applyNumberFormat="1" applyFont="1" applyFill="1"/>
    <xf numFmtId="0" fontId="7" fillId="0" borderId="0" xfId="0" applyFont="1" applyBorder="1"/>
    <xf numFmtId="164" fontId="6" fillId="0" borderId="0" xfId="0" applyNumberFormat="1" applyFont="1"/>
    <xf numFmtId="3" fontId="6" fillId="0" borderId="0" xfId="0" applyNumberFormat="1" applyFont="1"/>
    <xf numFmtId="3" fontId="5" fillId="0" borderId="0" xfId="0" applyNumberFormat="1" applyFont="1" applyBorder="1"/>
    <xf numFmtId="0" fontId="6" fillId="0" borderId="0" xfId="0" applyFont="1" applyFill="1" applyBorder="1"/>
    <xf numFmtId="9" fontId="6" fillId="0" borderId="0" xfId="0" applyNumberFormat="1" applyFont="1"/>
    <xf numFmtId="0" fontId="6" fillId="0" borderId="0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3" fontId="6" fillId="0" borderId="0" xfId="0" applyNumberFormat="1" applyFont="1" applyBorder="1" applyAlignment="1">
      <alignment horizontal="right"/>
    </xf>
    <xf numFmtId="3" fontId="5" fillId="2" borderId="0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3" fontId="6" fillId="2" borderId="0" xfId="0" applyNumberFormat="1" applyFont="1" applyFill="1" applyBorder="1" applyAlignment="1">
      <alignment horizontal="right"/>
    </xf>
    <xf numFmtId="3" fontId="6" fillId="2" borderId="1" xfId="0" applyNumberFormat="1" applyFont="1" applyFill="1" applyBorder="1" applyAlignment="1">
      <alignment horizontal="right"/>
    </xf>
    <xf numFmtId="2" fontId="6" fillId="2" borderId="0" xfId="0" applyNumberFormat="1" applyFont="1" applyFill="1" applyBorder="1" applyAlignment="1">
      <alignment horizontal="right"/>
    </xf>
    <xf numFmtId="9" fontId="5" fillId="0" borderId="0" xfId="1" applyNumberFormat="1" applyFont="1" applyBorder="1" applyAlignment="1">
      <alignment horizontal="right"/>
    </xf>
    <xf numFmtId="9" fontId="5" fillId="0" borderId="1" xfId="1" applyNumberFormat="1" applyFont="1" applyBorder="1" applyAlignment="1">
      <alignment horizontal="right"/>
    </xf>
    <xf numFmtId="9" fontId="6" fillId="0" borderId="0" xfId="1" applyNumberFormat="1" applyFont="1" applyBorder="1" applyAlignment="1">
      <alignment horizontal="right"/>
    </xf>
    <xf numFmtId="9" fontId="6" fillId="0" borderId="1" xfId="1" applyNumberFormat="1" applyFont="1" applyBorder="1" applyAlignment="1">
      <alignment horizontal="right"/>
    </xf>
    <xf numFmtId="9" fontId="6" fillId="0" borderId="0" xfId="0" applyNumberFormat="1" applyFont="1" applyBorder="1" applyAlignment="1">
      <alignment horizontal="right"/>
    </xf>
    <xf numFmtId="9" fontId="6" fillId="0" borderId="1" xfId="0" applyNumberFormat="1" applyFont="1" applyBorder="1" applyAlignment="1">
      <alignment horizontal="right"/>
    </xf>
    <xf numFmtId="9" fontId="6" fillId="0" borderId="0" xfId="1" applyFont="1" applyBorder="1" applyAlignment="1">
      <alignment horizontal="right"/>
    </xf>
    <xf numFmtId="9" fontId="6" fillId="0" borderId="1" xfId="1" applyFont="1" applyBorder="1" applyAlignment="1">
      <alignment horizontal="right"/>
    </xf>
    <xf numFmtId="3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3" fontId="7" fillId="0" borderId="0" xfId="0" applyNumberFormat="1" applyFont="1" applyBorder="1" applyAlignment="1">
      <alignment horizontal="right"/>
    </xf>
    <xf numFmtId="3" fontId="7" fillId="0" borderId="1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4" fontId="6" fillId="2" borderId="0" xfId="0" applyNumberFormat="1" applyFont="1" applyFill="1"/>
    <xf numFmtId="4" fontId="6" fillId="2" borderId="0" xfId="0" applyNumberFormat="1" applyFont="1" applyFill="1" applyBorder="1"/>
    <xf numFmtId="9" fontId="7" fillId="0" borderId="0" xfId="0" applyNumberFormat="1" applyFont="1" applyBorder="1" applyAlignment="1">
      <alignment horizontal="right"/>
    </xf>
    <xf numFmtId="9" fontId="7" fillId="0" borderId="1" xfId="0" applyNumberFormat="1" applyFont="1" applyBorder="1" applyAlignment="1">
      <alignment horizontal="right"/>
    </xf>
    <xf numFmtId="3" fontId="5" fillId="0" borderId="0" xfId="0" applyNumberFormat="1" applyFont="1" applyBorder="1" applyAlignment="1">
      <alignment horizontal="right"/>
    </xf>
    <xf numFmtId="2" fontId="6" fillId="0" borderId="0" xfId="0" applyNumberFormat="1" applyFont="1" applyBorder="1" applyAlignment="1">
      <alignment horizontal="right"/>
    </xf>
    <xf numFmtId="9" fontId="5" fillId="0" borderId="0" xfId="1" applyFont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3" fontId="6" fillId="0" borderId="0" xfId="0" applyNumberFormat="1" applyFont="1" applyFill="1" applyBorder="1" applyAlignment="1">
      <alignment horizontal="right"/>
    </xf>
    <xf numFmtId="165" fontId="6" fillId="0" borderId="0" xfId="0" applyNumberFormat="1" applyFont="1" applyFill="1" applyAlignment="1">
      <alignment horizontal="right"/>
    </xf>
    <xf numFmtId="165" fontId="6" fillId="0" borderId="0" xfId="0" applyNumberFormat="1" applyFont="1" applyAlignment="1">
      <alignment horizontal="right"/>
    </xf>
    <xf numFmtId="3" fontId="6" fillId="0" borderId="0" xfId="0" applyNumberFormat="1" applyFont="1" applyFill="1" applyAlignment="1">
      <alignment horizontal="right"/>
    </xf>
    <xf numFmtId="3" fontId="6" fillId="2" borderId="0" xfId="0" applyNumberFormat="1" applyFont="1" applyFill="1" applyAlignment="1">
      <alignment horizontal="right"/>
    </xf>
    <xf numFmtId="9" fontId="6" fillId="0" borderId="0" xfId="0" applyNumberFormat="1" applyFont="1" applyAlignment="1">
      <alignment horizontal="right"/>
    </xf>
    <xf numFmtId="0" fontId="7" fillId="0" borderId="1" xfId="0" applyFont="1" applyBorder="1" applyAlignment="1">
      <alignment horizontal="right"/>
    </xf>
    <xf numFmtId="14" fontId="6" fillId="0" borderId="0" xfId="0" applyNumberFormat="1" applyFont="1" applyBorder="1" applyAlignment="1">
      <alignment horizontal="right"/>
    </xf>
    <xf numFmtId="14" fontId="6" fillId="0" borderId="1" xfId="0" applyNumberFormat="1" applyFont="1" applyBorder="1" applyAlignment="1">
      <alignment horizontal="right"/>
    </xf>
    <xf numFmtId="4" fontId="6" fillId="2" borderId="0" xfId="0" applyNumberFormat="1" applyFont="1" applyFill="1" applyBorder="1" applyAlignment="1">
      <alignment horizontal="right"/>
    </xf>
    <xf numFmtId="4" fontId="6" fillId="2" borderId="1" xfId="0" applyNumberFormat="1" applyFont="1" applyFill="1" applyBorder="1" applyAlignment="1">
      <alignment horizontal="right"/>
    </xf>
    <xf numFmtId="4" fontId="6" fillId="0" borderId="0" xfId="0" applyNumberFormat="1" applyFont="1" applyFill="1" applyBorder="1" applyAlignment="1">
      <alignment horizontal="right"/>
    </xf>
    <xf numFmtId="3" fontId="6" fillId="0" borderId="0" xfId="0" applyNumberFormat="1" applyFont="1" applyFill="1" applyBorder="1"/>
    <xf numFmtId="3" fontId="5" fillId="0" borderId="0" xfId="0" applyNumberFormat="1" applyFont="1" applyFill="1" applyBorder="1"/>
    <xf numFmtId="14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4" applyBorder="1"/>
    <xf numFmtId="0" fontId="4" fillId="0" borderId="0" xfId="4"/>
    <xf numFmtId="166" fontId="6" fillId="2" borderId="0" xfId="0" applyNumberFormat="1" applyFont="1" applyFill="1" applyAlignment="1">
      <alignment horizontal="right"/>
    </xf>
    <xf numFmtId="166" fontId="6" fillId="0" borderId="0" xfId="0" applyNumberFormat="1" applyFont="1" applyAlignment="1">
      <alignment horizontal="right"/>
    </xf>
    <xf numFmtId="0" fontId="8" fillId="0" borderId="0" xfId="0" applyFont="1"/>
  </cellXfs>
  <cellStyles count="5">
    <cellStyle name="Followed Hyperlink" xfId="3" builtinId="9" hidden="1"/>
    <cellStyle name="Hyperlink" xfId="2" builtinId="8" hidden="1"/>
    <cellStyle name="Hyperlink" xfId="4" builtinId="8" customBuiltin="1"/>
    <cellStyle name="Normal" xfId="0" builtinId="0"/>
    <cellStyle name="Per 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165100</xdr:colOff>
      <xdr:row>7</xdr:row>
      <xdr:rowOff>152400</xdr:rowOff>
    </xdr:from>
    <xdr:to>
      <xdr:col>6</xdr:col>
      <xdr:colOff>165100</xdr:colOff>
      <xdr:row>62</xdr:row>
      <xdr:rowOff>10160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5834380" y="1290320"/>
          <a:ext cx="0" cy="879856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165100</xdr:colOff>
      <xdr:row>0</xdr:row>
      <xdr:rowOff>152400</xdr:rowOff>
    </xdr:from>
    <xdr:to>
      <xdr:col>20</xdr:col>
      <xdr:colOff>165100</xdr:colOff>
      <xdr:row>53</xdr:row>
      <xdr:rowOff>30480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17355820" y="152400"/>
          <a:ext cx="0" cy="849376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witter.com/toddmckinnon" TargetMode="External"/><Relationship Id="rId2" Type="http://schemas.openxmlformats.org/officeDocument/2006/relationships/hyperlink" Target="http://www.worldgovernmentbonds.com/country/united-states/" TargetMode="External"/><Relationship Id="rId1" Type="http://schemas.openxmlformats.org/officeDocument/2006/relationships/hyperlink" Target="https://investor.okta.com/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twitter.com/fkerrest" TargetMode="External"/><Relationship Id="rId4" Type="http://schemas.openxmlformats.org/officeDocument/2006/relationships/hyperlink" Target="https://twitter.com/toddmckinno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sec.gov/cgi-bin/browse-edgar?CIK=1660134&amp;owner=exclu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R61"/>
  <sheetViews>
    <sheetView zoomScale="125" zoomScaleNormal="125" workbookViewId="0">
      <pane xSplit="1" ySplit="9" topLeftCell="B10" activePane="bottomRight" state="frozen"/>
      <selection pane="topRight" activeCell="B1" sqref="B1"/>
      <selection pane="bottomLeft" activeCell="A11" sqref="A11"/>
      <selection pane="bottomRight" activeCell="I46" sqref="I46"/>
    </sheetView>
  </sheetViews>
  <sheetFormatPr baseColWidth="10" defaultRowHeight="13" x14ac:dyDescent="0.15"/>
  <cols>
    <col min="1" max="1" width="20.33203125" style="3" bestFit="1" customWidth="1"/>
    <col min="2" max="16384" width="10.83203125" style="3"/>
  </cols>
  <sheetData>
    <row r="1" spans="1:117" x14ac:dyDescent="0.15">
      <c r="A1" s="67" t="s">
        <v>58</v>
      </c>
      <c r="B1" s="2" t="s">
        <v>72</v>
      </c>
    </row>
    <row r="2" spans="1:117" x14ac:dyDescent="0.15">
      <c r="B2" s="3" t="s">
        <v>40</v>
      </c>
      <c r="C2" s="4">
        <v>282.83999999999997</v>
      </c>
      <c r="D2" s="65">
        <v>44236</v>
      </c>
      <c r="E2" s="6" t="s">
        <v>25</v>
      </c>
      <c r="F2" s="7">
        <v>5.0000000000000001E-3</v>
      </c>
      <c r="I2" s="16"/>
      <c r="L2" s="2"/>
    </row>
    <row r="3" spans="1:117" x14ac:dyDescent="0.15">
      <c r="A3" s="2" t="s">
        <v>38</v>
      </c>
      <c r="B3" s="3" t="s">
        <v>17</v>
      </c>
      <c r="C3" s="8">
        <f>Reports!T19</f>
        <v>128.81299999999999</v>
      </c>
      <c r="D3" s="66" t="s">
        <v>77</v>
      </c>
      <c r="E3" s="6" t="s">
        <v>26</v>
      </c>
      <c r="F3" s="7">
        <v>0.02</v>
      </c>
      <c r="G3" s="5" t="s">
        <v>59</v>
      </c>
      <c r="I3" s="16"/>
    </row>
    <row r="4" spans="1:117" x14ac:dyDescent="0.15">
      <c r="A4" s="68" t="s">
        <v>73</v>
      </c>
      <c r="B4" s="3" t="s">
        <v>41</v>
      </c>
      <c r="C4" s="10">
        <f>C2*C3</f>
        <v>36433.468919999992</v>
      </c>
      <c r="D4" s="66"/>
      <c r="E4" s="6" t="s">
        <v>27</v>
      </c>
      <c r="F4" s="7">
        <f>6%</f>
        <v>0.06</v>
      </c>
      <c r="G4" s="5" t="s">
        <v>67</v>
      </c>
      <c r="I4" s="19"/>
      <c r="L4" s="9" t="s">
        <v>68</v>
      </c>
    </row>
    <row r="5" spans="1:117" x14ac:dyDescent="0.15">
      <c r="B5" s="3" t="s">
        <v>22</v>
      </c>
      <c r="C5" s="8">
        <f>Reports!T31</f>
        <v>750</v>
      </c>
      <c r="D5" s="66" t="s">
        <v>77</v>
      </c>
      <c r="E5" s="6" t="s">
        <v>28</v>
      </c>
      <c r="F5" s="11">
        <f>NPV(F4,G27:GR27)</f>
        <v>46684.04119414759</v>
      </c>
      <c r="G5" s="5" t="s">
        <v>69</v>
      </c>
      <c r="I5" s="19"/>
    </row>
    <row r="6" spans="1:117" x14ac:dyDescent="0.15">
      <c r="A6" s="2" t="s">
        <v>39</v>
      </c>
      <c r="B6" s="3" t="s">
        <v>42</v>
      </c>
      <c r="C6" s="10">
        <f>C4-C5</f>
        <v>35683.468919999992</v>
      </c>
      <c r="D6" s="66"/>
      <c r="E6" s="12" t="s">
        <v>29</v>
      </c>
      <c r="F6" s="13">
        <f>F5+C5</f>
        <v>47434.04119414759</v>
      </c>
      <c r="I6" s="19"/>
    </row>
    <row r="7" spans="1:117" x14ac:dyDescent="0.15">
      <c r="A7" s="68" t="s">
        <v>73</v>
      </c>
      <c r="B7" s="5" t="s">
        <v>43</v>
      </c>
      <c r="C7" s="44">
        <f>C6/C3</f>
        <v>277.017606297501</v>
      </c>
      <c r="D7" s="66"/>
      <c r="E7" s="14" t="s">
        <v>43</v>
      </c>
      <c r="F7" s="43">
        <f>F6/C3</f>
        <v>368.239550310509</v>
      </c>
      <c r="G7" s="19">
        <f>F7/C2-1</f>
        <v>0.30193590125339065</v>
      </c>
    </row>
    <row r="8" spans="1:117" x14ac:dyDescent="0.15">
      <c r="A8" s="68" t="s">
        <v>74</v>
      </c>
      <c r="E8" s="6"/>
      <c r="F8" s="15"/>
    </row>
    <row r="9" spans="1:117" x14ac:dyDescent="0.15">
      <c r="B9" s="39">
        <v>2016</v>
      </c>
      <c r="C9" s="39">
        <v>2017</v>
      </c>
      <c r="D9" s="39">
        <f>C9+1</f>
        <v>2018</v>
      </c>
      <c r="E9" s="39">
        <f t="shared" ref="E9:U9" si="0">D9+1</f>
        <v>2019</v>
      </c>
      <c r="F9" s="39">
        <f t="shared" si="0"/>
        <v>2020</v>
      </c>
      <c r="G9" s="39">
        <f t="shared" si="0"/>
        <v>2021</v>
      </c>
      <c r="H9" s="39">
        <f t="shared" si="0"/>
        <v>2022</v>
      </c>
      <c r="I9" s="39">
        <f t="shared" si="0"/>
        <v>2023</v>
      </c>
      <c r="J9" s="39">
        <f t="shared" si="0"/>
        <v>2024</v>
      </c>
      <c r="K9" s="39">
        <f t="shared" si="0"/>
        <v>2025</v>
      </c>
      <c r="L9" s="39">
        <f t="shared" si="0"/>
        <v>2026</v>
      </c>
      <c r="M9" s="39">
        <f t="shared" si="0"/>
        <v>2027</v>
      </c>
      <c r="N9" s="39">
        <f t="shared" si="0"/>
        <v>2028</v>
      </c>
      <c r="O9" s="39">
        <f t="shared" si="0"/>
        <v>2029</v>
      </c>
      <c r="P9" s="39">
        <f t="shared" si="0"/>
        <v>2030</v>
      </c>
      <c r="Q9" s="39">
        <f t="shared" si="0"/>
        <v>2031</v>
      </c>
      <c r="R9" s="39">
        <f t="shared" si="0"/>
        <v>2032</v>
      </c>
      <c r="S9" s="39">
        <f t="shared" si="0"/>
        <v>2033</v>
      </c>
      <c r="T9" s="39">
        <f t="shared" si="0"/>
        <v>2034</v>
      </c>
      <c r="U9" s="39">
        <f t="shared" si="0"/>
        <v>2035</v>
      </c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39"/>
      <c r="BU9" s="39"/>
      <c r="BV9" s="39"/>
      <c r="BW9" s="39"/>
      <c r="BX9" s="39"/>
      <c r="BY9" s="39"/>
      <c r="BZ9" s="39"/>
      <c r="CA9" s="39"/>
      <c r="CB9" s="39"/>
      <c r="CC9" s="39"/>
      <c r="CD9" s="39"/>
      <c r="CE9" s="39"/>
      <c r="CF9" s="39"/>
      <c r="CG9" s="39"/>
      <c r="CH9" s="39"/>
      <c r="CI9" s="39"/>
      <c r="CJ9" s="39"/>
      <c r="CK9" s="39"/>
      <c r="CL9" s="39"/>
      <c r="CM9" s="39"/>
      <c r="CN9" s="39"/>
      <c r="CO9" s="39"/>
      <c r="CP9" s="39"/>
      <c r="CQ9" s="39"/>
      <c r="CR9" s="39"/>
      <c r="CS9" s="39"/>
      <c r="CT9" s="39"/>
      <c r="CU9" s="39"/>
      <c r="CV9" s="39"/>
      <c r="CW9" s="39"/>
      <c r="CX9" s="39"/>
      <c r="CY9" s="39"/>
      <c r="CZ9" s="39"/>
      <c r="DA9" s="39"/>
      <c r="DB9" s="39"/>
      <c r="DC9" s="39"/>
      <c r="DD9" s="39"/>
      <c r="DE9" s="39"/>
      <c r="DF9" s="39"/>
      <c r="DG9" s="39"/>
      <c r="DH9" s="39"/>
      <c r="DI9" s="39"/>
      <c r="DJ9" s="39"/>
      <c r="DK9" s="39"/>
      <c r="DL9" s="39"/>
      <c r="DM9" s="39"/>
    </row>
    <row r="10" spans="1:117" x14ac:dyDescent="0.15">
      <c r="A10" s="8" t="s">
        <v>60</v>
      </c>
      <c r="B10" s="23">
        <v>76.442999999999998</v>
      </c>
      <c r="C10" s="23">
        <f>SUM(Reports!B3:E3)</f>
        <v>143.136</v>
      </c>
      <c r="D10" s="38">
        <f>SUM(Reports!F3:I3)</f>
        <v>236.422</v>
      </c>
      <c r="E10" s="38">
        <f>SUM(Reports!J3:M3)</f>
        <v>370.85499999999996</v>
      </c>
      <c r="F10" s="38">
        <f>SUM(Reports!N3:Q3)</f>
        <v>552.68799999999999</v>
      </c>
      <c r="G10" s="38">
        <f>SUM(Reports!R3:U3)</f>
        <v>785.20690000000002</v>
      </c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  <c r="CC10" s="38"/>
      <c r="CD10" s="38"/>
      <c r="CE10" s="38"/>
      <c r="CF10" s="38"/>
      <c r="CG10" s="38"/>
      <c r="CH10" s="38"/>
      <c r="CI10" s="38"/>
      <c r="CJ10" s="38"/>
      <c r="CK10" s="38"/>
      <c r="CL10" s="38"/>
      <c r="CM10" s="38"/>
      <c r="CN10" s="38"/>
      <c r="CO10" s="38"/>
      <c r="CP10" s="38"/>
      <c r="CQ10" s="38"/>
      <c r="CR10" s="38"/>
      <c r="CS10" s="38"/>
      <c r="CT10" s="38"/>
      <c r="CU10" s="38"/>
      <c r="CV10" s="38"/>
      <c r="CW10" s="38"/>
      <c r="CX10" s="38"/>
      <c r="CY10" s="38"/>
      <c r="CZ10" s="38"/>
      <c r="DA10" s="38"/>
      <c r="DB10" s="38"/>
      <c r="DC10" s="38"/>
      <c r="DD10" s="38"/>
      <c r="DE10" s="38"/>
      <c r="DF10" s="38"/>
      <c r="DG10" s="38"/>
      <c r="DH10" s="38"/>
      <c r="DI10" s="38"/>
      <c r="DJ10" s="38"/>
      <c r="DK10" s="38"/>
      <c r="DL10" s="38"/>
      <c r="DM10" s="38"/>
    </row>
    <row r="11" spans="1:117" x14ac:dyDescent="0.15">
      <c r="A11" s="8" t="s">
        <v>61</v>
      </c>
      <c r="B11" s="23">
        <v>9.4640000000000004</v>
      </c>
      <c r="C11" s="23">
        <f>SUM(Reports!B4:E4)</f>
        <v>17.190000000000001</v>
      </c>
      <c r="D11" s="38">
        <f>SUM(Reports!F4:I4)</f>
        <v>20.125</v>
      </c>
      <c r="E11" s="38">
        <f>SUM(Reports!J4:M4)</f>
        <v>28.399000000000001</v>
      </c>
      <c r="F11" s="38">
        <f>SUM(Reports!N4:Q4)</f>
        <v>33.378999999999998</v>
      </c>
      <c r="G11" s="38">
        <f>SUM(Reports!R4:U4)</f>
        <v>40.046599999999998</v>
      </c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38"/>
      <c r="CG11" s="38"/>
      <c r="CH11" s="38"/>
      <c r="CI11" s="38"/>
      <c r="CJ11" s="38"/>
      <c r="CK11" s="38"/>
      <c r="CL11" s="38"/>
      <c r="CM11" s="38"/>
      <c r="CN11" s="38"/>
      <c r="CO11" s="38"/>
      <c r="CP11" s="38"/>
      <c r="CQ11" s="38"/>
      <c r="CR11" s="38"/>
      <c r="CS11" s="38"/>
      <c r="CT11" s="38"/>
      <c r="CU11" s="38"/>
      <c r="CV11" s="38"/>
      <c r="CW11" s="38"/>
      <c r="CX11" s="38"/>
      <c r="CY11" s="38"/>
      <c r="CZ11" s="38"/>
      <c r="DA11" s="38"/>
      <c r="DB11" s="38"/>
      <c r="DC11" s="38"/>
      <c r="DD11" s="38"/>
      <c r="DE11" s="38"/>
      <c r="DF11" s="38"/>
      <c r="DG11" s="38"/>
      <c r="DH11" s="38"/>
      <c r="DI11" s="38"/>
      <c r="DJ11" s="38"/>
      <c r="DK11" s="38"/>
      <c r="DL11" s="38"/>
      <c r="DM11" s="38"/>
    </row>
    <row r="12" spans="1:117" x14ac:dyDescent="0.15">
      <c r="A12" s="8"/>
      <c r="B12" s="23"/>
      <c r="C12" s="23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8"/>
      <c r="DK12" s="38"/>
      <c r="DL12" s="38"/>
      <c r="DM12" s="38"/>
    </row>
    <row r="13" spans="1:117" x14ac:dyDescent="0.15">
      <c r="A13" s="8" t="s">
        <v>81</v>
      </c>
      <c r="B13" s="23"/>
      <c r="C13" s="23"/>
      <c r="D13" s="38"/>
      <c r="E13" s="38">
        <f>Reports!M51</f>
        <v>6100</v>
      </c>
      <c r="F13" s="38">
        <f>Reports!Q51</f>
        <v>7950</v>
      </c>
      <c r="G13" s="38">
        <f>Reports!U51</f>
        <v>9937.5</v>
      </c>
      <c r="H13" s="38">
        <f>G13*1.2</f>
        <v>11925</v>
      </c>
      <c r="I13" s="38">
        <f t="shared" ref="I13:K13" si="1">H13*1.2</f>
        <v>14310</v>
      </c>
      <c r="J13" s="38">
        <f t="shared" si="1"/>
        <v>17172</v>
      </c>
      <c r="K13" s="38">
        <f t="shared" si="1"/>
        <v>20606.399999999998</v>
      </c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  <c r="CH13" s="38"/>
      <c r="CI13" s="38"/>
      <c r="CJ13" s="38"/>
      <c r="CK13" s="38"/>
      <c r="CL13" s="38"/>
      <c r="CM13" s="38"/>
      <c r="CN13" s="38"/>
      <c r="CO13" s="38"/>
      <c r="CP13" s="38"/>
      <c r="CQ13" s="38"/>
      <c r="CR13" s="38"/>
      <c r="CS13" s="38"/>
      <c r="CT13" s="38"/>
      <c r="CU13" s="38"/>
      <c r="CV13" s="38"/>
      <c r="CW13" s="38"/>
      <c r="CX13" s="38"/>
      <c r="CY13" s="38"/>
      <c r="CZ13" s="38"/>
      <c r="DA13" s="38"/>
      <c r="DB13" s="38"/>
      <c r="DC13" s="38"/>
      <c r="DD13" s="38"/>
      <c r="DE13" s="38"/>
      <c r="DF13" s="38"/>
      <c r="DG13" s="38"/>
      <c r="DH13" s="38"/>
      <c r="DI13" s="38"/>
      <c r="DJ13" s="38"/>
      <c r="DK13" s="38"/>
      <c r="DL13" s="38"/>
      <c r="DM13" s="38"/>
    </row>
    <row r="14" spans="1:117" s="16" customFormat="1" x14ac:dyDescent="0.15">
      <c r="A14" s="8" t="s">
        <v>83</v>
      </c>
      <c r="B14" s="23"/>
      <c r="C14" s="23"/>
      <c r="D14" s="38"/>
      <c r="E14" s="69">
        <f>SUM(E10:E11)/E13</f>
        <v>6.5451475409836063E-2</v>
      </c>
      <c r="F14" s="69">
        <f>SUM(F10:F11)/F13</f>
        <v>7.3719119496855348E-2</v>
      </c>
      <c r="G14" s="69">
        <f>SUM(G10:G11)/G13</f>
        <v>8.3044377358490573E-2</v>
      </c>
      <c r="H14" s="70">
        <f>G14*1.15</f>
        <v>9.5501033962264156E-2</v>
      </c>
      <c r="I14" s="70">
        <f t="shared" ref="I14:K14" si="2">H14*1.15</f>
        <v>0.10982618905660377</v>
      </c>
      <c r="J14" s="70">
        <f t="shared" si="2"/>
        <v>0.12630011741509431</v>
      </c>
      <c r="K14" s="70">
        <f t="shared" si="2"/>
        <v>0.14524513502735845</v>
      </c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  <c r="CH14" s="38"/>
      <c r="CI14" s="38"/>
      <c r="CJ14" s="38"/>
      <c r="CK14" s="38"/>
      <c r="CL14" s="38"/>
      <c r="CM14" s="38"/>
      <c r="CN14" s="38"/>
      <c r="CO14" s="38"/>
      <c r="CP14" s="38"/>
      <c r="CQ14" s="38"/>
      <c r="CR14" s="38"/>
      <c r="CS14" s="38"/>
      <c r="CT14" s="38"/>
      <c r="CU14" s="38"/>
      <c r="CV14" s="38"/>
      <c r="CW14" s="38"/>
      <c r="CX14" s="38"/>
      <c r="CY14" s="38"/>
      <c r="CZ14" s="38"/>
      <c r="DA14" s="38"/>
      <c r="DB14" s="38"/>
      <c r="DC14" s="38"/>
      <c r="DD14" s="38"/>
      <c r="DE14" s="38"/>
      <c r="DF14" s="38"/>
      <c r="DG14" s="38"/>
      <c r="DH14" s="38"/>
      <c r="DI14" s="38"/>
      <c r="DJ14" s="38"/>
      <c r="DK14" s="38"/>
      <c r="DL14" s="38"/>
      <c r="DM14" s="38"/>
    </row>
    <row r="15" spans="1:117" s="39" customFormat="1" x14ac:dyDescent="0.15">
      <c r="E15" s="39">
        <v>391</v>
      </c>
      <c r="F15" s="38">
        <v>530</v>
      </c>
      <c r="G15" s="38">
        <v>822</v>
      </c>
      <c r="H15" s="38"/>
      <c r="I15" s="38"/>
    </row>
    <row r="16" spans="1:117" x14ac:dyDescent="0.15">
      <c r="A16" s="2" t="s">
        <v>4</v>
      </c>
      <c r="B16" s="24">
        <f>SUM(B10:B11)</f>
        <v>85.906999999999996</v>
      </c>
      <c r="C16" s="24">
        <f>SUM(C10:C11)</f>
        <v>160.32599999999999</v>
      </c>
      <c r="D16" s="24">
        <f>SUM(D10:D11)</f>
        <v>256.54700000000003</v>
      </c>
      <c r="E16" s="24">
        <f t="shared" ref="E16:K16" si="3">E13*E14</f>
        <v>399.25399999999996</v>
      </c>
      <c r="F16" s="24">
        <f t="shared" si="3"/>
        <v>586.06700000000001</v>
      </c>
      <c r="G16" s="47">
        <f t="shared" si="3"/>
        <v>825.25350000000003</v>
      </c>
      <c r="H16" s="47">
        <f t="shared" si="3"/>
        <v>1138.8498300000001</v>
      </c>
      <c r="I16" s="47">
        <f t="shared" si="3"/>
        <v>1571.6127653999999</v>
      </c>
      <c r="J16" s="47">
        <f t="shared" si="3"/>
        <v>2168.8256162519997</v>
      </c>
      <c r="K16" s="47">
        <f t="shared" si="3"/>
        <v>2992.9793504277586</v>
      </c>
      <c r="L16" s="47">
        <f>K16*1.25</f>
        <v>3741.2241880346983</v>
      </c>
      <c r="M16" s="47">
        <f t="shared" ref="M16:P16" si="4">L16*1.25</f>
        <v>4676.5302350433731</v>
      </c>
      <c r="N16" s="47">
        <f t="shared" si="4"/>
        <v>5845.6627938042166</v>
      </c>
      <c r="O16" s="47">
        <f t="shared" si="4"/>
        <v>7307.0784922552702</v>
      </c>
      <c r="P16" s="47">
        <f t="shared" si="4"/>
        <v>9133.8481153190878</v>
      </c>
      <c r="Q16" s="47">
        <f>P16*1.1</f>
        <v>10047.232926850997</v>
      </c>
      <c r="R16" s="47">
        <f t="shared" ref="R16:U16" si="5">Q16*1.1</f>
        <v>11051.956219536098</v>
      </c>
      <c r="S16" s="47">
        <f t="shared" si="5"/>
        <v>12157.151841489709</v>
      </c>
      <c r="T16" s="47">
        <f t="shared" si="5"/>
        <v>13372.867025638681</v>
      </c>
      <c r="U16" s="47">
        <f t="shared" si="5"/>
        <v>14710.153728202551</v>
      </c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39"/>
      <c r="BS16" s="39"/>
      <c r="BT16" s="39"/>
      <c r="BU16" s="39"/>
      <c r="BV16" s="39"/>
      <c r="BW16" s="39"/>
      <c r="BX16" s="39"/>
      <c r="BY16" s="39"/>
      <c r="BZ16" s="39"/>
      <c r="CA16" s="39"/>
      <c r="CB16" s="39"/>
      <c r="CC16" s="39"/>
      <c r="CD16" s="39"/>
      <c r="CE16" s="39"/>
      <c r="CF16" s="39"/>
      <c r="CG16" s="39"/>
      <c r="CH16" s="39"/>
      <c r="CI16" s="39"/>
      <c r="CJ16" s="39"/>
      <c r="CK16" s="39"/>
      <c r="CL16" s="39"/>
      <c r="CM16" s="39"/>
      <c r="CN16" s="39"/>
      <c r="CO16" s="39"/>
      <c r="CP16" s="39"/>
      <c r="CQ16" s="39"/>
      <c r="CR16" s="39"/>
      <c r="CS16" s="39"/>
      <c r="CT16" s="39"/>
      <c r="CU16" s="39"/>
      <c r="CV16" s="39"/>
      <c r="CW16" s="39"/>
      <c r="CX16" s="39"/>
      <c r="CY16" s="39"/>
      <c r="CZ16" s="39"/>
      <c r="DA16" s="39"/>
      <c r="DB16" s="39"/>
      <c r="DC16" s="39"/>
      <c r="DD16" s="39"/>
      <c r="DE16" s="39"/>
      <c r="DF16" s="39"/>
      <c r="DG16" s="39"/>
      <c r="DH16" s="39"/>
      <c r="DI16" s="39"/>
      <c r="DJ16" s="39"/>
      <c r="DK16" s="39"/>
      <c r="DL16" s="39"/>
      <c r="DM16" s="39"/>
    </row>
    <row r="17" spans="1:200" x14ac:dyDescent="0.15">
      <c r="A17" s="3" t="s">
        <v>5</v>
      </c>
      <c r="B17" s="23">
        <v>36.024000000000001</v>
      </c>
      <c r="C17" s="23">
        <f>SUM(Reports!B7:E7)</f>
        <v>55.948999999999998</v>
      </c>
      <c r="D17" s="38">
        <f>SUM(Reports!F7:I7)</f>
        <v>80.754999999999995</v>
      </c>
      <c r="E17" s="38">
        <f>SUM(Reports!J7:M7)</f>
        <v>113.42099999999999</v>
      </c>
      <c r="F17" s="38">
        <f>SUM(Reports!N7:Q7)</f>
        <v>159.38200000000001</v>
      </c>
      <c r="G17" s="23">
        <f>G16-G18</f>
        <v>224.42920918086156</v>
      </c>
      <c r="H17" s="23">
        <f t="shared" ref="H17" si="6">H16-H18</f>
        <v>309.71230866958888</v>
      </c>
      <c r="I17" s="23">
        <f t="shared" ref="I17:P17" si="7">I16-I18</f>
        <v>427.40298596403272</v>
      </c>
      <c r="J17" s="23">
        <f t="shared" si="7"/>
        <v>589.81612063036505</v>
      </c>
      <c r="K17" s="23">
        <f>K16-K18</f>
        <v>813.9462464699036</v>
      </c>
      <c r="L17" s="23">
        <f t="shared" si="7"/>
        <v>1017.4328080873793</v>
      </c>
      <c r="M17" s="23">
        <f t="shared" si="7"/>
        <v>1271.7910101092243</v>
      </c>
      <c r="N17" s="23">
        <f t="shared" si="7"/>
        <v>1589.7387626365307</v>
      </c>
      <c r="O17" s="23">
        <f t="shared" si="7"/>
        <v>1987.1734532956634</v>
      </c>
      <c r="P17" s="23">
        <f t="shared" si="7"/>
        <v>2483.9668166195797</v>
      </c>
      <c r="Q17" s="23">
        <f t="shared" ref="Q17:U17" si="8">Q16-Q18</f>
        <v>2732.3634982815374</v>
      </c>
      <c r="R17" s="23">
        <f t="shared" si="8"/>
        <v>3005.5998481096913</v>
      </c>
      <c r="S17" s="23">
        <f t="shared" si="8"/>
        <v>3306.1598329206608</v>
      </c>
      <c r="T17" s="23">
        <f t="shared" si="8"/>
        <v>3636.7758162127284</v>
      </c>
      <c r="U17" s="23">
        <f t="shared" si="8"/>
        <v>4000.4533978340023</v>
      </c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9"/>
      <c r="BO17" s="39"/>
      <c r="BP17" s="39"/>
      <c r="BQ17" s="39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</row>
    <row r="18" spans="1:200" x14ac:dyDescent="0.15">
      <c r="A18" s="3" t="s">
        <v>6</v>
      </c>
      <c r="B18" s="27">
        <f>B16-B17</f>
        <v>49.882999999999996</v>
      </c>
      <c r="C18" s="27">
        <f>C16-C17</f>
        <v>104.377</v>
      </c>
      <c r="D18" s="27">
        <f>D16-D17</f>
        <v>175.79200000000003</v>
      </c>
      <c r="E18" s="27">
        <f>E16-E17</f>
        <v>285.83299999999997</v>
      </c>
      <c r="F18" s="27">
        <f>F16-F17</f>
        <v>426.685</v>
      </c>
      <c r="G18" s="23">
        <f>G16*F31</f>
        <v>600.82429081913847</v>
      </c>
      <c r="H18" s="23">
        <f t="shared" ref="H18:U18" si="9">H16*G31</f>
        <v>829.13752133041123</v>
      </c>
      <c r="I18" s="23">
        <f t="shared" si="9"/>
        <v>1144.2097794359672</v>
      </c>
      <c r="J18" s="23">
        <f t="shared" si="9"/>
        <v>1579.0094956216346</v>
      </c>
      <c r="K18" s="23">
        <f>K16*J31</f>
        <v>2179.033103957855</v>
      </c>
      <c r="L18" s="23">
        <f t="shared" si="9"/>
        <v>2723.791379947319</v>
      </c>
      <c r="M18" s="23">
        <f t="shared" si="9"/>
        <v>3404.7392249341488</v>
      </c>
      <c r="N18" s="23">
        <f t="shared" si="9"/>
        <v>4255.9240311676858</v>
      </c>
      <c r="O18" s="23">
        <f t="shared" si="9"/>
        <v>5319.9050389596068</v>
      </c>
      <c r="P18" s="23">
        <f t="shared" si="9"/>
        <v>6649.8812986995081</v>
      </c>
      <c r="Q18" s="23">
        <f t="shared" si="9"/>
        <v>7314.8694285694592</v>
      </c>
      <c r="R18" s="23">
        <f t="shared" si="9"/>
        <v>8046.3563714264064</v>
      </c>
      <c r="S18" s="23">
        <f t="shared" si="9"/>
        <v>8850.9920085690483</v>
      </c>
      <c r="T18" s="23">
        <f t="shared" si="9"/>
        <v>9736.0912094259529</v>
      </c>
      <c r="U18" s="23">
        <f t="shared" si="9"/>
        <v>10709.700330368549</v>
      </c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39"/>
      <c r="BS18" s="39"/>
      <c r="BT18" s="39"/>
      <c r="BU18" s="39"/>
      <c r="BV18" s="39"/>
      <c r="BW18" s="39"/>
      <c r="BX18" s="39"/>
      <c r="BY18" s="39"/>
      <c r="BZ18" s="39"/>
      <c r="CA18" s="39"/>
      <c r="CB18" s="39"/>
      <c r="CC18" s="39"/>
      <c r="CD18" s="39"/>
      <c r="CE18" s="39"/>
      <c r="CF18" s="39"/>
      <c r="CG18" s="39"/>
      <c r="CH18" s="39"/>
      <c r="CI18" s="39"/>
      <c r="CJ18" s="39"/>
      <c r="CK18" s="39"/>
      <c r="CL18" s="39"/>
      <c r="CM18" s="39"/>
      <c r="CN18" s="39"/>
      <c r="CO18" s="39"/>
      <c r="CP18" s="39"/>
      <c r="CQ18" s="39"/>
      <c r="CR18" s="39"/>
      <c r="CS18" s="39"/>
      <c r="CT18" s="39"/>
      <c r="CU18" s="39"/>
      <c r="CV18" s="39"/>
      <c r="CW18" s="39"/>
      <c r="CX18" s="39"/>
      <c r="CY18" s="39"/>
      <c r="CZ18" s="39"/>
      <c r="DA18" s="39"/>
      <c r="DB18" s="39"/>
      <c r="DC18" s="39"/>
      <c r="DD18" s="39"/>
      <c r="DE18" s="39"/>
      <c r="DF18" s="39"/>
      <c r="DG18" s="39"/>
      <c r="DH18" s="39"/>
      <c r="DI18" s="39"/>
      <c r="DJ18" s="39"/>
      <c r="DK18" s="39"/>
      <c r="DL18" s="39"/>
      <c r="DM18" s="39"/>
    </row>
    <row r="19" spans="1:200" x14ac:dyDescent="0.15">
      <c r="A19" s="3" t="s">
        <v>7</v>
      </c>
      <c r="B19" s="23">
        <v>29</v>
      </c>
      <c r="C19" s="23">
        <f>SUM(Reports!B9:E9)</f>
        <v>40</v>
      </c>
      <c r="D19" s="38">
        <f>SUM(Reports!F9:I9)</f>
        <v>70</v>
      </c>
      <c r="E19" s="38">
        <f>SUM(Reports!J9:M9)</f>
        <v>103</v>
      </c>
      <c r="F19" s="38">
        <f>SUM(Reports!N9:Q9)</f>
        <v>159</v>
      </c>
      <c r="G19" s="23">
        <f>F19*1.4</f>
        <v>222.6</v>
      </c>
      <c r="H19" s="23">
        <f t="shared" ref="H19:K19" si="10">G19*1.4</f>
        <v>311.64</v>
      </c>
      <c r="I19" s="23">
        <f t="shared" si="10"/>
        <v>436.29599999999994</v>
      </c>
      <c r="J19" s="23">
        <f t="shared" si="10"/>
        <v>610.81439999999986</v>
      </c>
      <c r="K19" s="23">
        <f t="shared" si="10"/>
        <v>855.14015999999981</v>
      </c>
      <c r="L19" s="23">
        <f>K19*1.2</f>
        <v>1026.1681919999996</v>
      </c>
      <c r="M19" s="23">
        <f t="shared" ref="M19:P19" si="11">L19*1.2</f>
        <v>1231.4018303999994</v>
      </c>
      <c r="N19" s="23">
        <f t="shared" si="11"/>
        <v>1477.6821964799992</v>
      </c>
      <c r="O19" s="23">
        <f t="shared" si="11"/>
        <v>1773.218635775999</v>
      </c>
      <c r="P19" s="23">
        <f t="shared" si="11"/>
        <v>2127.8623629311987</v>
      </c>
      <c r="Q19" s="23">
        <f>P19*1.1</f>
        <v>2340.6485992243188</v>
      </c>
      <c r="R19" s="23">
        <f t="shared" ref="R19:U19" si="12">Q19*1.1</f>
        <v>2574.7134591467507</v>
      </c>
      <c r="S19" s="23">
        <f t="shared" si="12"/>
        <v>2832.1848050614258</v>
      </c>
      <c r="T19" s="23">
        <f t="shared" si="12"/>
        <v>3115.4032855675687</v>
      </c>
      <c r="U19" s="23">
        <f t="shared" si="12"/>
        <v>3426.9436141243259</v>
      </c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39"/>
      <c r="BX19" s="39"/>
      <c r="BY19" s="39"/>
      <c r="BZ19" s="39"/>
      <c r="CA19" s="39"/>
      <c r="CB19" s="39"/>
      <c r="CC19" s="39"/>
      <c r="CD19" s="39"/>
      <c r="CE19" s="39"/>
      <c r="CF19" s="39"/>
      <c r="CG19" s="39"/>
      <c r="CH19" s="39"/>
      <c r="CI19" s="39"/>
      <c r="CJ19" s="39"/>
      <c r="CK19" s="39"/>
      <c r="CL19" s="39"/>
      <c r="CM19" s="39"/>
      <c r="CN19" s="39"/>
      <c r="CO19" s="39"/>
      <c r="CP19" s="39"/>
      <c r="CQ19" s="39"/>
      <c r="CR19" s="39"/>
      <c r="CS19" s="39"/>
      <c r="CT19" s="39"/>
      <c r="CU19" s="39"/>
      <c r="CV19" s="39"/>
      <c r="CW19" s="39"/>
      <c r="CX19" s="39"/>
      <c r="CY19" s="39"/>
      <c r="CZ19" s="39"/>
      <c r="DA19" s="39"/>
      <c r="DB19" s="39"/>
      <c r="DC19" s="39"/>
      <c r="DD19" s="39"/>
      <c r="DE19" s="39"/>
      <c r="DF19" s="39"/>
      <c r="DG19" s="39"/>
      <c r="DH19" s="39"/>
      <c r="DI19" s="39"/>
      <c r="DJ19" s="39"/>
      <c r="DK19" s="39"/>
      <c r="DL19" s="39"/>
      <c r="DM19" s="39"/>
    </row>
    <row r="20" spans="1:200" x14ac:dyDescent="0.15">
      <c r="A20" s="3" t="s">
        <v>8</v>
      </c>
      <c r="B20" s="23">
        <v>78</v>
      </c>
      <c r="C20" s="23">
        <f>SUM(Reports!B10:E10)</f>
        <v>117</v>
      </c>
      <c r="D20" s="38">
        <f>SUM(Reports!F10:I10)</f>
        <v>165</v>
      </c>
      <c r="E20" s="38">
        <f>SUM(Reports!J10:M10)</f>
        <v>228</v>
      </c>
      <c r="F20" s="38">
        <f>SUM(Reports!N10:Q10)</f>
        <v>340</v>
      </c>
      <c r="G20" s="23">
        <f>F20*1.25</f>
        <v>425</v>
      </c>
      <c r="H20" s="23">
        <f t="shared" ref="H20:K20" si="13">G20*1.25</f>
        <v>531.25</v>
      </c>
      <c r="I20" s="23">
        <f t="shared" si="13"/>
        <v>664.0625</v>
      </c>
      <c r="J20" s="23">
        <f t="shared" si="13"/>
        <v>830.078125</v>
      </c>
      <c r="K20" s="23">
        <f t="shared" si="13"/>
        <v>1037.59765625</v>
      </c>
      <c r="L20" s="23">
        <f>K20*1.15</f>
        <v>1193.2373046875</v>
      </c>
      <c r="M20" s="23">
        <f t="shared" ref="M20:P20" si="14">L20*1.15</f>
        <v>1372.222900390625</v>
      </c>
      <c r="N20" s="23">
        <f t="shared" si="14"/>
        <v>1578.0563354492185</v>
      </c>
      <c r="O20" s="23">
        <f t="shared" si="14"/>
        <v>1814.7647857666011</v>
      </c>
      <c r="P20" s="23">
        <f t="shared" si="14"/>
        <v>2086.9795036315909</v>
      </c>
      <c r="Q20" s="23">
        <f t="shared" ref="Q20:U20" si="15">P20*0.98</f>
        <v>2045.239913558959</v>
      </c>
      <c r="R20" s="23">
        <f t="shared" si="15"/>
        <v>2004.3351152877797</v>
      </c>
      <c r="S20" s="23">
        <f t="shared" si="15"/>
        <v>1964.2484129820241</v>
      </c>
      <c r="T20" s="23">
        <f t="shared" si="15"/>
        <v>1924.9634447223837</v>
      </c>
      <c r="U20" s="23">
        <f t="shared" si="15"/>
        <v>1886.4641758279361</v>
      </c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  <c r="BH20" s="39"/>
      <c r="BI20" s="39"/>
      <c r="BJ20" s="39"/>
      <c r="BK20" s="39"/>
      <c r="BL20" s="39"/>
      <c r="BM20" s="39"/>
      <c r="BN20" s="39"/>
      <c r="BO20" s="39"/>
      <c r="BP20" s="39"/>
      <c r="BQ20" s="39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</row>
    <row r="21" spans="1:200" x14ac:dyDescent="0.15">
      <c r="A21" s="3" t="s">
        <v>9</v>
      </c>
      <c r="B21" s="23">
        <v>19</v>
      </c>
      <c r="C21" s="23">
        <f>SUM(Reports!B11:E11)</f>
        <v>30</v>
      </c>
      <c r="D21" s="38">
        <f>SUM(Reports!F11:I11)</f>
        <v>53</v>
      </c>
      <c r="E21" s="38">
        <f>SUM(Reports!J11:M11)</f>
        <v>75</v>
      </c>
      <c r="F21" s="38">
        <f>SUM(Reports!N11:Q11)</f>
        <v>113</v>
      </c>
      <c r="G21" s="23">
        <f>F21*1.2</f>
        <v>135.6</v>
      </c>
      <c r="H21" s="23">
        <f t="shared" ref="H21:K21" si="16">G21*1.2</f>
        <v>162.72</v>
      </c>
      <c r="I21" s="23">
        <f t="shared" si="16"/>
        <v>195.26399999999998</v>
      </c>
      <c r="J21" s="23">
        <f t="shared" si="16"/>
        <v>234.31679999999997</v>
      </c>
      <c r="K21" s="23">
        <f t="shared" si="16"/>
        <v>281.18015999999994</v>
      </c>
      <c r="L21" s="23">
        <f>K21*1.1</f>
        <v>309.29817599999996</v>
      </c>
      <c r="M21" s="23">
        <f t="shared" ref="M21:P21" si="17">L21*1.1</f>
        <v>340.22799359999999</v>
      </c>
      <c r="N21" s="23">
        <f t="shared" si="17"/>
        <v>374.25079296000001</v>
      </c>
      <c r="O21" s="23">
        <f t="shared" si="17"/>
        <v>411.67587225600005</v>
      </c>
      <c r="P21" s="23">
        <f t="shared" si="17"/>
        <v>452.84345948160006</v>
      </c>
      <c r="Q21" s="23">
        <f t="shared" ref="Q21:U21" si="18">P21*0.98</f>
        <v>443.78659029196808</v>
      </c>
      <c r="R21" s="23">
        <f t="shared" si="18"/>
        <v>434.91085848612869</v>
      </c>
      <c r="S21" s="23">
        <f t="shared" si="18"/>
        <v>426.21264131640612</v>
      </c>
      <c r="T21" s="23">
        <f t="shared" si="18"/>
        <v>417.68838849007801</v>
      </c>
      <c r="U21" s="23">
        <f t="shared" si="18"/>
        <v>409.33462072027646</v>
      </c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</row>
    <row r="22" spans="1:200" x14ac:dyDescent="0.15">
      <c r="A22" s="3" t="s">
        <v>10</v>
      </c>
      <c r="B22" s="27">
        <f>SUM(B19:B21)</f>
        <v>126</v>
      </c>
      <c r="C22" s="27">
        <f>SUM(C19:C21)</f>
        <v>187</v>
      </c>
      <c r="D22" s="27">
        <f>SUM(D19:D21)</f>
        <v>288</v>
      </c>
      <c r="E22" s="27">
        <f>SUM(E19:E21)</f>
        <v>406</v>
      </c>
      <c r="F22" s="27">
        <f>SUM(F19:F21)</f>
        <v>612</v>
      </c>
      <c r="G22" s="23">
        <f t="shared" ref="G22:H22" si="19">SUM(G19:G21)</f>
        <v>783.2</v>
      </c>
      <c r="H22" s="23">
        <f t="shared" si="19"/>
        <v>1005.61</v>
      </c>
      <c r="I22" s="23">
        <f t="shared" ref="I22:P22" si="20">SUM(I19:I21)</f>
        <v>1295.6224999999997</v>
      </c>
      <c r="J22" s="23">
        <f t="shared" si="20"/>
        <v>1675.2093249999998</v>
      </c>
      <c r="K22" s="23">
        <f t="shared" si="20"/>
        <v>2173.9179762499998</v>
      </c>
      <c r="L22" s="23">
        <f t="shared" si="20"/>
        <v>2528.7036726874994</v>
      </c>
      <c r="M22" s="23">
        <f t="shared" si="20"/>
        <v>2943.8527243906242</v>
      </c>
      <c r="N22" s="23">
        <f t="shared" si="20"/>
        <v>3429.9893248892181</v>
      </c>
      <c r="O22" s="23">
        <f t="shared" si="20"/>
        <v>3999.6592937985997</v>
      </c>
      <c r="P22" s="23">
        <f t="shared" si="20"/>
        <v>4667.6853260443895</v>
      </c>
      <c r="Q22" s="23">
        <f t="shared" ref="Q22:U22" si="21">SUM(Q19:Q21)</f>
        <v>4829.6751030752466</v>
      </c>
      <c r="R22" s="23">
        <f t="shared" si="21"/>
        <v>5013.9594329206593</v>
      </c>
      <c r="S22" s="23">
        <f t="shared" si="21"/>
        <v>5222.6458593598563</v>
      </c>
      <c r="T22" s="23">
        <f t="shared" si="21"/>
        <v>5458.0551187800302</v>
      </c>
      <c r="U22" s="23">
        <f t="shared" si="21"/>
        <v>5722.7424106725384</v>
      </c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C22" s="39"/>
      <c r="DD22" s="39"/>
      <c r="DE22" s="39"/>
      <c r="DF22" s="39"/>
      <c r="DG22" s="39"/>
      <c r="DH22" s="39"/>
      <c r="DI22" s="39"/>
      <c r="DJ22" s="39"/>
      <c r="DK22" s="39"/>
      <c r="DL22" s="39"/>
      <c r="DM22" s="39"/>
    </row>
    <row r="23" spans="1:200" x14ac:dyDescent="0.15">
      <c r="A23" s="3" t="s">
        <v>11</v>
      </c>
      <c r="B23" s="27">
        <f>B18-B22</f>
        <v>-76.117000000000004</v>
      </c>
      <c r="C23" s="27">
        <f>C18-C22</f>
        <v>-82.623000000000005</v>
      </c>
      <c r="D23" s="27">
        <f>D18-D22</f>
        <v>-112.20799999999997</v>
      </c>
      <c r="E23" s="27">
        <f>E18-E22</f>
        <v>-120.16700000000003</v>
      </c>
      <c r="F23" s="27">
        <f>F18-F22</f>
        <v>-185.315</v>
      </c>
      <c r="G23" s="23">
        <f t="shared" ref="G23:H23" si="22">G18-G22</f>
        <v>-182.37570918086158</v>
      </c>
      <c r="H23" s="23">
        <f t="shared" si="22"/>
        <v>-176.47247866958878</v>
      </c>
      <c r="I23" s="23">
        <f t="shared" ref="I23:P23" si="23">I18-I22</f>
        <v>-151.4127205640325</v>
      </c>
      <c r="J23" s="23">
        <f t="shared" si="23"/>
        <v>-96.199829378365166</v>
      </c>
      <c r="K23" s="23">
        <f t="shared" si="23"/>
        <v>5.1151277078552084</v>
      </c>
      <c r="L23" s="23">
        <f t="shared" si="23"/>
        <v>195.08770725981958</v>
      </c>
      <c r="M23" s="23">
        <f t="shared" si="23"/>
        <v>460.88650054352456</v>
      </c>
      <c r="N23" s="23">
        <f t="shared" si="23"/>
        <v>825.93470627846773</v>
      </c>
      <c r="O23" s="23">
        <f t="shared" si="23"/>
        <v>1320.2457451610071</v>
      </c>
      <c r="P23" s="23">
        <f t="shared" si="23"/>
        <v>1982.1959726551186</v>
      </c>
      <c r="Q23" s="23">
        <f t="shared" ref="Q23:U23" si="24">Q18-Q22</f>
        <v>2485.1943254942125</v>
      </c>
      <c r="R23" s="23">
        <f t="shared" si="24"/>
        <v>3032.3969385057471</v>
      </c>
      <c r="S23" s="23">
        <f t="shared" si="24"/>
        <v>3628.3461492091919</v>
      </c>
      <c r="T23" s="23">
        <f t="shared" si="24"/>
        <v>4278.0360906459227</v>
      </c>
      <c r="U23" s="23">
        <f t="shared" si="24"/>
        <v>4986.9579196960103</v>
      </c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39"/>
      <c r="CM23" s="39"/>
      <c r="CN23" s="39"/>
      <c r="CO23" s="39"/>
      <c r="CP23" s="39"/>
      <c r="CQ23" s="39"/>
      <c r="CR23" s="39"/>
      <c r="CS23" s="39"/>
      <c r="CT23" s="39"/>
      <c r="CU23" s="39"/>
      <c r="CV23" s="39"/>
      <c r="CW23" s="39"/>
      <c r="CX23" s="39"/>
      <c r="CY23" s="39"/>
      <c r="CZ23" s="39"/>
      <c r="DA23" s="39"/>
      <c r="DB23" s="39"/>
      <c r="DC23" s="39"/>
      <c r="DD23" s="39"/>
      <c r="DE23" s="39"/>
      <c r="DF23" s="39"/>
      <c r="DG23" s="39"/>
      <c r="DH23" s="39"/>
      <c r="DI23" s="39"/>
      <c r="DJ23" s="39"/>
      <c r="DK23" s="39"/>
      <c r="DL23" s="39"/>
      <c r="DM23" s="39"/>
    </row>
    <row r="24" spans="1:200" x14ac:dyDescent="0.15">
      <c r="A24" s="3" t="s">
        <v>12</v>
      </c>
      <c r="B24" s="23">
        <v>0</v>
      </c>
      <c r="C24" s="23">
        <f>SUM(Reports!B14:E14)</f>
        <v>0</v>
      </c>
      <c r="D24" s="38">
        <f>SUM(Reports!F14:I14)</f>
        <v>2</v>
      </c>
      <c r="E24" s="23">
        <f>SUM(Reports!J14:M14)</f>
        <v>-6</v>
      </c>
      <c r="F24" s="38">
        <f>SUM(Reports!N14:Q14)</f>
        <v>-25</v>
      </c>
      <c r="G24" s="23">
        <f>F41*$F$3</f>
        <v>9.3000000000000007</v>
      </c>
      <c r="H24" s="23">
        <f t="shared" ref="H24:U24" si="25">G41*$F$3</f>
        <v>5.8384858163827689</v>
      </c>
      <c r="I24" s="23">
        <f t="shared" si="25"/>
        <v>2.4258059593186481</v>
      </c>
      <c r="J24" s="23">
        <f t="shared" si="25"/>
        <v>-0.55393233277562903</v>
      </c>
      <c r="K24" s="23">
        <f t="shared" si="25"/>
        <v>-2.4890075669984451</v>
      </c>
      <c r="L24" s="23">
        <f t="shared" si="25"/>
        <v>-2.4417374044630233</v>
      </c>
      <c r="M24" s="23">
        <f t="shared" si="25"/>
        <v>1.0258900529333945</v>
      </c>
      <c r="N24" s="23">
        <f t="shared" si="25"/>
        <v>9.3403130836696384</v>
      </c>
      <c r="O24" s="23">
        <f t="shared" si="25"/>
        <v>24.375263432188113</v>
      </c>
      <c r="P24" s="23">
        <f t="shared" si="25"/>
        <v>48.57844158686563</v>
      </c>
      <c r="Q24" s="23">
        <f t="shared" si="25"/>
        <v>85.132381043221343</v>
      </c>
      <c r="R24" s="23">
        <f t="shared" si="25"/>
        <v>131.39826176089514</v>
      </c>
      <c r="S24" s="23">
        <f t="shared" si="25"/>
        <v>188.34657536569475</v>
      </c>
      <c r="T24" s="23">
        <f t="shared" si="25"/>
        <v>257.04704440804272</v>
      </c>
      <c r="U24" s="23">
        <f t="shared" si="25"/>
        <v>338.67854083901409</v>
      </c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  <c r="DI24" s="39"/>
      <c r="DJ24" s="39"/>
      <c r="DK24" s="39"/>
      <c r="DL24" s="39"/>
      <c r="DM24" s="39"/>
    </row>
    <row r="25" spans="1:200" x14ac:dyDescent="0.15">
      <c r="A25" s="3" t="s">
        <v>13</v>
      </c>
      <c r="B25" s="27">
        <f t="shared" ref="B25:G25" si="26">B23+B24</f>
        <v>-76.117000000000004</v>
      </c>
      <c r="C25" s="27">
        <f t="shared" si="26"/>
        <v>-82.623000000000005</v>
      </c>
      <c r="D25" s="27">
        <f t="shared" si="26"/>
        <v>-110.20799999999997</v>
      </c>
      <c r="E25" s="27">
        <f t="shared" si="26"/>
        <v>-126.16700000000003</v>
      </c>
      <c r="F25" s="27">
        <f t="shared" si="26"/>
        <v>-210.315</v>
      </c>
      <c r="G25" s="23">
        <f t="shared" si="26"/>
        <v>-173.07570918086157</v>
      </c>
      <c r="H25" s="23">
        <f t="shared" ref="H25" si="27">H23+H24</f>
        <v>-170.63399285320602</v>
      </c>
      <c r="I25" s="23">
        <f t="shared" ref="I25" si="28">I23+I24</f>
        <v>-148.98691460471386</v>
      </c>
      <c r="J25" s="23">
        <f t="shared" ref="J25" si="29">J23+J24</f>
        <v>-96.753761711140797</v>
      </c>
      <c r="K25" s="23">
        <f t="shared" ref="K25" si="30">K23+K24</f>
        <v>2.6261201408567634</v>
      </c>
      <c r="L25" s="23">
        <f t="shared" ref="L25" si="31">L23+L24</f>
        <v>192.64596985535655</v>
      </c>
      <c r="M25" s="23">
        <f t="shared" ref="M25" si="32">M23+M24</f>
        <v>461.91239059645795</v>
      </c>
      <c r="N25" s="23">
        <f t="shared" ref="N25" si="33">N23+N24</f>
        <v>835.27501936213741</v>
      </c>
      <c r="O25" s="23">
        <f t="shared" ref="O25" si="34">O23+O24</f>
        <v>1344.6210085931953</v>
      </c>
      <c r="P25" s="23">
        <f t="shared" ref="P25:Q25" si="35">P23+P24</f>
        <v>2030.7744142419842</v>
      </c>
      <c r="Q25" s="23">
        <f t="shared" si="35"/>
        <v>2570.3267065374339</v>
      </c>
      <c r="R25" s="23">
        <f t="shared" ref="R25:U25" si="36">R23+R24</f>
        <v>3163.7952002666425</v>
      </c>
      <c r="S25" s="23">
        <f t="shared" si="36"/>
        <v>3816.6927245748866</v>
      </c>
      <c r="T25" s="23">
        <f t="shared" si="36"/>
        <v>4535.0831350539656</v>
      </c>
      <c r="U25" s="23">
        <f t="shared" si="36"/>
        <v>5325.6364605350245</v>
      </c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  <c r="DG25" s="39"/>
      <c r="DH25" s="39"/>
      <c r="DI25" s="39"/>
      <c r="DJ25" s="39"/>
      <c r="DK25" s="39"/>
      <c r="DL25" s="39"/>
      <c r="DM25" s="39"/>
    </row>
    <row r="26" spans="1:200" x14ac:dyDescent="0.15">
      <c r="A26" s="3" t="s">
        <v>14</v>
      </c>
      <c r="B26" s="23">
        <v>0</v>
      </c>
      <c r="C26" s="23">
        <f>SUM(Reports!B16:E16)</f>
        <v>1</v>
      </c>
      <c r="D26" s="38">
        <f>SUM(Reports!F16:I16)</f>
        <v>-1</v>
      </c>
      <c r="E26" s="23">
        <f>SUM(Reports!J16:M16)</f>
        <v>0</v>
      </c>
      <c r="F26" s="38">
        <f>SUM(Reports!N16:Q16)</f>
        <v>-2</v>
      </c>
      <c r="G26" s="23"/>
      <c r="H26" s="23"/>
      <c r="I26" s="23"/>
      <c r="J26" s="23"/>
      <c r="K26" s="23">
        <f t="shared" ref="K26:P26" si="37">K25*0.1</f>
        <v>0.26261201408567636</v>
      </c>
      <c r="L26" s="23">
        <f t="shared" si="37"/>
        <v>19.264596985535658</v>
      </c>
      <c r="M26" s="23">
        <f t="shared" si="37"/>
        <v>46.191239059645795</v>
      </c>
      <c r="N26" s="23">
        <f t="shared" si="37"/>
        <v>83.527501936213753</v>
      </c>
      <c r="O26" s="23">
        <f t="shared" si="37"/>
        <v>134.46210085931952</v>
      </c>
      <c r="P26" s="23">
        <f t="shared" si="37"/>
        <v>203.07744142419844</v>
      </c>
      <c r="Q26" s="23">
        <f t="shared" ref="Q26:U26" si="38">Q25*0.1</f>
        <v>257.03267065374342</v>
      </c>
      <c r="R26" s="23">
        <f t="shared" si="38"/>
        <v>316.3795200266643</v>
      </c>
      <c r="S26" s="23">
        <f t="shared" si="38"/>
        <v>381.66927245748866</v>
      </c>
      <c r="T26" s="23">
        <f t="shared" si="38"/>
        <v>453.50831350539659</v>
      </c>
      <c r="U26" s="23">
        <f t="shared" si="38"/>
        <v>532.56364605350245</v>
      </c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  <c r="BH26" s="39"/>
      <c r="BI26" s="39"/>
      <c r="BJ26" s="39"/>
      <c r="BK26" s="39"/>
      <c r="BL26" s="39"/>
      <c r="BM26" s="39"/>
      <c r="BN26" s="39"/>
      <c r="BO26" s="39"/>
      <c r="BP26" s="39"/>
      <c r="BQ26" s="39"/>
      <c r="BR26" s="39"/>
      <c r="BS26" s="39"/>
      <c r="BT26" s="39"/>
      <c r="BU26" s="39"/>
      <c r="BV26" s="39"/>
      <c r="BW26" s="39"/>
      <c r="BX26" s="39"/>
      <c r="BY26" s="39"/>
      <c r="BZ26" s="39"/>
      <c r="CA26" s="39"/>
      <c r="CB26" s="39"/>
      <c r="CC26" s="39"/>
      <c r="CD26" s="39"/>
      <c r="CE26" s="39"/>
      <c r="CF26" s="39"/>
      <c r="CG26" s="39"/>
      <c r="CH26" s="39"/>
      <c r="CI26" s="39"/>
      <c r="CJ26" s="39"/>
      <c r="CK26" s="39"/>
      <c r="CL26" s="39"/>
      <c r="CM26" s="39"/>
      <c r="CN26" s="39"/>
      <c r="CO26" s="39"/>
      <c r="CP26" s="39"/>
      <c r="CQ26" s="39"/>
      <c r="CR26" s="39"/>
      <c r="CS26" s="39"/>
      <c r="CT26" s="39"/>
      <c r="CU26" s="39"/>
      <c r="CV26" s="39"/>
      <c r="CW26" s="39"/>
      <c r="CX26" s="39"/>
      <c r="CY26" s="39"/>
      <c r="CZ26" s="39"/>
      <c r="DA26" s="39"/>
      <c r="DB26" s="39"/>
      <c r="DC26" s="39"/>
      <c r="DD26" s="39"/>
      <c r="DE26" s="39"/>
      <c r="DF26" s="39"/>
      <c r="DG26" s="39"/>
      <c r="DH26" s="39"/>
      <c r="DI26" s="39"/>
      <c r="DJ26" s="39"/>
      <c r="DK26" s="39"/>
      <c r="DL26" s="39"/>
      <c r="DM26" s="39"/>
    </row>
    <row r="27" spans="1:200" s="2" customFormat="1" x14ac:dyDescent="0.15">
      <c r="A27" s="2" t="s">
        <v>15</v>
      </c>
      <c r="B27" s="24">
        <f>B25-B26</f>
        <v>-76.117000000000004</v>
      </c>
      <c r="C27" s="24">
        <f>C25-C26</f>
        <v>-83.623000000000005</v>
      </c>
      <c r="D27" s="24">
        <f>D25-D26</f>
        <v>-109.20799999999997</v>
      </c>
      <c r="E27" s="24">
        <f>E25-E26</f>
        <v>-126.16700000000003</v>
      </c>
      <c r="F27" s="24">
        <f t="shared" ref="F27:H27" si="39">F25-F26</f>
        <v>-208.315</v>
      </c>
      <c r="G27" s="24">
        <f>G25-G26</f>
        <v>-173.07570918086157</v>
      </c>
      <c r="H27" s="24">
        <f t="shared" si="39"/>
        <v>-170.63399285320602</v>
      </c>
      <c r="I27" s="24">
        <f t="shared" ref="I27:P27" si="40">I25-I26</f>
        <v>-148.98691460471386</v>
      </c>
      <c r="J27" s="24">
        <f t="shared" si="40"/>
        <v>-96.753761711140797</v>
      </c>
      <c r="K27" s="24">
        <f t="shared" si="40"/>
        <v>2.3635081267710869</v>
      </c>
      <c r="L27" s="24">
        <f t="shared" si="40"/>
        <v>173.38137286982089</v>
      </c>
      <c r="M27" s="24">
        <f t="shared" si="40"/>
        <v>415.72115153681216</v>
      </c>
      <c r="N27" s="24">
        <f t="shared" si="40"/>
        <v>751.74751742592366</v>
      </c>
      <c r="O27" s="24">
        <f t="shared" si="40"/>
        <v>1210.1589077338758</v>
      </c>
      <c r="P27" s="24">
        <f t="shared" si="40"/>
        <v>1827.6969728177858</v>
      </c>
      <c r="Q27" s="24">
        <f t="shared" ref="Q27:U27" si="41">Q25-Q26</f>
        <v>2313.2940358836904</v>
      </c>
      <c r="R27" s="24">
        <f t="shared" si="41"/>
        <v>2847.4156802399784</v>
      </c>
      <c r="S27" s="24">
        <f t="shared" si="41"/>
        <v>3435.0234521173979</v>
      </c>
      <c r="T27" s="24">
        <f t="shared" si="41"/>
        <v>4081.5748215485692</v>
      </c>
      <c r="U27" s="24">
        <f t="shared" si="41"/>
        <v>4793.0728144815221</v>
      </c>
      <c r="V27" s="24">
        <f t="shared" ref="V27:BY27" si="42">U27*($F$2+1)</f>
        <v>4817.0381785539294</v>
      </c>
      <c r="W27" s="24">
        <f t="shared" si="42"/>
        <v>4841.1233694466982</v>
      </c>
      <c r="X27" s="24">
        <f t="shared" si="42"/>
        <v>4865.3289862939309</v>
      </c>
      <c r="Y27" s="24">
        <f t="shared" si="42"/>
        <v>4889.6556312253997</v>
      </c>
      <c r="Z27" s="24">
        <f t="shared" si="42"/>
        <v>4914.1039093815261</v>
      </c>
      <c r="AA27" s="24">
        <f t="shared" si="42"/>
        <v>4938.6744289284334</v>
      </c>
      <c r="AB27" s="24">
        <f t="shared" si="42"/>
        <v>4963.3678010730746</v>
      </c>
      <c r="AC27" s="24">
        <f t="shared" si="42"/>
        <v>4988.1846400784398</v>
      </c>
      <c r="AD27" s="24">
        <f t="shared" si="42"/>
        <v>5013.1255632788316</v>
      </c>
      <c r="AE27" s="24">
        <f t="shared" si="42"/>
        <v>5038.1911910952249</v>
      </c>
      <c r="AF27" s="24">
        <f t="shared" si="42"/>
        <v>5063.3821470507</v>
      </c>
      <c r="AG27" s="24">
        <f t="shared" si="42"/>
        <v>5088.6990577859533</v>
      </c>
      <c r="AH27" s="24">
        <f t="shared" si="42"/>
        <v>5114.1425530748829</v>
      </c>
      <c r="AI27" s="24">
        <f t="shared" si="42"/>
        <v>5139.713265840257</v>
      </c>
      <c r="AJ27" s="24">
        <f t="shared" si="42"/>
        <v>5165.4118321694577</v>
      </c>
      <c r="AK27" s="24">
        <f t="shared" si="42"/>
        <v>5191.2388913303048</v>
      </c>
      <c r="AL27" s="24">
        <f t="shared" si="42"/>
        <v>5217.195085786956</v>
      </c>
      <c r="AM27" s="24">
        <f t="shared" si="42"/>
        <v>5243.2810612158901</v>
      </c>
      <c r="AN27" s="24">
        <f t="shared" si="42"/>
        <v>5269.4974665219688</v>
      </c>
      <c r="AO27" s="24">
        <f t="shared" si="42"/>
        <v>5295.8449538545783</v>
      </c>
      <c r="AP27" s="24">
        <f t="shared" si="42"/>
        <v>5322.3241786238505</v>
      </c>
      <c r="AQ27" s="24">
        <f t="shared" si="42"/>
        <v>5348.9357995169694</v>
      </c>
      <c r="AR27" s="24">
        <f t="shared" si="42"/>
        <v>5375.6804785145532</v>
      </c>
      <c r="AS27" s="24">
        <f t="shared" si="42"/>
        <v>5402.5588809071251</v>
      </c>
      <c r="AT27" s="24">
        <f t="shared" si="42"/>
        <v>5429.5716753116603</v>
      </c>
      <c r="AU27" s="24">
        <f t="shared" si="42"/>
        <v>5456.7195336882178</v>
      </c>
      <c r="AV27" s="24">
        <f t="shared" si="42"/>
        <v>5484.0031313566587</v>
      </c>
      <c r="AW27" s="24">
        <f t="shared" si="42"/>
        <v>5511.4231470134418</v>
      </c>
      <c r="AX27" s="24">
        <f t="shared" si="42"/>
        <v>5538.9802627485087</v>
      </c>
      <c r="AY27" s="24">
        <f t="shared" si="42"/>
        <v>5566.6751640622506</v>
      </c>
      <c r="AZ27" s="24">
        <f t="shared" si="42"/>
        <v>5594.5085398825613</v>
      </c>
      <c r="BA27" s="24">
        <f t="shared" si="42"/>
        <v>5622.4810825819732</v>
      </c>
      <c r="BB27" s="24">
        <f t="shared" si="42"/>
        <v>5650.5934879948827</v>
      </c>
      <c r="BC27" s="24">
        <f t="shared" si="42"/>
        <v>5678.8464554348566</v>
      </c>
      <c r="BD27" s="24">
        <f t="shared" si="42"/>
        <v>5707.2406877120302</v>
      </c>
      <c r="BE27" s="24">
        <f t="shared" si="42"/>
        <v>5735.77689115059</v>
      </c>
      <c r="BF27" s="24">
        <f t="shared" si="42"/>
        <v>5764.4557756063423</v>
      </c>
      <c r="BG27" s="24">
        <f t="shared" si="42"/>
        <v>5793.2780544843736</v>
      </c>
      <c r="BH27" s="24">
        <f t="shared" si="42"/>
        <v>5822.244444756795</v>
      </c>
      <c r="BI27" s="24">
        <f t="shared" si="42"/>
        <v>5851.3556669805785</v>
      </c>
      <c r="BJ27" s="24">
        <f t="shared" si="42"/>
        <v>5880.6124453154807</v>
      </c>
      <c r="BK27" s="24">
        <f t="shared" si="42"/>
        <v>5910.0155075420571</v>
      </c>
      <c r="BL27" s="24">
        <f t="shared" si="42"/>
        <v>5939.5655850797666</v>
      </c>
      <c r="BM27" s="24">
        <f t="shared" si="42"/>
        <v>5969.2634130051647</v>
      </c>
      <c r="BN27" s="24">
        <f t="shared" si="42"/>
        <v>5999.1097300701895</v>
      </c>
      <c r="BO27" s="24">
        <f t="shared" si="42"/>
        <v>6029.1052787205399</v>
      </c>
      <c r="BP27" s="24">
        <f t="shared" si="42"/>
        <v>6059.2508051141422</v>
      </c>
      <c r="BQ27" s="24">
        <f t="shared" si="42"/>
        <v>6089.5470591397125</v>
      </c>
      <c r="BR27" s="24">
        <f t="shared" si="42"/>
        <v>6119.9947944354108</v>
      </c>
      <c r="BS27" s="24">
        <f t="shared" si="42"/>
        <v>6150.5947684075873</v>
      </c>
      <c r="BT27" s="24">
        <f t="shared" si="42"/>
        <v>6181.3477422496244</v>
      </c>
      <c r="BU27" s="24">
        <f t="shared" si="42"/>
        <v>6212.2544809608717</v>
      </c>
      <c r="BV27" s="24">
        <f t="shared" si="42"/>
        <v>6243.3157533656749</v>
      </c>
      <c r="BW27" s="24">
        <f t="shared" si="42"/>
        <v>6274.5323321325022</v>
      </c>
      <c r="BX27" s="24">
        <f t="shared" si="42"/>
        <v>6305.9049937931641</v>
      </c>
      <c r="BY27" s="24">
        <f t="shared" si="42"/>
        <v>6337.4345187621293</v>
      </c>
      <c r="BZ27" s="24">
        <f t="shared" ref="BZ27:DM27" si="43">BY27*($F$2+1)</f>
        <v>6369.1216913559392</v>
      </c>
      <c r="CA27" s="24">
        <f t="shared" si="43"/>
        <v>6400.967299812718</v>
      </c>
      <c r="CB27" s="24">
        <f t="shared" si="43"/>
        <v>6432.9721363117806</v>
      </c>
      <c r="CC27" s="24">
        <f t="shared" si="43"/>
        <v>6465.1369969933385</v>
      </c>
      <c r="CD27" s="24">
        <f t="shared" si="43"/>
        <v>6497.4626819783043</v>
      </c>
      <c r="CE27" s="24">
        <f t="shared" si="43"/>
        <v>6529.949995388195</v>
      </c>
      <c r="CF27" s="24">
        <f t="shared" si="43"/>
        <v>6562.5997453651353</v>
      </c>
      <c r="CG27" s="24">
        <f t="shared" si="43"/>
        <v>6595.4127440919601</v>
      </c>
      <c r="CH27" s="24">
        <f t="shared" si="43"/>
        <v>6628.3898078124193</v>
      </c>
      <c r="CI27" s="24">
        <f t="shared" si="43"/>
        <v>6661.5317568514811</v>
      </c>
      <c r="CJ27" s="24">
        <f t="shared" si="43"/>
        <v>6694.8394156357381</v>
      </c>
      <c r="CK27" s="24">
        <f t="shared" si="43"/>
        <v>6728.313612713916</v>
      </c>
      <c r="CL27" s="24">
        <f t="shared" si="43"/>
        <v>6761.9551807774851</v>
      </c>
      <c r="CM27" s="24">
        <f t="shared" si="43"/>
        <v>6795.7649566813716</v>
      </c>
      <c r="CN27" s="24">
        <f t="shared" si="43"/>
        <v>6829.7437814647774</v>
      </c>
      <c r="CO27" s="24">
        <f t="shared" si="43"/>
        <v>6863.8925003721006</v>
      </c>
      <c r="CP27" s="24">
        <f t="shared" si="43"/>
        <v>6898.2119628739601</v>
      </c>
      <c r="CQ27" s="24">
        <f t="shared" si="43"/>
        <v>6932.7030226883289</v>
      </c>
      <c r="CR27" s="24">
        <f t="shared" si="43"/>
        <v>6967.3665378017695</v>
      </c>
      <c r="CS27" s="24">
        <f t="shared" si="43"/>
        <v>7002.2033704907772</v>
      </c>
      <c r="CT27" s="24">
        <f t="shared" si="43"/>
        <v>7037.2143873432306</v>
      </c>
      <c r="CU27" s="24">
        <f t="shared" si="43"/>
        <v>7072.4004592799456</v>
      </c>
      <c r="CV27" s="24">
        <f t="shared" si="43"/>
        <v>7107.7624615763443</v>
      </c>
      <c r="CW27" s="24">
        <f t="shared" si="43"/>
        <v>7143.3012738842253</v>
      </c>
      <c r="CX27" s="24">
        <f t="shared" si="43"/>
        <v>7179.0177802536455</v>
      </c>
      <c r="CY27" s="24">
        <f t="shared" si="43"/>
        <v>7214.9128691549131</v>
      </c>
      <c r="CZ27" s="24">
        <f t="shared" si="43"/>
        <v>7250.9874335006871</v>
      </c>
      <c r="DA27" s="24">
        <f t="shared" si="43"/>
        <v>7287.2423706681893</v>
      </c>
      <c r="DB27" s="24">
        <f t="shared" si="43"/>
        <v>7323.6785825215293</v>
      </c>
      <c r="DC27" s="24">
        <f t="shared" si="43"/>
        <v>7360.2969754341366</v>
      </c>
      <c r="DD27" s="24">
        <f t="shared" si="43"/>
        <v>7397.0984603113066</v>
      </c>
      <c r="DE27" s="24">
        <f t="shared" si="43"/>
        <v>7434.083952612862</v>
      </c>
      <c r="DF27" s="24">
        <f t="shared" si="43"/>
        <v>7471.2543723759254</v>
      </c>
      <c r="DG27" s="24">
        <f t="shared" si="43"/>
        <v>7508.6106442378041</v>
      </c>
      <c r="DH27" s="24">
        <f t="shared" si="43"/>
        <v>7546.1536974589926</v>
      </c>
      <c r="DI27" s="24">
        <f t="shared" si="43"/>
        <v>7583.8844659462866</v>
      </c>
      <c r="DJ27" s="24">
        <f t="shared" si="43"/>
        <v>7621.8038882760175</v>
      </c>
      <c r="DK27" s="24">
        <f t="shared" si="43"/>
        <v>7659.9129077173966</v>
      </c>
      <c r="DL27" s="24">
        <f t="shared" si="43"/>
        <v>7698.2124722559829</v>
      </c>
      <c r="DM27" s="24">
        <f t="shared" si="43"/>
        <v>7736.7035346172624</v>
      </c>
      <c r="DN27" s="24">
        <f t="shared" ref="DN27" si="44">DM27*($F$2+1)</f>
        <v>7775.387052290348</v>
      </c>
      <c r="DO27" s="24">
        <f t="shared" ref="DO27" si="45">DN27*($F$2+1)</f>
        <v>7814.2639875517989</v>
      </c>
      <c r="DP27" s="24">
        <f t="shared" ref="DP27" si="46">DO27*($F$2+1)</f>
        <v>7853.3353074895567</v>
      </c>
      <c r="DQ27" s="24">
        <f t="shared" ref="DQ27" si="47">DP27*($F$2+1)</f>
        <v>7892.6019840270037</v>
      </c>
      <c r="DR27" s="24">
        <f t="shared" ref="DR27" si="48">DQ27*($F$2+1)</f>
        <v>7932.0649939471377</v>
      </c>
      <c r="DS27" s="24">
        <f t="shared" ref="DS27" si="49">DR27*($F$2+1)</f>
        <v>7971.7253189168723</v>
      </c>
      <c r="DT27" s="24">
        <f t="shared" ref="DT27" si="50">DS27*($F$2+1)</f>
        <v>8011.5839455114556</v>
      </c>
      <c r="DU27" s="24">
        <f t="shared" ref="DU27" si="51">DT27*($F$2+1)</f>
        <v>8051.6418652390121</v>
      </c>
      <c r="DV27" s="24">
        <f t="shared" ref="DV27" si="52">DU27*($F$2+1)</f>
        <v>8091.9000745652065</v>
      </c>
      <c r="DW27" s="24">
        <f t="shared" ref="DW27" si="53">DV27*($F$2+1)</f>
        <v>8132.359574938032</v>
      </c>
      <c r="DX27" s="24">
        <f t="shared" ref="DX27" si="54">DW27*($F$2+1)</f>
        <v>8173.021372812721</v>
      </c>
      <c r="DY27" s="24">
        <f t="shared" ref="DY27" si="55">DX27*($F$2+1)</f>
        <v>8213.886479676783</v>
      </c>
      <c r="DZ27" s="24">
        <f t="shared" ref="DZ27" si="56">DY27*($F$2+1)</f>
        <v>8254.9559120751655</v>
      </c>
      <c r="EA27" s="24">
        <f t="shared" ref="EA27" si="57">DZ27*($F$2+1)</f>
        <v>8296.230691635541</v>
      </c>
      <c r="EB27" s="24">
        <f t="shared" ref="EB27" si="58">EA27*($F$2+1)</f>
        <v>8337.7118450937178</v>
      </c>
      <c r="EC27" s="24">
        <f t="shared" ref="EC27" si="59">EB27*($F$2+1)</f>
        <v>8379.4004043191853</v>
      </c>
      <c r="ED27" s="24">
        <f t="shared" ref="ED27" si="60">EC27*($F$2+1)</f>
        <v>8421.2974063407801</v>
      </c>
      <c r="EE27" s="24">
        <f t="shared" ref="EE27" si="61">ED27*($F$2+1)</f>
        <v>8463.4038933724823</v>
      </c>
      <c r="EF27" s="24">
        <f t="shared" ref="EF27" si="62">EE27*($F$2+1)</f>
        <v>8505.7209128393442</v>
      </c>
      <c r="EG27" s="24">
        <f t="shared" ref="EG27" si="63">EF27*($F$2+1)</f>
        <v>8548.2495174035394</v>
      </c>
      <c r="EH27" s="24">
        <f t="shared" ref="EH27" si="64">EG27*($F$2+1)</f>
        <v>8590.9907649905563</v>
      </c>
      <c r="EI27" s="24">
        <f t="shared" ref="EI27" si="65">EH27*($F$2+1)</f>
        <v>8633.9457188155084</v>
      </c>
      <c r="EJ27" s="24">
        <f t="shared" ref="EJ27" si="66">EI27*($F$2+1)</f>
        <v>8677.1154474095856</v>
      </c>
      <c r="EK27" s="24">
        <f t="shared" ref="EK27" si="67">EJ27*($F$2+1)</f>
        <v>8720.5010246466318</v>
      </c>
      <c r="EL27" s="24">
        <f t="shared" ref="EL27" si="68">EK27*($F$2+1)</f>
        <v>8764.1035297698636</v>
      </c>
      <c r="EM27" s="24">
        <f t="shared" ref="EM27" si="69">EL27*($F$2+1)</f>
        <v>8807.9240474187118</v>
      </c>
      <c r="EN27" s="24">
        <f t="shared" ref="EN27" si="70">EM27*($F$2+1)</f>
        <v>8851.9636676558039</v>
      </c>
      <c r="EO27" s="24">
        <f t="shared" ref="EO27" si="71">EN27*($F$2+1)</f>
        <v>8896.2234859940818</v>
      </c>
      <c r="EP27" s="24">
        <f t="shared" ref="EP27" si="72">EO27*($F$2+1)</f>
        <v>8940.704603424052</v>
      </c>
      <c r="EQ27" s="24">
        <f t="shared" ref="EQ27" si="73">EP27*($F$2+1)</f>
        <v>8985.4081264411707</v>
      </c>
      <c r="ER27" s="24">
        <f t="shared" ref="ER27" si="74">EQ27*($F$2+1)</f>
        <v>9030.3351670733755</v>
      </c>
      <c r="ES27" s="24">
        <f t="shared" ref="ES27" si="75">ER27*($F$2+1)</f>
        <v>9075.4868429087419</v>
      </c>
      <c r="ET27" s="24">
        <f t="shared" ref="ET27" si="76">ES27*($F$2+1)</f>
        <v>9120.8642771232844</v>
      </c>
      <c r="EU27" s="24">
        <f t="shared" ref="EU27" si="77">ET27*($F$2+1)</f>
        <v>9166.4685985089</v>
      </c>
      <c r="EV27" s="24">
        <f t="shared" ref="EV27" si="78">EU27*($F$2+1)</f>
        <v>9212.300941501444</v>
      </c>
      <c r="EW27" s="24">
        <f t="shared" ref="EW27" si="79">EV27*($F$2+1)</f>
        <v>9258.3624462089501</v>
      </c>
      <c r="EX27" s="24">
        <f t="shared" ref="EX27" si="80">EW27*($F$2+1)</f>
        <v>9304.654258439994</v>
      </c>
      <c r="EY27" s="24">
        <f t="shared" ref="EY27" si="81">EX27*($F$2+1)</f>
        <v>9351.1775297321929</v>
      </c>
      <c r="EZ27" s="24">
        <f t="shared" ref="EZ27" si="82">EY27*($F$2+1)</f>
        <v>9397.9334173808529</v>
      </c>
      <c r="FA27" s="24">
        <f t="shared" ref="FA27" si="83">EZ27*($F$2+1)</f>
        <v>9444.9230844677568</v>
      </c>
      <c r="FB27" s="24">
        <f t="shared" ref="FB27" si="84">FA27*($F$2+1)</f>
        <v>9492.1476998900944</v>
      </c>
      <c r="FC27" s="24">
        <f t="shared" ref="FC27" si="85">FB27*($F$2+1)</f>
        <v>9539.6084383895432</v>
      </c>
      <c r="FD27" s="24">
        <f t="shared" ref="FD27" si="86">FC27*($F$2+1)</f>
        <v>9587.3064805814902</v>
      </c>
      <c r="FE27" s="24">
        <f t="shared" ref="FE27" si="87">FD27*($F$2+1)</f>
        <v>9635.243012984396</v>
      </c>
      <c r="FF27" s="24">
        <f t="shared" ref="FF27" si="88">FE27*($F$2+1)</f>
        <v>9683.4192280493171</v>
      </c>
      <c r="FG27" s="24">
        <f t="shared" ref="FG27" si="89">FF27*($F$2+1)</f>
        <v>9731.8363241895622</v>
      </c>
      <c r="FH27" s="24">
        <f t="shared" ref="FH27" si="90">FG27*($F$2+1)</f>
        <v>9780.4955058105097</v>
      </c>
      <c r="FI27" s="24">
        <f t="shared" ref="FI27" si="91">FH27*($F$2+1)</f>
        <v>9829.3979833395606</v>
      </c>
      <c r="FJ27" s="24">
        <f t="shared" ref="FJ27" si="92">FI27*($F$2+1)</f>
        <v>9878.5449732562574</v>
      </c>
      <c r="FK27" s="24">
        <f t="shared" ref="FK27" si="93">FJ27*($F$2+1)</f>
        <v>9927.9376981225378</v>
      </c>
      <c r="FL27" s="24">
        <f t="shared" ref="FL27" si="94">FK27*($F$2+1)</f>
        <v>9977.5773866131494</v>
      </c>
      <c r="FM27" s="24">
        <f t="shared" ref="FM27" si="95">FL27*($F$2+1)</f>
        <v>10027.465273546213</v>
      </c>
      <c r="FN27" s="24">
        <f t="shared" ref="FN27" si="96">FM27*($F$2+1)</f>
        <v>10077.602599913944</v>
      </c>
      <c r="FO27" s="24">
        <f t="shared" ref="FO27" si="97">FN27*($F$2+1)</f>
        <v>10127.990612913512</v>
      </c>
      <c r="FP27" s="24">
        <f t="shared" ref="FP27" si="98">FO27*($F$2+1)</f>
        <v>10178.630565978079</v>
      </c>
      <c r="FQ27" s="24">
        <f t="shared" ref="FQ27" si="99">FP27*($F$2+1)</f>
        <v>10229.523718807968</v>
      </c>
      <c r="FR27" s="24">
        <f t="shared" ref="FR27" si="100">FQ27*($F$2+1)</f>
        <v>10280.671337402007</v>
      </c>
      <c r="FS27" s="24">
        <f t="shared" ref="FS27" si="101">FR27*($F$2+1)</f>
        <v>10332.074694089017</v>
      </c>
      <c r="FT27" s="24">
        <f t="shared" ref="FT27" si="102">FS27*($F$2+1)</f>
        <v>10383.735067559461</v>
      </c>
      <c r="FU27" s="24">
        <f t="shared" ref="FU27" si="103">FT27*($F$2+1)</f>
        <v>10435.653742897257</v>
      </c>
      <c r="FV27" s="24">
        <f t="shared" ref="FV27" si="104">FU27*($F$2+1)</f>
        <v>10487.832011611743</v>
      </c>
      <c r="FW27" s="24">
        <f t="shared" ref="FW27" si="105">FV27*($F$2+1)</f>
        <v>10540.271171669801</v>
      </c>
      <c r="FX27" s="24">
        <f t="shared" ref="FX27" si="106">FW27*($F$2+1)</f>
        <v>10592.972527528149</v>
      </c>
      <c r="FY27" s="24">
        <f t="shared" ref="FY27" si="107">FX27*($F$2+1)</f>
        <v>10645.937390165789</v>
      </c>
      <c r="FZ27" s="24">
        <f t="shared" ref="FZ27" si="108">FY27*($F$2+1)</f>
        <v>10699.167077116617</v>
      </c>
      <c r="GA27" s="24">
        <f t="shared" ref="GA27" si="109">FZ27*($F$2+1)</f>
        <v>10752.662912502199</v>
      </c>
      <c r="GB27" s="24">
        <f t="shared" ref="GB27" si="110">GA27*($F$2+1)</f>
        <v>10806.426227064709</v>
      </c>
      <c r="GC27" s="24">
        <f t="shared" ref="GC27" si="111">GB27*($F$2+1)</f>
        <v>10860.45835820003</v>
      </c>
      <c r="GD27" s="24">
        <f t="shared" ref="GD27" si="112">GC27*($F$2+1)</f>
        <v>10914.760649991029</v>
      </c>
      <c r="GE27" s="24">
        <f t="shared" ref="GE27" si="113">GD27*($F$2+1)</f>
        <v>10969.334453240983</v>
      </c>
      <c r="GF27" s="24">
        <f t="shared" ref="GF27" si="114">GE27*($F$2+1)</f>
        <v>11024.181125507186</v>
      </c>
      <c r="GG27" s="24">
        <f t="shared" ref="GG27" si="115">GF27*($F$2+1)</f>
        <v>11079.302031134721</v>
      </c>
      <c r="GH27" s="24">
        <f t="shared" ref="GH27" si="116">GG27*($F$2+1)</f>
        <v>11134.698541290394</v>
      </c>
      <c r="GI27" s="24">
        <f t="shared" ref="GI27" si="117">GH27*($F$2+1)</f>
        <v>11190.372033996844</v>
      </c>
      <c r="GJ27" s="24">
        <f t="shared" ref="GJ27" si="118">GI27*($F$2+1)</f>
        <v>11246.323894166828</v>
      </c>
      <c r="GK27" s="24">
        <f t="shared" ref="GK27" si="119">GJ27*($F$2+1)</f>
        <v>11302.555513637661</v>
      </c>
      <c r="GL27" s="24">
        <f t="shared" ref="GL27" si="120">GK27*($F$2+1)</f>
        <v>11359.068291205847</v>
      </c>
      <c r="GM27" s="24">
        <f t="shared" ref="GM27" si="121">GL27*($F$2+1)</f>
        <v>11415.863632661876</v>
      </c>
      <c r="GN27" s="24">
        <f t="shared" ref="GN27" si="122">GM27*($F$2+1)</f>
        <v>11472.942950825185</v>
      </c>
      <c r="GO27" s="24">
        <f t="shared" ref="GO27" si="123">GN27*($F$2+1)</f>
        <v>11530.30766557931</v>
      </c>
      <c r="GP27" s="24">
        <f t="shared" ref="GP27" si="124">GO27*($F$2+1)</f>
        <v>11587.959203907205</v>
      </c>
      <c r="GQ27" s="24">
        <f t="shared" ref="GQ27" si="125">GP27*($F$2+1)</f>
        <v>11645.89899992674</v>
      </c>
      <c r="GR27" s="24">
        <f t="shared" ref="GR27" si="126">GQ27*($F$2+1)</f>
        <v>11704.128494926372</v>
      </c>
    </row>
    <row r="28" spans="1:200" x14ac:dyDescent="0.15">
      <c r="A28" s="3" t="s">
        <v>16</v>
      </c>
      <c r="B28" s="29">
        <f t="shared" ref="B28:G28" si="127">B27/B29</f>
        <v>-4.2721558062524556</v>
      </c>
      <c r="C28" s="29">
        <f t="shared" si="127"/>
        <v>-4.2673504796897328</v>
      </c>
      <c r="D28" s="29">
        <f t="shared" si="127"/>
        <v>-1.0815993027562913</v>
      </c>
      <c r="E28" s="29">
        <f t="shared" si="127"/>
        <v>-1.1446522050751662</v>
      </c>
      <c r="F28" s="29">
        <f t="shared" si="127"/>
        <v>-1.7136522926572448</v>
      </c>
      <c r="G28" s="48">
        <f t="shared" si="127"/>
        <v>-1.4237649033485922</v>
      </c>
      <c r="H28" s="48">
        <f t="shared" ref="H28" si="128">H27/H29</f>
        <v>-1.4036787224067226</v>
      </c>
      <c r="I28" s="48">
        <f t="shared" ref="I28:P28" si="129">I27/I29</f>
        <v>-1.2256043385656197</v>
      </c>
      <c r="J28" s="48">
        <f t="shared" si="129"/>
        <v>-0.79592110783913395</v>
      </c>
      <c r="K28" s="48">
        <f t="shared" si="129"/>
        <v>1.9442820344935809E-2</v>
      </c>
      <c r="L28" s="48">
        <f t="shared" si="129"/>
        <v>1.4262793707722883</v>
      </c>
      <c r="M28" s="48">
        <f t="shared" si="129"/>
        <v>3.4198281661770302</v>
      </c>
      <c r="N28" s="48">
        <f t="shared" si="129"/>
        <v>6.1840667102048643</v>
      </c>
      <c r="O28" s="48">
        <f t="shared" si="129"/>
        <v>9.9550756629035053</v>
      </c>
      <c r="P28" s="48">
        <f t="shared" si="129"/>
        <v>15.03510120611528</v>
      </c>
      <c r="Q28" s="48">
        <f t="shared" ref="Q28:U28" si="130">Q27/Q29</f>
        <v>19.029746432961701</v>
      </c>
      <c r="R28" s="48">
        <f t="shared" si="130"/>
        <v>23.423567235155545</v>
      </c>
      <c r="S28" s="48">
        <f t="shared" si="130"/>
        <v>28.257378556764433</v>
      </c>
      <c r="T28" s="48">
        <f t="shared" si="130"/>
        <v>33.57607493746869</v>
      </c>
      <c r="U28" s="48">
        <f t="shared" si="130"/>
        <v>39.429038798979306</v>
      </c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/>
      <c r="BR28" s="39"/>
      <c r="BS28" s="39"/>
      <c r="BT28" s="39"/>
      <c r="BU28" s="39"/>
      <c r="BV28" s="39"/>
      <c r="BW28" s="39"/>
      <c r="BX28" s="39"/>
      <c r="BY28" s="39"/>
      <c r="BZ28" s="39"/>
      <c r="CA28" s="39"/>
      <c r="CB28" s="39"/>
      <c r="CC28" s="39"/>
      <c r="CD28" s="39"/>
      <c r="CE28" s="39"/>
      <c r="CF28" s="39"/>
      <c r="CG28" s="39"/>
      <c r="CH28" s="39"/>
      <c r="CI28" s="39"/>
      <c r="CJ28" s="39"/>
      <c r="CK28" s="39"/>
      <c r="CL28" s="39"/>
      <c r="CM28" s="39"/>
      <c r="CN28" s="39"/>
      <c r="CO28" s="39"/>
      <c r="CP28" s="39"/>
      <c r="CQ28" s="39"/>
      <c r="CR28" s="39"/>
      <c r="CS28" s="39"/>
      <c r="CT28" s="39"/>
      <c r="CU28" s="39"/>
      <c r="CV28" s="39"/>
      <c r="CW28" s="39"/>
      <c r="CX28" s="39"/>
      <c r="CY28" s="39"/>
      <c r="CZ28" s="39"/>
      <c r="DA28" s="39"/>
      <c r="DB28" s="39"/>
      <c r="DC28" s="39"/>
      <c r="DD28" s="39"/>
      <c r="DE28" s="39"/>
      <c r="DF28" s="39"/>
      <c r="DG28" s="39"/>
      <c r="DH28" s="39"/>
      <c r="DI28" s="39"/>
      <c r="DJ28" s="39"/>
      <c r="DK28" s="39"/>
      <c r="DL28" s="39"/>
      <c r="DM28" s="39"/>
    </row>
    <row r="29" spans="1:200" s="16" customFormat="1" x14ac:dyDescent="0.15">
      <c r="A29" s="16" t="s">
        <v>17</v>
      </c>
      <c r="B29" s="23">
        <v>17.817</v>
      </c>
      <c r="C29" s="23">
        <f>Reports!E19</f>
        <v>19.596</v>
      </c>
      <c r="D29" s="23">
        <f>Reports!I19</f>
        <v>100.96899999999999</v>
      </c>
      <c r="E29" s="23">
        <f>Reports!M19</f>
        <v>110.223</v>
      </c>
      <c r="F29" s="23">
        <f>Reports!Q19</f>
        <v>121.562</v>
      </c>
      <c r="G29" s="23">
        <f t="shared" ref="G29" si="131">F29</f>
        <v>121.562</v>
      </c>
      <c r="H29" s="23">
        <f t="shared" ref="H29" si="132">G29</f>
        <v>121.562</v>
      </c>
      <c r="I29" s="23">
        <f t="shared" ref="I29" si="133">H29</f>
        <v>121.562</v>
      </c>
      <c r="J29" s="23">
        <f t="shared" ref="J29" si="134">I29</f>
        <v>121.562</v>
      </c>
      <c r="K29" s="23">
        <f t="shared" ref="K29" si="135">J29</f>
        <v>121.562</v>
      </c>
      <c r="L29" s="23">
        <f t="shared" ref="L29" si="136">K29</f>
        <v>121.562</v>
      </c>
      <c r="M29" s="23">
        <f t="shared" ref="M29" si="137">L29</f>
        <v>121.562</v>
      </c>
      <c r="N29" s="23">
        <f t="shared" ref="N29" si="138">M29</f>
        <v>121.562</v>
      </c>
      <c r="O29" s="23">
        <f t="shared" ref="O29" si="139">N29</f>
        <v>121.562</v>
      </c>
      <c r="P29" s="23">
        <f t="shared" ref="P29:U29" si="140">O29</f>
        <v>121.562</v>
      </c>
      <c r="Q29" s="23">
        <f t="shared" si="140"/>
        <v>121.562</v>
      </c>
      <c r="R29" s="23">
        <f t="shared" si="140"/>
        <v>121.562</v>
      </c>
      <c r="S29" s="23">
        <f t="shared" si="140"/>
        <v>121.562</v>
      </c>
      <c r="T29" s="23">
        <f t="shared" si="140"/>
        <v>121.562</v>
      </c>
      <c r="U29" s="23">
        <f t="shared" si="140"/>
        <v>121.562</v>
      </c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8"/>
      <c r="DK29" s="38"/>
      <c r="DL29" s="38"/>
      <c r="DM29" s="38"/>
    </row>
    <row r="30" spans="1:200" x14ac:dyDescent="0.15"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39"/>
      <c r="CM30" s="39"/>
      <c r="CN30" s="39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CY30" s="39"/>
      <c r="CZ30" s="39"/>
      <c r="DA30" s="39"/>
      <c r="DB30" s="39"/>
      <c r="DC30" s="39"/>
      <c r="DD30" s="39"/>
      <c r="DE30" s="39"/>
      <c r="DF30" s="39"/>
      <c r="DG30" s="39"/>
      <c r="DH30" s="39"/>
      <c r="DI30" s="39"/>
      <c r="DJ30" s="39"/>
      <c r="DK30" s="39"/>
      <c r="DL30" s="39"/>
      <c r="DM30" s="39"/>
    </row>
    <row r="31" spans="1:200" x14ac:dyDescent="0.15">
      <c r="A31" s="3" t="s">
        <v>19</v>
      </c>
      <c r="B31" s="34">
        <f t="shared" ref="B31:P31" si="141">IFERROR(B18/B16,0)</f>
        <v>0.58066280978267193</v>
      </c>
      <c r="C31" s="34">
        <f t="shared" si="141"/>
        <v>0.65102977682970942</v>
      </c>
      <c r="D31" s="34">
        <f t="shared" si="141"/>
        <v>0.68522337037657821</v>
      </c>
      <c r="E31" s="34">
        <f>IFERROR(E18/E16,0)</f>
        <v>0.71591768648529508</v>
      </c>
      <c r="F31" s="34">
        <f t="shared" si="141"/>
        <v>0.72804815831636993</v>
      </c>
      <c r="G31" s="34">
        <f t="shared" si="141"/>
        <v>0.72804815831637004</v>
      </c>
      <c r="H31" s="34">
        <f>IFERROR(H18/H16,0)</f>
        <v>0.72804815831637004</v>
      </c>
      <c r="I31" s="34">
        <f t="shared" si="141"/>
        <v>0.72804815831637004</v>
      </c>
      <c r="J31" s="34">
        <f t="shared" si="141"/>
        <v>0.72804815831637004</v>
      </c>
      <c r="K31" s="34">
        <f t="shared" si="141"/>
        <v>0.72804815831637004</v>
      </c>
      <c r="L31" s="34">
        <f t="shared" si="141"/>
        <v>0.72804815831637004</v>
      </c>
      <c r="M31" s="34">
        <f t="shared" si="141"/>
        <v>0.72804815831637004</v>
      </c>
      <c r="N31" s="34">
        <f t="shared" si="141"/>
        <v>0.72804815831636993</v>
      </c>
      <c r="O31" s="34">
        <f t="shared" si="141"/>
        <v>0.72804815831636993</v>
      </c>
      <c r="P31" s="34">
        <f t="shared" si="141"/>
        <v>0.72804815831636993</v>
      </c>
      <c r="Q31" s="34">
        <f t="shared" ref="Q31:U31" si="142">IFERROR(Q18/Q16,0)</f>
        <v>0.72804815831636993</v>
      </c>
      <c r="R31" s="34">
        <f t="shared" si="142"/>
        <v>0.72804815831636993</v>
      </c>
      <c r="S31" s="34">
        <f t="shared" si="142"/>
        <v>0.72804815831636993</v>
      </c>
      <c r="T31" s="34">
        <f t="shared" si="142"/>
        <v>0.72804815831636982</v>
      </c>
      <c r="U31" s="34">
        <f t="shared" si="142"/>
        <v>0.72804815831636982</v>
      </c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  <c r="BV31" s="39"/>
      <c r="BW31" s="39"/>
      <c r="BX31" s="39"/>
      <c r="BY31" s="39"/>
      <c r="BZ31" s="39"/>
      <c r="CA31" s="39"/>
      <c r="CB31" s="39"/>
      <c r="CC31" s="39"/>
      <c r="CD31" s="39"/>
      <c r="CE31" s="39"/>
      <c r="CF31" s="39"/>
      <c r="CG31" s="39"/>
      <c r="CH31" s="39"/>
      <c r="CI31" s="39"/>
      <c r="CJ31" s="39"/>
      <c r="CK31" s="39"/>
      <c r="CL31" s="39"/>
      <c r="CM31" s="39"/>
      <c r="CN31" s="39"/>
      <c r="CO31" s="39"/>
      <c r="CP31" s="39"/>
      <c r="CQ31" s="39"/>
      <c r="CR31" s="39"/>
      <c r="CS31" s="39"/>
      <c r="CT31" s="39"/>
      <c r="CU31" s="39"/>
      <c r="CV31" s="39"/>
      <c r="CW31" s="39"/>
      <c r="CX31" s="39"/>
      <c r="CY31" s="39"/>
      <c r="CZ31" s="39"/>
      <c r="DA31" s="39"/>
      <c r="DB31" s="39"/>
      <c r="DC31" s="39"/>
      <c r="DD31" s="39"/>
      <c r="DE31" s="39"/>
      <c r="DF31" s="39"/>
      <c r="DG31" s="39"/>
      <c r="DH31" s="39"/>
      <c r="DI31" s="39"/>
      <c r="DJ31" s="39"/>
      <c r="DK31" s="39"/>
      <c r="DL31" s="39"/>
      <c r="DM31" s="39"/>
    </row>
    <row r="32" spans="1:200" x14ac:dyDescent="0.15">
      <c r="A32" s="3" t="s">
        <v>20</v>
      </c>
      <c r="B32" s="36">
        <f t="shared" ref="B32:P32" si="143">IFERROR(B23/B16,0)</f>
        <v>-0.88603955440185322</v>
      </c>
      <c r="C32" s="36">
        <f t="shared" si="143"/>
        <v>-0.51534373713558634</v>
      </c>
      <c r="D32" s="36">
        <f t="shared" si="143"/>
        <v>-0.43737794634121607</v>
      </c>
      <c r="E32" s="36">
        <f>IFERROR(E23/E16,0)</f>
        <v>-0.30097882550957544</v>
      </c>
      <c r="F32" s="36">
        <f t="shared" si="143"/>
        <v>-0.31620104868555982</v>
      </c>
      <c r="G32" s="36">
        <f>IFERROR(G23/G16,0)</f>
        <v>-0.220993560379764</v>
      </c>
      <c r="H32" s="36">
        <f t="shared" si="143"/>
        <v>-0.15495675902202907</v>
      </c>
      <c r="I32" s="36">
        <f t="shared" si="143"/>
        <v>-9.6342256755273678E-2</v>
      </c>
      <c r="J32" s="36">
        <f t="shared" si="143"/>
        <v>-4.4355723511146292E-2</v>
      </c>
      <c r="K32" s="36">
        <f t="shared" si="143"/>
        <v>1.7090420978427903E-3</v>
      </c>
      <c r="L32" s="36">
        <f t="shared" si="143"/>
        <v>5.2145420176570888E-2</v>
      </c>
      <c r="M32" s="36">
        <f t="shared" si="143"/>
        <v>9.855308901670129E-2</v>
      </c>
      <c r="N32" s="36">
        <f t="shared" si="143"/>
        <v>0.14129017280193976</v>
      </c>
      <c r="O32" s="36">
        <f t="shared" si="143"/>
        <v>0.18068038362531999</v>
      </c>
      <c r="P32" s="36">
        <f t="shared" si="143"/>
        <v>0.21701652442967859</v>
      </c>
      <c r="Q32" s="36">
        <f t="shared" ref="Q32:U32" si="144">IFERROR(Q23/Q16,0)</f>
        <v>0.24735112080984889</v>
      </c>
      <c r="R32" s="36">
        <f t="shared" si="144"/>
        <v>0.27437648849400081</v>
      </c>
      <c r="S32" s="36">
        <f t="shared" si="144"/>
        <v>0.29845363424897248</v>
      </c>
      <c r="T32" s="36">
        <f t="shared" si="144"/>
        <v>0.31990418228521988</v>
      </c>
      <c r="U32" s="36">
        <f t="shared" si="144"/>
        <v>0.33901467053569478</v>
      </c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  <c r="BV32" s="39"/>
      <c r="BW32" s="39"/>
      <c r="BX32" s="39"/>
      <c r="BY32" s="39"/>
      <c r="BZ32" s="39"/>
      <c r="CA32" s="39"/>
      <c r="CB32" s="39"/>
      <c r="CC32" s="39"/>
      <c r="CD32" s="39"/>
      <c r="CE32" s="39"/>
      <c r="CF32" s="39"/>
      <c r="CG32" s="39"/>
      <c r="CH32" s="39"/>
      <c r="CI32" s="39"/>
      <c r="CJ32" s="39"/>
      <c r="CK32" s="39"/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9"/>
      <c r="CZ32" s="39"/>
      <c r="DA32" s="39"/>
      <c r="DB32" s="39"/>
      <c r="DC32" s="39"/>
      <c r="DD32" s="39"/>
      <c r="DE32" s="39"/>
      <c r="DF32" s="39"/>
      <c r="DG32" s="39"/>
      <c r="DH32" s="39"/>
      <c r="DI32" s="39"/>
      <c r="DJ32" s="39"/>
      <c r="DK32" s="39"/>
      <c r="DL32" s="39"/>
      <c r="DM32" s="39"/>
    </row>
    <row r="33" spans="1:117" x14ac:dyDescent="0.15">
      <c r="A33" s="3" t="s">
        <v>21</v>
      </c>
      <c r="B33" s="36">
        <f t="shared" ref="B33:P33" si="145">IFERROR(B26/B25,0)</f>
        <v>0</v>
      </c>
      <c r="C33" s="36">
        <f t="shared" si="145"/>
        <v>-1.2103167398908293E-2</v>
      </c>
      <c r="D33" s="36">
        <f t="shared" si="145"/>
        <v>9.0737514518002341E-3</v>
      </c>
      <c r="E33" s="36">
        <f>IFERROR(E26/E25,0)</f>
        <v>0</v>
      </c>
      <c r="F33" s="36">
        <f t="shared" si="145"/>
        <v>9.5095452060005234E-3</v>
      </c>
      <c r="G33" s="36">
        <f t="shared" si="145"/>
        <v>0</v>
      </c>
      <c r="H33" s="36">
        <f t="shared" si="145"/>
        <v>0</v>
      </c>
      <c r="I33" s="36">
        <f t="shared" si="145"/>
        <v>0</v>
      </c>
      <c r="J33" s="36">
        <f t="shared" si="145"/>
        <v>0</v>
      </c>
      <c r="K33" s="36">
        <f t="shared" si="145"/>
        <v>0.1</v>
      </c>
      <c r="L33" s="36">
        <f t="shared" si="145"/>
        <v>0.1</v>
      </c>
      <c r="M33" s="36">
        <f t="shared" si="145"/>
        <v>0.1</v>
      </c>
      <c r="N33" s="36">
        <f t="shared" si="145"/>
        <v>0.10000000000000002</v>
      </c>
      <c r="O33" s="36">
        <f t="shared" si="145"/>
        <v>9.9999999999999992E-2</v>
      </c>
      <c r="P33" s="36">
        <f t="shared" si="145"/>
        <v>0.1</v>
      </c>
      <c r="Q33" s="36">
        <f t="shared" ref="Q33:U33" si="146">IFERROR(Q26/Q25,0)</f>
        <v>0.10000000000000002</v>
      </c>
      <c r="R33" s="36">
        <f t="shared" si="146"/>
        <v>0.10000000000000002</v>
      </c>
      <c r="S33" s="36">
        <f t="shared" si="146"/>
        <v>0.1</v>
      </c>
      <c r="T33" s="36">
        <f t="shared" si="146"/>
        <v>0.1</v>
      </c>
      <c r="U33" s="36">
        <f t="shared" si="146"/>
        <v>0.1</v>
      </c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39"/>
      <c r="BJ33" s="39"/>
      <c r="BK33" s="39"/>
      <c r="BL33" s="39"/>
      <c r="BM33" s="39"/>
      <c r="BN33" s="39"/>
      <c r="BO33" s="39"/>
      <c r="BP33" s="39"/>
      <c r="BQ33" s="39"/>
      <c r="BR33" s="39"/>
      <c r="BS33" s="39"/>
      <c r="BT33" s="39"/>
      <c r="BU33" s="39"/>
      <c r="BV33" s="39"/>
      <c r="BW33" s="39"/>
      <c r="BX33" s="39"/>
      <c r="BY33" s="39"/>
      <c r="BZ33" s="39"/>
      <c r="CA33" s="39"/>
      <c r="CB33" s="39"/>
      <c r="CC33" s="39"/>
      <c r="CD33" s="39"/>
      <c r="CE33" s="39"/>
      <c r="CF33" s="39"/>
      <c r="CG33" s="39"/>
      <c r="CH33" s="39"/>
      <c r="CI33" s="39"/>
      <c r="CJ33" s="39"/>
      <c r="CK33" s="39"/>
      <c r="CL33" s="39"/>
      <c r="CM33" s="39"/>
      <c r="CN33" s="39"/>
      <c r="CO33" s="39"/>
      <c r="CP33" s="39"/>
      <c r="CQ33" s="39"/>
      <c r="CR33" s="39"/>
      <c r="CS33" s="39"/>
      <c r="CT33" s="39"/>
      <c r="CU33" s="39"/>
      <c r="CV33" s="39"/>
      <c r="CW33" s="39"/>
      <c r="CX33" s="39"/>
      <c r="CY33" s="39"/>
      <c r="CZ33" s="39"/>
      <c r="DA33" s="39"/>
      <c r="DB33" s="39"/>
      <c r="DC33" s="39"/>
      <c r="DD33" s="39"/>
      <c r="DE33" s="39"/>
      <c r="DF33" s="39"/>
      <c r="DG33" s="39"/>
      <c r="DH33" s="39"/>
      <c r="DI33" s="39"/>
      <c r="DJ33" s="39"/>
      <c r="DK33" s="39"/>
      <c r="DL33" s="39"/>
      <c r="DM33" s="39"/>
    </row>
    <row r="34" spans="1:117" x14ac:dyDescent="0.15"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  <c r="BH34" s="39"/>
      <c r="BI34" s="39"/>
      <c r="BJ34" s="39"/>
      <c r="BK34" s="39"/>
      <c r="BL34" s="39"/>
      <c r="BM34" s="39"/>
      <c r="BN34" s="39"/>
      <c r="BO34" s="39"/>
      <c r="BP34" s="39"/>
      <c r="BQ34" s="39"/>
      <c r="BR34" s="39"/>
      <c r="BS34" s="39"/>
      <c r="BT34" s="39"/>
      <c r="BU34" s="39"/>
      <c r="BV34" s="39"/>
      <c r="BW34" s="39"/>
      <c r="BX34" s="39"/>
      <c r="BY34" s="39"/>
      <c r="BZ34" s="39"/>
      <c r="CA34" s="39"/>
      <c r="CB34" s="39"/>
      <c r="CC34" s="39"/>
      <c r="CD34" s="39"/>
      <c r="CE34" s="39"/>
      <c r="CF34" s="39"/>
      <c r="CG34" s="39"/>
      <c r="CH34" s="39"/>
      <c r="CI34" s="39"/>
      <c r="CJ34" s="39"/>
      <c r="CK34" s="39"/>
      <c r="CL34" s="39"/>
      <c r="CM34" s="39"/>
      <c r="CN34" s="39"/>
      <c r="CO34" s="39"/>
      <c r="CP34" s="39"/>
      <c r="CQ34" s="39"/>
      <c r="CR34" s="39"/>
      <c r="CS34" s="39"/>
      <c r="CT34" s="39"/>
      <c r="CU34" s="39"/>
      <c r="CV34" s="39"/>
      <c r="CW34" s="39"/>
      <c r="CX34" s="39"/>
      <c r="CY34" s="39"/>
      <c r="CZ34" s="39"/>
      <c r="DA34" s="39"/>
      <c r="DB34" s="39"/>
      <c r="DC34" s="39"/>
      <c r="DD34" s="39"/>
      <c r="DE34" s="39"/>
      <c r="DF34" s="39"/>
      <c r="DG34" s="39"/>
      <c r="DH34" s="39"/>
      <c r="DI34" s="39"/>
      <c r="DJ34" s="39"/>
      <c r="DK34" s="39"/>
      <c r="DL34" s="39"/>
      <c r="DM34" s="39"/>
    </row>
    <row r="35" spans="1:117" x14ac:dyDescent="0.15">
      <c r="A35" s="2" t="s">
        <v>18</v>
      </c>
      <c r="B35" s="26"/>
      <c r="C35" s="49">
        <f t="shared" ref="C35:U35" si="147">C16/B16-1</f>
        <v>0.86627399397022353</v>
      </c>
      <c r="D35" s="49">
        <f t="shared" si="147"/>
        <v>0.60015842720457102</v>
      </c>
      <c r="E35" s="49">
        <f t="shared" si="147"/>
        <v>0.55626064619738269</v>
      </c>
      <c r="F35" s="49">
        <f>F16/E16-1</f>
        <v>0.46790514309186659</v>
      </c>
      <c r="G35" s="49">
        <f>G16/F16-1</f>
        <v>0.40812142638981563</v>
      </c>
      <c r="H35" s="49">
        <f t="shared" si="147"/>
        <v>0.38000000000000012</v>
      </c>
      <c r="I35" s="49">
        <f t="shared" si="147"/>
        <v>0.37999999999999989</v>
      </c>
      <c r="J35" s="49">
        <f t="shared" si="147"/>
        <v>0.37999999999999989</v>
      </c>
      <c r="K35" s="49">
        <f t="shared" si="147"/>
        <v>0.37999999999999945</v>
      </c>
      <c r="L35" s="49">
        <f t="shared" si="147"/>
        <v>0.25</v>
      </c>
      <c r="M35" s="49">
        <f t="shared" si="147"/>
        <v>0.25</v>
      </c>
      <c r="N35" s="49">
        <f t="shared" si="147"/>
        <v>0.25</v>
      </c>
      <c r="O35" s="49">
        <f t="shared" si="147"/>
        <v>0.25</v>
      </c>
      <c r="P35" s="49">
        <f t="shared" si="147"/>
        <v>0.25</v>
      </c>
      <c r="Q35" s="49">
        <f t="shared" si="147"/>
        <v>0.10000000000000009</v>
      </c>
      <c r="R35" s="49">
        <f t="shared" si="147"/>
        <v>0.10000000000000009</v>
      </c>
      <c r="S35" s="49">
        <f t="shared" si="147"/>
        <v>0.10000000000000009</v>
      </c>
      <c r="T35" s="49">
        <f t="shared" si="147"/>
        <v>0.10000000000000009</v>
      </c>
      <c r="U35" s="49">
        <f t="shared" si="147"/>
        <v>0.10000000000000009</v>
      </c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  <c r="BM35" s="39"/>
      <c r="BN35" s="39"/>
      <c r="BO35" s="39"/>
      <c r="BP35" s="39"/>
      <c r="BQ35" s="39"/>
      <c r="BR35" s="39"/>
      <c r="BS35" s="39"/>
      <c r="BT35" s="39"/>
      <c r="BU35" s="39"/>
      <c r="BV35" s="39"/>
      <c r="BW35" s="39"/>
      <c r="BX35" s="39"/>
      <c r="BY35" s="39"/>
      <c r="BZ35" s="39"/>
      <c r="CA35" s="39"/>
      <c r="CB35" s="39"/>
      <c r="CC35" s="39"/>
      <c r="CD35" s="39"/>
      <c r="CE35" s="39"/>
      <c r="CF35" s="39"/>
      <c r="CG35" s="39"/>
      <c r="CH35" s="39"/>
      <c r="CI35" s="39"/>
      <c r="CJ35" s="39"/>
      <c r="CK35" s="39"/>
      <c r="CL35" s="39"/>
      <c r="CM35" s="39"/>
      <c r="CN35" s="39"/>
      <c r="CO35" s="39"/>
      <c r="CP35" s="39"/>
      <c r="CQ35" s="39"/>
      <c r="CR35" s="39"/>
      <c r="CS35" s="39"/>
      <c r="CT35" s="39"/>
      <c r="CU35" s="39"/>
      <c r="CV35" s="39"/>
      <c r="CW35" s="39"/>
      <c r="CX35" s="39"/>
      <c r="CY35" s="39"/>
      <c r="CZ35" s="39"/>
      <c r="DA35" s="39"/>
      <c r="DB35" s="39"/>
      <c r="DC35" s="39"/>
      <c r="DD35" s="39"/>
      <c r="DE35" s="39"/>
      <c r="DF35" s="39"/>
      <c r="DG35" s="39"/>
      <c r="DH35" s="39"/>
      <c r="DI35" s="39"/>
      <c r="DJ35" s="39"/>
      <c r="DK35" s="39"/>
      <c r="DL35" s="39"/>
      <c r="DM35" s="39"/>
    </row>
    <row r="36" spans="1:117" x14ac:dyDescent="0.15">
      <c r="A36" s="3" t="s">
        <v>34</v>
      </c>
      <c r="B36" s="20"/>
      <c r="C36" s="36">
        <f t="shared" ref="C36:U36" si="148">C19/B19-1</f>
        <v>0.3793103448275863</v>
      </c>
      <c r="D36" s="36">
        <f t="shared" si="148"/>
        <v>0.75</v>
      </c>
      <c r="E36" s="36">
        <f t="shared" si="148"/>
        <v>0.47142857142857153</v>
      </c>
      <c r="F36" s="36">
        <f t="shared" si="148"/>
        <v>0.5436893203883495</v>
      </c>
      <c r="G36" s="36">
        <f t="shared" si="148"/>
        <v>0.39999999999999991</v>
      </c>
      <c r="H36" s="36">
        <f t="shared" si="148"/>
        <v>0.39999999999999991</v>
      </c>
      <c r="I36" s="36">
        <f t="shared" si="148"/>
        <v>0.39999999999999991</v>
      </c>
      <c r="J36" s="36">
        <f t="shared" si="148"/>
        <v>0.39999999999999991</v>
      </c>
      <c r="K36" s="36">
        <f t="shared" si="148"/>
        <v>0.39999999999999991</v>
      </c>
      <c r="L36" s="36">
        <f t="shared" si="148"/>
        <v>0.19999999999999973</v>
      </c>
      <c r="M36" s="36">
        <f t="shared" si="148"/>
        <v>0.19999999999999996</v>
      </c>
      <c r="N36" s="36">
        <f t="shared" si="148"/>
        <v>0.19999999999999996</v>
      </c>
      <c r="O36" s="36">
        <f t="shared" si="148"/>
        <v>0.19999999999999996</v>
      </c>
      <c r="P36" s="36">
        <f t="shared" si="148"/>
        <v>0.19999999999999996</v>
      </c>
      <c r="Q36" s="36">
        <f t="shared" si="148"/>
        <v>0.10000000000000009</v>
      </c>
      <c r="R36" s="36">
        <f t="shared" si="148"/>
        <v>0.10000000000000009</v>
      </c>
      <c r="S36" s="36">
        <f t="shared" si="148"/>
        <v>0.10000000000000009</v>
      </c>
      <c r="T36" s="36">
        <f t="shared" si="148"/>
        <v>0.10000000000000009</v>
      </c>
      <c r="U36" s="36">
        <f t="shared" si="148"/>
        <v>0.10000000000000009</v>
      </c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39"/>
      <c r="BS36" s="39"/>
      <c r="BT36" s="39"/>
      <c r="BU36" s="39"/>
      <c r="BV36" s="39"/>
      <c r="BW36" s="39"/>
      <c r="BX36" s="39"/>
      <c r="BY36" s="39"/>
      <c r="BZ36" s="39"/>
      <c r="CA36" s="39"/>
      <c r="CB36" s="39"/>
      <c r="CC36" s="39"/>
      <c r="CD36" s="39"/>
      <c r="CE36" s="39"/>
      <c r="CF36" s="39"/>
      <c r="CG36" s="39"/>
      <c r="CH36" s="39"/>
      <c r="CI36" s="39"/>
      <c r="CJ36" s="39"/>
      <c r="CK36" s="39"/>
      <c r="CL36" s="39"/>
      <c r="CM36" s="39"/>
      <c r="CN36" s="39"/>
      <c r="CO36" s="39"/>
      <c r="CP36" s="39"/>
      <c r="CQ36" s="39"/>
      <c r="CR36" s="39"/>
      <c r="CS36" s="39"/>
      <c r="CT36" s="39"/>
      <c r="CU36" s="39"/>
      <c r="CV36" s="39"/>
      <c r="CW36" s="39"/>
      <c r="CX36" s="39"/>
      <c r="CY36" s="39"/>
      <c r="CZ36" s="39"/>
      <c r="DA36" s="39"/>
      <c r="DB36" s="39"/>
      <c r="DC36" s="39"/>
      <c r="DD36" s="39"/>
      <c r="DE36" s="39"/>
      <c r="DF36" s="39"/>
      <c r="DG36" s="39"/>
      <c r="DH36" s="39"/>
      <c r="DI36" s="39"/>
      <c r="DJ36" s="39"/>
      <c r="DK36" s="39"/>
      <c r="DL36" s="39"/>
      <c r="DM36" s="39"/>
    </row>
    <row r="37" spans="1:117" x14ac:dyDescent="0.15">
      <c r="A37" s="3" t="s">
        <v>35</v>
      </c>
      <c r="B37" s="20"/>
      <c r="C37" s="36">
        <f t="shared" ref="C37:U37" si="149">C20/B20-1</f>
        <v>0.5</v>
      </c>
      <c r="D37" s="36">
        <f t="shared" si="149"/>
        <v>0.41025641025641035</v>
      </c>
      <c r="E37" s="36">
        <f t="shared" si="149"/>
        <v>0.38181818181818183</v>
      </c>
      <c r="F37" s="36">
        <f t="shared" si="149"/>
        <v>0.49122807017543857</v>
      </c>
      <c r="G37" s="36">
        <f t="shared" si="149"/>
        <v>0.25</v>
      </c>
      <c r="H37" s="36">
        <f t="shared" si="149"/>
        <v>0.25</v>
      </c>
      <c r="I37" s="36">
        <f t="shared" si="149"/>
        <v>0.25</v>
      </c>
      <c r="J37" s="36">
        <f t="shared" si="149"/>
        <v>0.25</v>
      </c>
      <c r="K37" s="36">
        <f t="shared" si="149"/>
        <v>0.25</v>
      </c>
      <c r="L37" s="36">
        <f t="shared" si="149"/>
        <v>0.14999999999999991</v>
      </c>
      <c r="M37" s="36">
        <f t="shared" si="149"/>
        <v>0.14999999999999991</v>
      </c>
      <c r="N37" s="36">
        <f t="shared" si="149"/>
        <v>0.14999999999999991</v>
      </c>
      <c r="O37" s="36">
        <f t="shared" si="149"/>
        <v>0.14999999999999991</v>
      </c>
      <c r="P37" s="36">
        <f t="shared" si="149"/>
        <v>0.14999999999999969</v>
      </c>
      <c r="Q37" s="36">
        <f t="shared" si="149"/>
        <v>-2.0000000000000018E-2</v>
      </c>
      <c r="R37" s="36">
        <f t="shared" si="149"/>
        <v>-2.0000000000000018E-2</v>
      </c>
      <c r="S37" s="36">
        <f t="shared" si="149"/>
        <v>-2.0000000000000018E-2</v>
      </c>
      <c r="T37" s="36">
        <f t="shared" si="149"/>
        <v>-2.0000000000000018E-2</v>
      </c>
      <c r="U37" s="36">
        <f t="shared" si="149"/>
        <v>-1.9999999999999907E-2</v>
      </c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G37" s="39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39"/>
      <c r="BS37" s="39"/>
      <c r="BT37" s="39"/>
      <c r="BU37" s="39"/>
      <c r="BV37" s="39"/>
      <c r="BW37" s="39"/>
      <c r="BX37" s="39"/>
      <c r="BY37" s="39"/>
      <c r="BZ37" s="39"/>
      <c r="CA37" s="39"/>
      <c r="CB37" s="39"/>
      <c r="CC37" s="39"/>
      <c r="CD37" s="39"/>
      <c r="CE37" s="39"/>
      <c r="CF37" s="39"/>
      <c r="CG37" s="39"/>
      <c r="CH37" s="39"/>
      <c r="CI37" s="39"/>
      <c r="CJ37" s="39"/>
      <c r="CK37" s="39"/>
      <c r="CL37" s="39"/>
      <c r="CM37" s="39"/>
      <c r="CN37" s="39"/>
      <c r="CO37" s="39"/>
      <c r="CP37" s="39"/>
      <c r="CQ37" s="39"/>
      <c r="CR37" s="39"/>
      <c r="CS37" s="39"/>
      <c r="CT37" s="39"/>
      <c r="CU37" s="39"/>
      <c r="CV37" s="39"/>
      <c r="CW37" s="39"/>
      <c r="CX37" s="39"/>
      <c r="CY37" s="39"/>
      <c r="CZ37" s="39"/>
      <c r="DA37" s="39"/>
      <c r="DB37" s="39"/>
      <c r="DC37" s="39"/>
      <c r="DD37" s="39"/>
      <c r="DE37" s="39"/>
      <c r="DF37" s="39"/>
      <c r="DG37" s="39"/>
      <c r="DH37" s="39"/>
      <c r="DI37" s="39"/>
      <c r="DJ37" s="39"/>
      <c r="DK37" s="39"/>
      <c r="DL37" s="39"/>
      <c r="DM37" s="39"/>
    </row>
    <row r="38" spans="1:117" x14ac:dyDescent="0.15">
      <c r="A38" s="3" t="s">
        <v>36</v>
      </c>
      <c r="B38" s="20"/>
      <c r="C38" s="36">
        <f t="shared" ref="C38:U38" si="150">C21/B21-1</f>
        <v>0.57894736842105265</v>
      </c>
      <c r="D38" s="36">
        <f>D21/C21-1</f>
        <v>0.76666666666666661</v>
      </c>
      <c r="E38" s="36">
        <f t="shared" si="150"/>
        <v>0.41509433962264142</v>
      </c>
      <c r="F38" s="36">
        <f t="shared" si="150"/>
        <v>0.5066666666666666</v>
      </c>
      <c r="G38" s="36">
        <f t="shared" si="150"/>
        <v>0.19999999999999996</v>
      </c>
      <c r="H38" s="36">
        <f t="shared" si="150"/>
        <v>0.19999999999999996</v>
      </c>
      <c r="I38" s="36">
        <f t="shared" si="150"/>
        <v>0.19999999999999996</v>
      </c>
      <c r="J38" s="36">
        <f t="shared" si="150"/>
        <v>0.19999999999999996</v>
      </c>
      <c r="K38" s="36">
        <f t="shared" si="150"/>
        <v>0.19999999999999996</v>
      </c>
      <c r="L38" s="36">
        <f t="shared" si="150"/>
        <v>0.10000000000000009</v>
      </c>
      <c r="M38" s="36">
        <f t="shared" si="150"/>
        <v>0.10000000000000009</v>
      </c>
      <c r="N38" s="36">
        <f t="shared" si="150"/>
        <v>0.10000000000000009</v>
      </c>
      <c r="O38" s="36">
        <f t="shared" si="150"/>
        <v>0.10000000000000009</v>
      </c>
      <c r="P38" s="36">
        <f t="shared" si="150"/>
        <v>0.10000000000000009</v>
      </c>
      <c r="Q38" s="36">
        <f t="shared" si="150"/>
        <v>-1.9999999999999907E-2</v>
      </c>
      <c r="R38" s="36">
        <f t="shared" si="150"/>
        <v>-2.0000000000000018E-2</v>
      </c>
      <c r="S38" s="36">
        <f t="shared" si="150"/>
        <v>-2.0000000000000018E-2</v>
      </c>
      <c r="T38" s="36">
        <f t="shared" si="150"/>
        <v>-2.0000000000000018E-2</v>
      </c>
      <c r="U38" s="36">
        <f t="shared" si="150"/>
        <v>-2.0000000000000018E-2</v>
      </c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G38" s="39"/>
      <c r="BH38" s="39"/>
      <c r="BI38" s="39"/>
      <c r="BJ38" s="39"/>
      <c r="BK38" s="39"/>
      <c r="BL38" s="39"/>
      <c r="BM38" s="39"/>
      <c r="BN38" s="39"/>
      <c r="BO38" s="39"/>
      <c r="BP38" s="39"/>
      <c r="BQ38" s="39"/>
      <c r="BR38" s="39"/>
      <c r="BS38" s="39"/>
      <c r="BT38" s="39"/>
      <c r="BU38" s="39"/>
      <c r="BV38" s="39"/>
      <c r="BW38" s="39"/>
      <c r="BX38" s="39"/>
      <c r="BY38" s="39"/>
      <c r="BZ38" s="39"/>
      <c r="CA38" s="39"/>
      <c r="CB38" s="39"/>
      <c r="CC38" s="39"/>
      <c r="CD38" s="39"/>
      <c r="CE38" s="39"/>
      <c r="CF38" s="39"/>
      <c r="CG38" s="39"/>
      <c r="CH38" s="39"/>
      <c r="CI38" s="39"/>
      <c r="CJ38" s="39"/>
      <c r="CK38" s="39"/>
      <c r="CL38" s="39"/>
      <c r="CM38" s="39"/>
      <c r="CN38" s="39"/>
      <c r="CO38" s="39"/>
      <c r="CP38" s="39"/>
      <c r="CQ38" s="39"/>
      <c r="CR38" s="39"/>
      <c r="CS38" s="39"/>
      <c r="CT38" s="39"/>
      <c r="CU38" s="39"/>
      <c r="CV38" s="39"/>
      <c r="CW38" s="39"/>
      <c r="CX38" s="39"/>
      <c r="CY38" s="39"/>
      <c r="CZ38" s="39"/>
      <c r="DA38" s="39"/>
      <c r="DB38" s="39"/>
      <c r="DC38" s="39"/>
      <c r="DD38" s="39"/>
      <c r="DE38" s="39"/>
      <c r="DF38" s="39"/>
      <c r="DG38" s="39"/>
      <c r="DH38" s="39"/>
      <c r="DI38" s="39"/>
      <c r="DJ38" s="39"/>
      <c r="DK38" s="39"/>
      <c r="DL38" s="39"/>
      <c r="DM38" s="39"/>
    </row>
    <row r="39" spans="1:117" x14ac:dyDescent="0.15">
      <c r="A39" s="6" t="s">
        <v>64</v>
      </c>
      <c r="B39" s="20"/>
      <c r="C39" s="45">
        <f>C22/B22-1</f>
        <v>0.48412698412698418</v>
      </c>
      <c r="D39" s="45">
        <f>D22/C22-1</f>
        <v>0.54010695187165769</v>
      </c>
      <c r="E39" s="45">
        <f>E22/D22-1</f>
        <v>0.40972222222222232</v>
      </c>
      <c r="F39" s="45">
        <f t="shared" ref="F39:U39" si="151">F22/E22-1</f>
        <v>0.50738916256157629</v>
      </c>
      <c r="G39" s="45">
        <f t="shared" si="151"/>
        <v>0.27973856209150338</v>
      </c>
      <c r="H39" s="45">
        <f t="shared" si="151"/>
        <v>0.28397599591419809</v>
      </c>
      <c r="I39" s="45">
        <f t="shared" si="151"/>
        <v>0.28839460625888735</v>
      </c>
      <c r="J39" s="45">
        <f t="shared" si="151"/>
        <v>0.29297640709388739</v>
      </c>
      <c r="K39" s="45">
        <f t="shared" si="151"/>
        <v>0.29769930468241634</v>
      </c>
      <c r="L39" s="45">
        <f>L22/K22-1</f>
        <v>0.16320105004582719</v>
      </c>
      <c r="M39" s="45">
        <f t="shared" si="151"/>
        <v>0.16417465446313262</v>
      </c>
      <c r="N39" s="45">
        <f t="shared" si="151"/>
        <v>0.16513618241524775</v>
      </c>
      <c r="O39" s="45">
        <f t="shared" si="151"/>
        <v>0.1660850559433682</v>
      </c>
      <c r="P39" s="45">
        <f t="shared" si="151"/>
        <v>0.16702073431143294</v>
      </c>
      <c r="Q39" s="45">
        <f t="shared" si="151"/>
        <v>3.4704519631389763E-2</v>
      </c>
      <c r="R39" s="45">
        <f t="shared" si="151"/>
        <v>3.8156672221713483E-2</v>
      </c>
      <c r="S39" s="45">
        <f t="shared" si="151"/>
        <v>4.1621083941964843E-2</v>
      </c>
      <c r="T39" s="45">
        <f t="shared" si="151"/>
        <v>4.5074712274101536E-2</v>
      </c>
      <c r="U39" s="45">
        <f t="shared" si="151"/>
        <v>4.8494800094959656E-2</v>
      </c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39"/>
      <c r="BS39" s="39"/>
      <c r="BT39" s="39"/>
      <c r="BU39" s="39"/>
      <c r="BV39" s="39"/>
      <c r="BW39" s="39"/>
      <c r="BX39" s="39"/>
      <c r="BY39" s="39"/>
      <c r="BZ39" s="39"/>
      <c r="CA39" s="39"/>
      <c r="CB39" s="39"/>
      <c r="CC39" s="39"/>
      <c r="CD39" s="39"/>
      <c r="CE39" s="39"/>
      <c r="CF39" s="39"/>
      <c r="CG39" s="39"/>
      <c r="CH39" s="39"/>
      <c r="CI39" s="39"/>
      <c r="CJ39" s="39"/>
      <c r="CK39" s="39"/>
      <c r="CL39" s="39"/>
      <c r="CM39" s="39"/>
      <c r="CN39" s="39"/>
      <c r="CO39" s="39"/>
      <c r="CP39" s="39"/>
      <c r="CQ39" s="39"/>
      <c r="CR39" s="39"/>
      <c r="CS39" s="39"/>
      <c r="CT39" s="39"/>
      <c r="CU39" s="39"/>
      <c r="CV39" s="39"/>
      <c r="CW39" s="39"/>
      <c r="CX39" s="39"/>
      <c r="CY39" s="39"/>
      <c r="CZ39" s="39"/>
      <c r="DA39" s="39"/>
      <c r="DB39" s="39"/>
      <c r="DC39" s="39"/>
      <c r="DD39" s="39"/>
      <c r="DE39" s="39"/>
      <c r="DF39" s="39"/>
      <c r="DG39" s="39"/>
      <c r="DH39" s="39"/>
      <c r="DI39" s="39"/>
      <c r="DJ39" s="39"/>
      <c r="DK39" s="39"/>
      <c r="DL39" s="39"/>
      <c r="DM39" s="39"/>
    </row>
    <row r="40" spans="1:117" x14ac:dyDescent="0.15">
      <c r="B40" s="20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39"/>
      <c r="BU40" s="39"/>
      <c r="BV40" s="39"/>
      <c r="BW40" s="39"/>
      <c r="BX40" s="39"/>
      <c r="BY40" s="39"/>
      <c r="BZ40" s="39"/>
      <c r="CA40" s="39"/>
      <c r="CB40" s="39"/>
      <c r="CC40" s="39"/>
      <c r="CD40" s="39"/>
      <c r="CE40" s="39"/>
      <c r="CF40" s="39"/>
      <c r="CG40" s="39"/>
      <c r="CH40" s="39"/>
      <c r="CI40" s="39"/>
      <c r="CJ40" s="39"/>
      <c r="CK40" s="39"/>
      <c r="CL40" s="39"/>
      <c r="CM40" s="39"/>
      <c r="CN40" s="39"/>
      <c r="CO40" s="39"/>
      <c r="CP40" s="39"/>
      <c r="CQ40" s="39"/>
      <c r="CR40" s="39"/>
      <c r="CS40" s="39"/>
      <c r="CT40" s="39"/>
      <c r="CU40" s="39"/>
      <c r="CV40" s="39"/>
      <c r="CW40" s="39"/>
      <c r="CX40" s="39"/>
      <c r="CY40" s="39"/>
      <c r="CZ40" s="39"/>
      <c r="DA40" s="39"/>
      <c r="DB40" s="39"/>
      <c r="DC40" s="39"/>
      <c r="DD40" s="39"/>
      <c r="DE40" s="39"/>
      <c r="DF40" s="39"/>
      <c r="DG40" s="39"/>
      <c r="DH40" s="39"/>
      <c r="DI40" s="39"/>
      <c r="DJ40" s="39"/>
      <c r="DK40" s="39"/>
      <c r="DL40" s="39"/>
      <c r="DM40" s="39"/>
    </row>
    <row r="41" spans="1:117" x14ac:dyDescent="0.15">
      <c r="A41" s="2" t="s">
        <v>22</v>
      </c>
      <c r="B41" s="20"/>
      <c r="C41" s="24">
        <f>C42-C43</f>
        <v>-191</v>
      </c>
      <c r="D41" s="24">
        <f>D42-D43</f>
        <v>230</v>
      </c>
      <c r="E41" s="24">
        <f>E42-E43</f>
        <v>291</v>
      </c>
      <c r="F41" s="24">
        <f>F42-F43</f>
        <v>465</v>
      </c>
      <c r="G41" s="50">
        <f>F41+G27</f>
        <v>291.92429081913843</v>
      </c>
      <c r="H41" s="50">
        <f>G41+H27</f>
        <v>121.29029796593241</v>
      </c>
      <c r="I41" s="50">
        <f t="shared" ref="I41:U41" si="152">H41+I27</f>
        <v>-27.69661663878145</v>
      </c>
      <c r="J41" s="50">
        <f t="shared" si="152"/>
        <v>-124.45037834992225</v>
      </c>
      <c r="K41" s="50">
        <f t="shared" si="152"/>
        <v>-122.08687022315117</v>
      </c>
      <c r="L41" s="50">
        <f t="shared" si="152"/>
        <v>51.294502646669727</v>
      </c>
      <c r="M41" s="50">
        <f t="shared" si="152"/>
        <v>467.0156541834819</v>
      </c>
      <c r="N41" s="50">
        <f t="shared" si="152"/>
        <v>1218.7631716094056</v>
      </c>
      <c r="O41" s="50">
        <f t="shared" si="152"/>
        <v>2428.9220793432814</v>
      </c>
      <c r="P41" s="50">
        <f t="shared" si="152"/>
        <v>4256.619052161067</v>
      </c>
      <c r="Q41" s="50">
        <f t="shared" si="152"/>
        <v>6569.9130880447574</v>
      </c>
      <c r="R41" s="50">
        <f t="shared" si="152"/>
        <v>9417.3287682847367</v>
      </c>
      <c r="S41" s="50">
        <f t="shared" si="152"/>
        <v>12852.352220402136</v>
      </c>
      <c r="T41" s="50">
        <f t="shared" si="152"/>
        <v>16933.927041950705</v>
      </c>
      <c r="U41" s="50">
        <f t="shared" si="152"/>
        <v>21726.999856432227</v>
      </c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39"/>
      <c r="BW41" s="39"/>
      <c r="BX41" s="39"/>
      <c r="BY41" s="39"/>
      <c r="BZ41" s="39"/>
      <c r="CA41" s="39"/>
      <c r="CB41" s="39"/>
      <c r="CC41" s="39"/>
      <c r="CD41" s="39"/>
      <c r="CE41" s="39"/>
      <c r="CF41" s="39"/>
      <c r="CG41" s="39"/>
      <c r="CH41" s="39"/>
      <c r="CI41" s="39"/>
      <c r="CJ41" s="39"/>
      <c r="CK41" s="39"/>
      <c r="CL41" s="39"/>
      <c r="CM41" s="39"/>
      <c r="CN41" s="39"/>
      <c r="CO41" s="39"/>
      <c r="CP41" s="39"/>
      <c r="CQ41" s="39"/>
      <c r="CR41" s="39"/>
      <c r="CS41" s="39"/>
      <c r="CT41" s="39"/>
      <c r="CU41" s="39"/>
      <c r="CV41" s="39"/>
      <c r="CW41" s="39"/>
      <c r="CX41" s="39"/>
      <c r="CY41" s="39"/>
      <c r="CZ41" s="39"/>
      <c r="DA41" s="39"/>
      <c r="DB41" s="39"/>
      <c r="DC41" s="39"/>
      <c r="DD41" s="39"/>
      <c r="DE41" s="39"/>
      <c r="DF41" s="39"/>
      <c r="DG41" s="39"/>
      <c r="DH41" s="39"/>
      <c r="DI41" s="39"/>
      <c r="DJ41" s="39"/>
      <c r="DK41" s="39"/>
      <c r="DL41" s="39"/>
      <c r="DM41" s="39"/>
    </row>
    <row r="42" spans="1:117" x14ac:dyDescent="0.15">
      <c r="A42" s="3" t="s">
        <v>23</v>
      </c>
      <c r="B42" s="20"/>
      <c r="C42" s="51">
        <f>Reports!E32</f>
        <v>37</v>
      </c>
      <c r="D42" s="51">
        <f>Reports!I32</f>
        <v>230</v>
      </c>
      <c r="E42" s="51">
        <f>Reports!M32</f>
        <v>563</v>
      </c>
      <c r="F42" s="51">
        <f>Reports!Q32</f>
        <v>1403</v>
      </c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23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/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39"/>
      <c r="BU42" s="39"/>
      <c r="BV42" s="39"/>
      <c r="BW42" s="39"/>
      <c r="BX42" s="39"/>
      <c r="BY42" s="39"/>
      <c r="BZ42" s="39"/>
      <c r="CA42" s="39"/>
      <c r="CB42" s="39"/>
      <c r="CC42" s="39"/>
      <c r="CD42" s="39"/>
      <c r="CE42" s="39"/>
      <c r="CF42" s="39"/>
      <c r="CG42" s="39"/>
      <c r="CH42" s="39"/>
      <c r="CI42" s="39"/>
      <c r="CJ42" s="39"/>
      <c r="CK42" s="39"/>
      <c r="CL42" s="39"/>
      <c r="CM42" s="39"/>
      <c r="CN42" s="39"/>
      <c r="CO42" s="39"/>
      <c r="CP42" s="39"/>
      <c r="CQ42" s="39"/>
      <c r="CR42" s="39"/>
      <c r="CS42" s="39"/>
      <c r="CT42" s="39"/>
      <c r="CU42" s="39"/>
      <c r="CV42" s="39"/>
      <c r="CW42" s="39"/>
      <c r="CX42" s="39"/>
      <c r="CY42" s="39"/>
      <c r="CZ42" s="39"/>
      <c r="DA42" s="39"/>
      <c r="DB42" s="39"/>
      <c r="DC42" s="39"/>
      <c r="DD42" s="39"/>
      <c r="DE42" s="39"/>
      <c r="DF42" s="39"/>
      <c r="DG42" s="39"/>
      <c r="DH42" s="39"/>
      <c r="DI42" s="39"/>
      <c r="DJ42" s="39"/>
      <c r="DK42" s="39"/>
      <c r="DL42" s="39"/>
      <c r="DM42" s="39"/>
    </row>
    <row r="43" spans="1:117" x14ac:dyDescent="0.15">
      <c r="A43" s="3" t="s">
        <v>24</v>
      </c>
      <c r="B43" s="20"/>
      <c r="C43" s="51">
        <f>Reports!E33</f>
        <v>228</v>
      </c>
      <c r="D43" s="51">
        <f>Reports!I33</f>
        <v>0</v>
      </c>
      <c r="E43" s="51">
        <f>Reports!M33</f>
        <v>272</v>
      </c>
      <c r="F43" s="51">
        <f>Reports!Q33</f>
        <v>938</v>
      </c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23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39"/>
      <c r="BT43" s="39"/>
      <c r="BU43" s="39"/>
      <c r="BV43" s="39"/>
      <c r="BW43" s="39"/>
      <c r="BX43" s="39"/>
      <c r="BY43" s="39"/>
      <c r="BZ43" s="39"/>
      <c r="CA43" s="39"/>
      <c r="CB43" s="39"/>
      <c r="CC43" s="39"/>
      <c r="CD43" s="39"/>
      <c r="CE43" s="39"/>
      <c r="CF43" s="39"/>
      <c r="CG43" s="39"/>
      <c r="CH43" s="39"/>
      <c r="CI43" s="39"/>
      <c r="CJ43" s="39"/>
      <c r="CK43" s="39"/>
      <c r="CL43" s="39"/>
      <c r="CM43" s="39"/>
      <c r="CN43" s="39"/>
      <c r="CO43" s="39"/>
      <c r="CP43" s="39"/>
      <c r="CQ43" s="39"/>
      <c r="CR43" s="39"/>
      <c r="CS43" s="39"/>
      <c r="CT43" s="39"/>
      <c r="CU43" s="39"/>
      <c r="CV43" s="39"/>
      <c r="CW43" s="39"/>
      <c r="CX43" s="39"/>
      <c r="CY43" s="39"/>
      <c r="CZ43" s="39"/>
      <c r="DA43" s="39"/>
      <c r="DB43" s="39"/>
      <c r="DC43" s="39"/>
      <c r="DD43" s="39"/>
      <c r="DE43" s="39"/>
      <c r="DF43" s="39"/>
      <c r="DG43" s="39"/>
      <c r="DH43" s="39"/>
      <c r="DI43" s="39"/>
      <c r="DJ43" s="39"/>
      <c r="DK43" s="39"/>
      <c r="DL43" s="39"/>
      <c r="DM43" s="39"/>
    </row>
    <row r="44" spans="1:117" x14ac:dyDescent="0.15">
      <c r="B44" s="20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3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  <c r="BF44" s="39"/>
      <c r="BG44" s="39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39"/>
      <c r="BS44" s="39"/>
      <c r="BT44" s="39"/>
      <c r="BU44" s="39"/>
      <c r="BV44" s="39"/>
      <c r="BW44" s="39"/>
      <c r="BX44" s="39"/>
      <c r="BY44" s="39"/>
      <c r="BZ44" s="39"/>
      <c r="CA44" s="39"/>
      <c r="CB44" s="39"/>
      <c r="CC44" s="39"/>
      <c r="CD44" s="39"/>
      <c r="CE44" s="39"/>
      <c r="CF44" s="39"/>
      <c r="CG44" s="39"/>
      <c r="CH44" s="39"/>
      <c r="CI44" s="39"/>
      <c r="CJ44" s="39"/>
      <c r="CK44" s="39"/>
      <c r="CL44" s="39"/>
      <c r="CM44" s="39"/>
      <c r="CN44" s="39"/>
      <c r="CO44" s="39"/>
      <c r="CP44" s="39"/>
      <c r="CQ44" s="39"/>
      <c r="CR44" s="39"/>
      <c r="CS44" s="39"/>
      <c r="CT44" s="39"/>
      <c r="CU44" s="39"/>
      <c r="CV44" s="39"/>
      <c r="CW44" s="39"/>
      <c r="CX44" s="39"/>
      <c r="CY44" s="39"/>
      <c r="CZ44" s="39"/>
      <c r="DA44" s="39"/>
      <c r="DB44" s="39"/>
      <c r="DC44" s="39"/>
      <c r="DD44" s="39"/>
      <c r="DE44" s="39"/>
      <c r="DF44" s="39"/>
      <c r="DG44" s="39"/>
      <c r="DH44" s="39"/>
      <c r="DI44" s="39"/>
      <c r="DJ44" s="39"/>
      <c r="DK44" s="39"/>
      <c r="DL44" s="39"/>
      <c r="DM44" s="39"/>
    </row>
    <row r="45" spans="1:117" x14ac:dyDescent="0.15">
      <c r="A45" s="3" t="s">
        <v>48</v>
      </c>
      <c r="B45" s="20"/>
      <c r="C45" s="54">
        <f>Reports!E35</f>
        <v>12</v>
      </c>
      <c r="D45" s="54">
        <f>Reports!I35</f>
        <v>18</v>
      </c>
      <c r="E45" s="51">
        <f>Reports!M35</f>
        <v>32</v>
      </c>
      <c r="F45" s="51">
        <f>Reports!Q35</f>
        <v>81</v>
      </c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38"/>
      <c r="BH45" s="38"/>
      <c r="BI45" s="38"/>
      <c r="BJ45" s="38"/>
      <c r="BK45" s="38"/>
      <c r="BL45" s="38"/>
      <c r="BM45" s="38"/>
      <c r="BN45" s="38"/>
      <c r="BO45" s="38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8"/>
      <c r="CC45" s="38"/>
      <c r="CD45" s="38"/>
      <c r="CE45" s="38"/>
      <c r="CF45" s="38"/>
      <c r="CG45" s="38"/>
      <c r="CH45" s="38"/>
      <c r="CI45" s="38"/>
      <c r="CJ45" s="38"/>
      <c r="CK45" s="38"/>
      <c r="CL45" s="38"/>
      <c r="CM45" s="38"/>
      <c r="CN45" s="38"/>
      <c r="CO45" s="38"/>
      <c r="CP45" s="38"/>
      <c r="CQ45" s="38"/>
      <c r="CR45" s="38"/>
      <c r="CS45" s="38"/>
      <c r="CT45" s="38"/>
      <c r="CU45" s="38"/>
      <c r="CV45" s="38"/>
      <c r="CW45" s="38"/>
      <c r="CX45" s="38"/>
      <c r="CY45" s="38"/>
      <c r="CZ45" s="38"/>
      <c r="DA45" s="38"/>
      <c r="DB45" s="38"/>
      <c r="DC45" s="38"/>
      <c r="DD45" s="38"/>
      <c r="DE45" s="38"/>
      <c r="DF45" s="38"/>
      <c r="DG45" s="38"/>
      <c r="DH45" s="38"/>
      <c r="DI45" s="38"/>
      <c r="DJ45" s="38"/>
      <c r="DK45" s="38"/>
      <c r="DL45" s="38"/>
      <c r="DM45" s="38"/>
    </row>
    <row r="46" spans="1:117" x14ac:dyDescent="0.15">
      <c r="A46" s="3" t="s">
        <v>49</v>
      </c>
      <c r="B46" s="20"/>
      <c r="C46" s="54">
        <f>Reports!E36</f>
        <v>131</v>
      </c>
      <c r="D46" s="54">
        <f>Reports!I36</f>
        <v>399</v>
      </c>
      <c r="E46" s="51">
        <f>Reports!M36</f>
        <v>984</v>
      </c>
      <c r="F46" s="51">
        <f>Reports!Q36</f>
        <v>1955</v>
      </c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38"/>
      <c r="BE46" s="38"/>
      <c r="BF46" s="38"/>
      <c r="BG46" s="38"/>
      <c r="BH46" s="38"/>
      <c r="BI46" s="38"/>
      <c r="BJ46" s="38"/>
      <c r="BK46" s="38"/>
      <c r="BL46" s="38"/>
      <c r="BM46" s="38"/>
      <c r="BN46" s="38"/>
      <c r="BO46" s="38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38"/>
      <c r="CB46" s="38"/>
      <c r="CC46" s="38"/>
      <c r="CD46" s="38"/>
      <c r="CE46" s="38"/>
      <c r="CF46" s="38"/>
      <c r="CG46" s="38"/>
      <c r="CH46" s="38"/>
      <c r="CI46" s="38"/>
      <c r="CJ46" s="38"/>
      <c r="CK46" s="38"/>
      <c r="CL46" s="38"/>
      <c r="CM46" s="38"/>
      <c r="CN46" s="38"/>
      <c r="CO46" s="38"/>
      <c r="CP46" s="38"/>
      <c r="CQ46" s="38"/>
      <c r="CR46" s="38"/>
      <c r="CS46" s="38"/>
      <c r="CT46" s="38"/>
      <c r="CU46" s="38"/>
      <c r="CV46" s="38"/>
      <c r="CW46" s="38"/>
      <c r="CX46" s="38"/>
      <c r="CY46" s="38"/>
      <c r="CZ46" s="38"/>
      <c r="DA46" s="38"/>
      <c r="DB46" s="38"/>
      <c r="DC46" s="38"/>
      <c r="DD46" s="38"/>
      <c r="DE46" s="38"/>
      <c r="DF46" s="38"/>
      <c r="DG46" s="38"/>
      <c r="DH46" s="38"/>
      <c r="DI46" s="38"/>
      <c r="DJ46" s="38"/>
      <c r="DK46" s="38"/>
      <c r="DL46" s="38"/>
      <c r="DM46" s="38"/>
    </row>
    <row r="47" spans="1:117" x14ac:dyDescent="0.15">
      <c r="A47" s="3" t="s">
        <v>50</v>
      </c>
      <c r="B47" s="20"/>
      <c r="C47" s="54">
        <f>Reports!E37</f>
        <v>146</v>
      </c>
      <c r="D47" s="54">
        <f>Reports!I37</f>
        <v>200</v>
      </c>
      <c r="E47" s="51">
        <f>Reports!M37</f>
        <v>732</v>
      </c>
      <c r="F47" s="51">
        <f>Reports!Q37</f>
        <v>1550</v>
      </c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38"/>
      <c r="BH47" s="38"/>
      <c r="BI47" s="38"/>
      <c r="BJ47" s="38"/>
      <c r="BK47" s="38"/>
      <c r="BL47" s="38"/>
      <c r="BM47" s="38"/>
      <c r="BN47" s="38"/>
      <c r="BO47" s="38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  <c r="CC47" s="38"/>
      <c r="CD47" s="38"/>
      <c r="CE47" s="38"/>
      <c r="CF47" s="38"/>
      <c r="CG47" s="38"/>
      <c r="CH47" s="38"/>
      <c r="CI47" s="38"/>
      <c r="CJ47" s="38"/>
      <c r="CK47" s="38"/>
      <c r="CL47" s="38"/>
      <c r="CM47" s="38"/>
      <c r="CN47" s="38"/>
      <c r="CO47" s="38"/>
      <c r="CP47" s="38"/>
      <c r="CQ47" s="38"/>
      <c r="CR47" s="38"/>
      <c r="CS47" s="38"/>
      <c r="CT47" s="38"/>
      <c r="CU47" s="38"/>
      <c r="CV47" s="38"/>
      <c r="CW47" s="38"/>
      <c r="CX47" s="38"/>
      <c r="CY47" s="38"/>
      <c r="CZ47" s="38"/>
      <c r="DA47" s="38"/>
      <c r="DB47" s="38"/>
      <c r="DC47" s="38"/>
      <c r="DD47" s="38"/>
      <c r="DE47" s="38"/>
      <c r="DF47" s="38"/>
      <c r="DG47" s="38"/>
      <c r="DH47" s="38"/>
      <c r="DI47" s="38"/>
      <c r="DJ47" s="38"/>
      <c r="DK47" s="38"/>
      <c r="DL47" s="38"/>
      <c r="DM47" s="38"/>
    </row>
    <row r="48" spans="1:117" x14ac:dyDescent="0.15">
      <c r="B48" s="20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  <c r="BB48" s="39"/>
      <c r="BC48" s="39"/>
      <c r="BD48" s="39"/>
      <c r="BE48" s="39"/>
      <c r="BF48" s="39"/>
      <c r="BG48" s="39"/>
      <c r="BH48" s="39"/>
      <c r="BI48" s="39"/>
      <c r="BJ48" s="39"/>
      <c r="BK48" s="39"/>
      <c r="BL48" s="39"/>
      <c r="BM48" s="39"/>
      <c r="BN48" s="39"/>
      <c r="BO48" s="39"/>
      <c r="BP48" s="39"/>
      <c r="BQ48" s="39"/>
      <c r="BR48" s="39"/>
      <c r="BS48" s="39"/>
      <c r="BT48" s="39"/>
      <c r="BU48" s="39"/>
      <c r="BV48" s="39"/>
      <c r="BW48" s="39"/>
      <c r="BX48" s="39"/>
      <c r="BY48" s="39"/>
      <c r="BZ48" s="39"/>
      <c r="CA48" s="39"/>
      <c r="CB48" s="39"/>
      <c r="CC48" s="39"/>
      <c r="CD48" s="39"/>
      <c r="CE48" s="39"/>
      <c r="CF48" s="39"/>
      <c r="CG48" s="39"/>
      <c r="CH48" s="39"/>
      <c r="CI48" s="39"/>
      <c r="CJ48" s="39"/>
      <c r="CK48" s="39"/>
      <c r="CL48" s="39"/>
      <c r="CM48" s="39"/>
      <c r="CN48" s="39"/>
      <c r="CO48" s="39"/>
      <c r="CP48" s="39"/>
      <c r="CQ48" s="39"/>
      <c r="CR48" s="39"/>
      <c r="CS48" s="39"/>
      <c r="CT48" s="39"/>
      <c r="CU48" s="39"/>
      <c r="CV48" s="39"/>
      <c r="CW48" s="39"/>
      <c r="CX48" s="39"/>
      <c r="CY48" s="39"/>
      <c r="CZ48" s="39"/>
      <c r="DA48" s="39"/>
      <c r="DB48" s="39"/>
      <c r="DC48" s="39"/>
      <c r="DD48" s="39"/>
      <c r="DE48" s="39"/>
      <c r="DF48" s="39"/>
      <c r="DG48" s="39"/>
      <c r="DH48" s="39"/>
      <c r="DI48" s="39"/>
      <c r="DJ48" s="39"/>
      <c r="DK48" s="39"/>
      <c r="DL48" s="39"/>
      <c r="DM48" s="39"/>
    </row>
    <row r="49" spans="1:117" x14ac:dyDescent="0.15">
      <c r="A49" s="3" t="s">
        <v>51</v>
      </c>
      <c r="B49" s="20"/>
      <c r="C49" s="55">
        <f>C46-C45-C42</f>
        <v>82</v>
      </c>
      <c r="D49" s="55">
        <f>D46-D45-D42</f>
        <v>151</v>
      </c>
      <c r="E49" s="55">
        <f>E46-E45-E42</f>
        <v>389</v>
      </c>
      <c r="F49" s="55">
        <f>F46-F45-F42</f>
        <v>471</v>
      </c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38"/>
      <c r="BH49" s="38"/>
      <c r="BI49" s="38"/>
      <c r="BJ49" s="38"/>
      <c r="BK49" s="38"/>
      <c r="BL49" s="38"/>
      <c r="BM49" s="38"/>
      <c r="BN49" s="38"/>
      <c r="BO49" s="38"/>
      <c r="BP49" s="38"/>
      <c r="BQ49" s="38"/>
      <c r="BR49" s="38"/>
      <c r="BS49" s="38"/>
      <c r="BT49" s="38"/>
      <c r="BU49" s="38"/>
      <c r="BV49" s="38"/>
      <c r="BW49" s="38"/>
      <c r="BX49" s="38"/>
      <c r="BY49" s="38"/>
      <c r="BZ49" s="38"/>
      <c r="CA49" s="38"/>
      <c r="CB49" s="38"/>
      <c r="CC49" s="38"/>
      <c r="CD49" s="38"/>
      <c r="CE49" s="38"/>
      <c r="CF49" s="38"/>
      <c r="CG49" s="38"/>
      <c r="CH49" s="38"/>
      <c r="CI49" s="38"/>
      <c r="CJ49" s="38"/>
      <c r="CK49" s="38"/>
      <c r="CL49" s="38"/>
      <c r="CM49" s="38"/>
      <c r="CN49" s="38"/>
      <c r="CO49" s="38"/>
      <c r="CP49" s="38"/>
      <c r="CQ49" s="38"/>
      <c r="CR49" s="38"/>
      <c r="CS49" s="38"/>
      <c r="CT49" s="38"/>
      <c r="CU49" s="38"/>
      <c r="CV49" s="38"/>
      <c r="CW49" s="38"/>
      <c r="CX49" s="38"/>
      <c r="CY49" s="38"/>
      <c r="CZ49" s="38"/>
      <c r="DA49" s="38"/>
      <c r="DB49" s="38"/>
      <c r="DC49" s="38"/>
      <c r="DD49" s="38"/>
      <c r="DE49" s="38"/>
      <c r="DF49" s="38"/>
      <c r="DG49" s="38"/>
      <c r="DH49" s="38"/>
      <c r="DI49" s="38"/>
      <c r="DJ49" s="38"/>
      <c r="DK49" s="38"/>
      <c r="DL49" s="38"/>
      <c r="DM49" s="38"/>
    </row>
    <row r="50" spans="1:117" x14ac:dyDescent="0.15">
      <c r="A50" s="3" t="s">
        <v>52</v>
      </c>
      <c r="B50" s="20"/>
      <c r="C50" s="55">
        <f>C46-C47</f>
        <v>-15</v>
      </c>
      <c r="D50" s="55">
        <f>D46-D47</f>
        <v>199</v>
      </c>
      <c r="E50" s="55">
        <f>E46-E47</f>
        <v>252</v>
      </c>
      <c r="F50" s="55">
        <f>F46-F47</f>
        <v>405</v>
      </c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8"/>
      <c r="BC50" s="38"/>
      <c r="BD50" s="38"/>
      <c r="BE50" s="38"/>
      <c r="BF50" s="38"/>
      <c r="BG50" s="38"/>
      <c r="BH50" s="38"/>
      <c r="BI50" s="38"/>
      <c r="BJ50" s="38"/>
      <c r="BK50" s="38"/>
      <c r="BL50" s="38"/>
      <c r="BM50" s="38"/>
      <c r="BN50" s="38"/>
      <c r="BO50" s="38"/>
      <c r="BP50" s="38"/>
      <c r="BQ50" s="38"/>
      <c r="BR50" s="38"/>
      <c r="BS50" s="38"/>
      <c r="BT50" s="38"/>
      <c r="BU50" s="38"/>
      <c r="BV50" s="38"/>
      <c r="BW50" s="38"/>
      <c r="BX50" s="38"/>
      <c r="BY50" s="38"/>
      <c r="BZ50" s="38"/>
      <c r="CA50" s="38"/>
      <c r="CB50" s="38"/>
      <c r="CC50" s="38"/>
      <c r="CD50" s="38"/>
      <c r="CE50" s="38"/>
      <c r="CF50" s="38"/>
      <c r="CG50" s="38"/>
      <c r="CH50" s="38"/>
      <c r="CI50" s="38"/>
      <c r="CJ50" s="38"/>
      <c r="CK50" s="38"/>
      <c r="CL50" s="38"/>
      <c r="CM50" s="38"/>
      <c r="CN50" s="38"/>
      <c r="CO50" s="38"/>
      <c r="CP50" s="38"/>
      <c r="CQ50" s="38"/>
      <c r="CR50" s="38"/>
      <c r="CS50" s="38"/>
      <c r="CT50" s="38"/>
      <c r="CU50" s="38"/>
      <c r="CV50" s="38"/>
      <c r="CW50" s="38"/>
      <c r="CX50" s="38"/>
      <c r="CY50" s="38"/>
      <c r="CZ50" s="38"/>
      <c r="DA50" s="38"/>
      <c r="DB50" s="38"/>
      <c r="DC50" s="38"/>
      <c r="DD50" s="38"/>
      <c r="DE50" s="38"/>
      <c r="DF50" s="38"/>
      <c r="DG50" s="38"/>
      <c r="DH50" s="38"/>
      <c r="DI50" s="38"/>
      <c r="DJ50" s="38"/>
      <c r="DK50" s="38"/>
      <c r="DL50" s="38"/>
      <c r="DM50" s="38"/>
    </row>
    <row r="51" spans="1:117" x14ac:dyDescent="0.15">
      <c r="B51" s="20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39"/>
      <c r="BS51" s="39"/>
      <c r="BT51" s="39"/>
      <c r="BU51" s="39"/>
      <c r="BV51" s="39"/>
      <c r="BW51" s="39"/>
      <c r="BX51" s="39"/>
      <c r="BY51" s="39"/>
      <c r="BZ51" s="39"/>
      <c r="CA51" s="39"/>
      <c r="CB51" s="39"/>
      <c r="CC51" s="39"/>
      <c r="CD51" s="39"/>
      <c r="CE51" s="39"/>
      <c r="CF51" s="39"/>
      <c r="CG51" s="39"/>
      <c r="CH51" s="39"/>
      <c r="CI51" s="39"/>
      <c r="CJ51" s="39"/>
      <c r="CK51" s="39"/>
      <c r="CL51" s="39"/>
      <c r="CM51" s="39"/>
      <c r="CN51" s="39"/>
      <c r="CO51" s="39"/>
      <c r="CP51" s="39"/>
      <c r="CQ51" s="39"/>
      <c r="CR51" s="39"/>
      <c r="CS51" s="39"/>
      <c r="CT51" s="39"/>
      <c r="CU51" s="39"/>
      <c r="CV51" s="39"/>
      <c r="CW51" s="39"/>
      <c r="CX51" s="39"/>
      <c r="CY51" s="39"/>
      <c r="CZ51" s="39"/>
      <c r="DA51" s="39"/>
      <c r="DB51" s="39"/>
      <c r="DC51" s="39"/>
      <c r="DD51" s="39"/>
      <c r="DE51" s="39"/>
      <c r="DF51" s="39"/>
      <c r="DG51" s="39"/>
      <c r="DH51" s="39"/>
      <c r="DI51" s="39"/>
      <c r="DJ51" s="39"/>
      <c r="DK51" s="39"/>
      <c r="DL51" s="39"/>
      <c r="DM51" s="39"/>
    </row>
    <row r="52" spans="1:117" x14ac:dyDescent="0.15">
      <c r="A52" s="18" t="s">
        <v>54</v>
      </c>
      <c r="B52" s="20"/>
      <c r="C52" s="56">
        <f>C27/C50</f>
        <v>5.5748666666666669</v>
      </c>
      <c r="D52" s="56">
        <f>D27/D50</f>
        <v>-0.54878391959798978</v>
      </c>
      <c r="E52" s="56">
        <f>E27/E50</f>
        <v>-0.5006626984126985</v>
      </c>
      <c r="F52" s="56">
        <f>F27/F50</f>
        <v>-0.51435802469135805</v>
      </c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  <c r="BC52" s="39"/>
      <c r="BD52" s="39"/>
      <c r="BE52" s="39"/>
      <c r="BF52" s="39"/>
      <c r="BG52" s="39"/>
      <c r="BH52" s="39"/>
      <c r="BI52" s="39"/>
      <c r="BJ52" s="39"/>
      <c r="BK52" s="39"/>
      <c r="BL52" s="39"/>
      <c r="BM52" s="39"/>
      <c r="BN52" s="39"/>
      <c r="BO52" s="39"/>
      <c r="BP52" s="39"/>
      <c r="BQ52" s="39"/>
      <c r="BR52" s="39"/>
      <c r="BS52" s="39"/>
      <c r="BT52" s="39"/>
      <c r="BU52" s="39"/>
      <c r="BV52" s="39"/>
      <c r="BW52" s="39"/>
      <c r="BX52" s="39"/>
      <c r="BY52" s="39"/>
      <c r="BZ52" s="39"/>
      <c r="CA52" s="39"/>
      <c r="CB52" s="39"/>
      <c r="CC52" s="39"/>
      <c r="CD52" s="39"/>
      <c r="CE52" s="39"/>
      <c r="CF52" s="39"/>
      <c r="CG52" s="39"/>
      <c r="CH52" s="39"/>
      <c r="CI52" s="39"/>
      <c r="CJ52" s="39"/>
      <c r="CK52" s="39"/>
      <c r="CL52" s="39"/>
      <c r="CM52" s="39"/>
      <c r="CN52" s="39"/>
      <c r="CO52" s="39"/>
      <c r="CP52" s="39"/>
      <c r="CQ52" s="39"/>
      <c r="CR52" s="39"/>
      <c r="CS52" s="39"/>
      <c r="CT52" s="39"/>
      <c r="CU52" s="39"/>
      <c r="CV52" s="39"/>
      <c r="CW52" s="39"/>
      <c r="CX52" s="39"/>
      <c r="CY52" s="39"/>
      <c r="CZ52" s="39"/>
      <c r="DA52" s="39"/>
      <c r="DB52" s="39"/>
      <c r="DC52" s="39"/>
      <c r="DD52" s="39"/>
      <c r="DE52" s="39"/>
      <c r="DF52" s="39"/>
      <c r="DG52" s="39"/>
      <c r="DH52" s="39"/>
      <c r="DI52" s="39"/>
      <c r="DJ52" s="39"/>
      <c r="DK52" s="39"/>
      <c r="DL52" s="39"/>
      <c r="DM52" s="39"/>
    </row>
    <row r="53" spans="1:117" x14ac:dyDescent="0.15">
      <c r="A53" s="18" t="s">
        <v>55</v>
      </c>
      <c r="B53" s="20"/>
      <c r="C53" s="56">
        <f>C27/C46</f>
        <v>-0.63834351145038171</v>
      </c>
      <c r="D53" s="56">
        <f>D27/D46</f>
        <v>-0.27370426065162901</v>
      </c>
      <c r="E53" s="56">
        <f>E27/E46</f>
        <v>-0.12821849593495938</v>
      </c>
      <c r="F53" s="56">
        <f>F27/F46</f>
        <v>-0.10655498721227621</v>
      </c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  <c r="BB53" s="39"/>
      <c r="BC53" s="39"/>
      <c r="BD53" s="39"/>
      <c r="BE53" s="39"/>
      <c r="BF53" s="39"/>
      <c r="BG53" s="39"/>
      <c r="BH53" s="39"/>
      <c r="BI53" s="39"/>
      <c r="BJ53" s="39"/>
      <c r="BK53" s="39"/>
      <c r="BL53" s="39"/>
      <c r="BM53" s="39"/>
      <c r="BN53" s="39"/>
      <c r="BO53" s="39"/>
      <c r="BP53" s="39"/>
      <c r="BQ53" s="39"/>
      <c r="BR53" s="39"/>
      <c r="BS53" s="39"/>
      <c r="BT53" s="39"/>
      <c r="BU53" s="39"/>
      <c r="BV53" s="39"/>
      <c r="BW53" s="39"/>
      <c r="BX53" s="39"/>
      <c r="BY53" s="39"/>
      <c r="BZ53" s="39"/>
      <c r="CA53" s="39"/>
      <c r="CB53" s="39"/>
      <c r="CC53" s="39"/>
      <c r="CD53" s="39"/>
      <c r="CE53" s="39"/>
      <c r="CF53" s="39"/>
      <c r="CG53" s="39"/>
      <c r="CH53" s="39"/>
      <c r="CI53" s="39"/>
      <c r="CJ53" s="39"/>
      <c r="CK53" s="39"/>
      <c r="CL53" s="39"/>
      <c r="CM53" s="39"/>
      <c r="CN53" s="39"/>
      <c r="CO53" s="39"/>
      <c r="CP53" s="39"/>
      <c r="CQ53" s="39"/>
      <c r="CR53" s="39"/>
      <c r="CS53" s="39"/>
      <c r="CT53" s="39"/>
      <c r="CU53" s="39"/>
      <c r="CV53" s="39"/>
      <c r="CW53" s="39"/>
      <c r="CX53" s="39"/>
      <c r="CY53" s="39"/>
      <c r="CZ53" s="39"/>
      <c r="DA53" s="39"/>
      <c r="DB53" s="39"/>
      <c r="DC53" s="39"/>
      <c r="DD53" s="39"/>
      <c r="DE53" s="39"/>
      <c r="DF53" s="39"/>
      <c r="DG53" s="39"/>
      <c r="DH53" s="39"/>
      <c r="DI53" s="39"/>
      <c r="DJ53" s="39"/>
      <c r="DK53" s="39"/>
      <c r="DL53" s="39"/>
      <c r="DM53" s="39"/>
    </row>
    <row r="54" spans="1:117" x14ac:dyDescent="0.15">
      <c r="A54" s="18" t="s">
        <v>56</v>
      </c>
      <c r="B54" s="20"/>
      <c r="C54" s="56">
        <f>C27/(C50-C45)</f>
        <v>3.0971481481481482</v>
      </c>
      <c r="D54" s="56">
        <f>D27/(D50-D45)</f>
        <v>-0.60335911602209924</v>
      </c>
      <c r="E54" s="56">
        <f>E27/(E50-E45)</f>
        <v>-0.57348636363636374</v>
      </c>
      <c r="F54" s="56">
        <f>F27/(F50-F45)</f>
        <v>-0.64294753086419754</v>
      </c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CY54" s="39"/>
      <c r="CZ54" s="39"/>
      <c r="DA54" s="39"/>
      <c r="DB54" s="39"/>
      <c r="DC54" s="39"/>
      <c r="DD54" s="39"/>
      <c r="DE54" s="39"/>
      <c r="DF54" s="39"/>
      <c r="DG54" s="39"/>
      <c r="DH54" s="39"/>
      <c r="DI54" s="39"/>
      <c r="DJ54" s="39"/>
      <c r="DK54" s="39"/>
      <c r="DL54" s="39"/>
      <c r="DM54" s="39"/>
    </row>
    <row r="55" spans="1:117" x14ac:dyDescent="0.15">
      <c r="A55" s="18" t="s">
        <v>57</v>
      </c>
      <c r="B55" s="20"/>
      <c r="C55" s="56">
        <f>C27/C49</f>
        <v>-1.0197926829268293</v>
      </c>
      <c r="D55" s="56">
        <f>D27/D49</f>
        <v>-0.72323178807946997</v>
      </c>
      <c r="E55" s="56">
        <f>E27/E49</f>
        <v>-0.32433676092544994</v>
      </c>
      <c r="F55" s="56">
        <f>F27/F49</f>
        <v>-0.44228237791932057</v>
      </c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39"/>
      <c r="BS55" s="39"/>
      <c r="BT55" s="39"/>
      <c r="BU55" s="39"/>
      <c r="BV55" s="39"/>
      <c r="BW55" s="39"/>
      <c r="BX55" s="39"/>
      <c r="BY55" s="39"/>
      <c r="BZ55" s="39"/>
      <c r="CA55" s="39"/>
      <c r="CB55" s="39"/>
      <c r="CC55" s="39"/>
      <c r="CD55" s="39"/>
      <c r="CE55" s="39"/>
      <c r="CF55" s="39"/>
      <c r="CG55" s="39"/>
      <c r="CH55" s="39"/>
      <c r="CI55" s="39"/>
      <c r="CJ55" s="39"/>
      <c r="CK55" s="39"/>
      <c r="CL55" s="39"/>
      <c r="CM55" s="39"/>
      <c r="CN55" s="39"/>
      <c r="CO55" s="39"/>
      <c r="CP55" s="39"/>
      <c r="CQ55" s="39"/>
      <c r="CR55" s="39"/>
      <c r="CS55" s="39"/>
      <c r="CT55" s="39"/>
      <c r="CU55" s="39"/>
      <c r="CV55" s="39"/>
      <c r="CW55" s="39"/>
      <c r="CX55" s="39"/>
      <c r="CY55" s="39"/>
      <c r="CZ55" s="39"/>
      <c r="DA55" s="39"/>
      <c r="DB55" s="39"/>
      <c r="DC55" s="39"/>
      <c r="DD55" s="39"/>
      <c r="DE55" s="39"/>
      <c r="DF55" s="39"/>
      <c r="DG55" s="39"/>
      <c r="DH55" s="39"/>
      <c r="DI55" s="39"/>
      <c r="DJ55" s="39"/>
      <c r="DK55" s="39"/>
      <c r="DL55" s="39"/>
      <c r="DM55" s="39"/>
    </row>
    <row r="56" spans="1:117" x14ac:dyDescent="0.15">
      <c r="B56" s="20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  <c r="BA56" s="39"/>
      <c r="BB56" s="39"/>
      <c r="BC56" s="39"/>
      <c r="BD56" s="39"/>
      <c r="BE56" s="39"/>
      <c r="BF56" s="39"/>
      <c r="BG56" s="39"/>
      <c r="BH56" s="39"/>
      <c r="BI56" s="39"/>
      <c r="BJ56" s="39"/>
      <c r="BK56" s="39"/>
      <c r="BL56" s="39"/>
      <c r="BM56" s="39"/>
      <c r="BN56" s="39"/>
      <c r="BO56" s="39"/>
      <c r="BP56" s="39"/>
      <c r="BQ56" s="39"/>
      <c r="BR56" s="39"/>
      <c r="BS56" s="39"/>
      <c r="BT56" s="39"/>
      <c r="BU56" s="39"/>
      <c r="BV56" s="39"/>
      <c r="BW56" s="39"/>
      <c r="BX56" s="39"/>
      <c r="BY56" s="39"/>
      <c r="BZ56" s="39"/>
      <c r="CA56" s="39"/>
      <c r="CB56" s="39"/>
      <c r="CC56" s="39"/>
      <c r="CD56" s="39"/>
      <c r="CE56" s="39"/>
      <c r="CF56" s="39"/>
      <c r="CG56" s="39"/>
      <c r="CH56" s="39"/>
      <c r="CI56" s="39"/>
      <c r="CJ56" s="39"/>
      <c r="CK56" s="39"/>
      <c r="CL56" s="39"/>
      <c r="CM56" s="39"/>
      <c r="CN56" s="39"/>
      <c r="CO56" s="39"/>
      <c r="CP56" s="39"/>
      <c r="CQ56" s="39"/>
      <c r="CR56" s="39"/>
      <c r="CS56" s="39"/>
      <c r="CT56" s="39"/>
      <c r="CU56" s="39"/>
      <c r="CV56" s="39"/>
      <c r="CW56" s="39"/>
      <c r="CX56" s="39"/>
      <c r="CY56" s="39"/>
      <c r="CZ56" s="39"/>
      <c r="DA56" s="39"/>
      <c r="DB56" s="39"/>
      <c r="DC56" s="39"/>
      <c r="DD56" s="39"/>
      <c r="DE56" s="39"/>
      <c r="DF56" s="39"/>
      <c r="DG56" s="39"/>
      <c r="DH56" s="39"/>
      <c r="DI56" s="39"/>
      <c r="DJ56" s="39"/>
      <c r="DK56" s="39"/>
      <c r="DL56" s="39"/>
      <c r="DM56" s="39"/>
    </row>
    <row r="57" spans="1:117" x14ac:dyDescent="0.15">
      <c r="A57" s="6" t="s">
        <v>62</v>
      </c>
      <c r="B57" s="20"/>
      <c r="C57" s="56">
        <f t="shared" ref="C57:F58" si="153">C10/B10-1</f>
        <v>0.87245398532239715</v>
      </c>
      <c r="D57" s="56">
        <f t="shared" si="153"/>
        <v>0.65172982338475305</v>
      </c>
      <c r="E57" s="56">
        <f t="shared" si="153"/>
        <v>0.56861459593438846</v>
      </c>
      <c r="F57" s="56">
        <f t="shared" si="153"/>
        <v>0.49030753259360149</v>
      </c>
      <c r="G57" s="56"/>
      <c r="H57" s="56"/>
      <c r="I57" s="56"/>
      <c r="J57" s="56"/>
      <c r="K57" s="56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  <c r="BA57" s="39"/>
      <c r="BB57" s="39"/>
      <c r="BC57" s="39"/>
      <c r="BD57" s="39"/>
      <c r="BE57" s="39"/>
      <c r="BF57" s="39"/>
      <c r="BG57" s="39"/>
      <c r="BH57" s="39"/>
      <c r="BI57" s="39"/>
      <c r="BJ57" s="39"/>
      <c r="BK57" s="39"/>
      <c r="BL57" s="39"/>
      <c r="BM57" s="39"/>
      <c r="BN57" s="39"/>
      <c r="BO57" s="39"/>
      <c r="BP57" s="39"/>
      <c r="BQ57" s="39"/>
      <c r="BR57" s="39"/>
      <c r="BS57" s="39"/>
      <c r="BT57" s="39"/>
      <c r="BU57" s="39"/>
      <c r="BV57" s="39"/>
      <c r="BW57" s="39"/>
      <c r="BX57" s="39"/>
      <c r="BY57" s="39"/>
      <c r="BZ57" s="39"/>
      <c r="CA57" s="39"/>
      <c r="CB57" s="39"/>
      <c r="CC57" s="39"/>
      <c r="CD57" s="39"/>
      <c r="CE57" s="39"/>
      <c r="CF57" s="39"/>
      <c r="CG57" s="39"/>
      <c r="CH57" s="39"/>
      <c r="CI57" s="39"/>
      <c r="CJ57" s="39"/>
      <c r="CK57" s="39"/>
      <c r="CL57" s="39"/>
      <c r="CM57" s="39"/>
      <c r="CN57" s="39"/>
      <c r="CO57" s="39"/>
      <c r="CP57" s="39"/>
      <c r="CQ57" s="39"/>
      <c r="CR57" s="39"/>
      <c r="CS57" s="39"/>
      <c r="CT57" s="39"/>
      <c r="CU57" s="39"/>
      <c r="CV57" s="39"/>
      <c r="CW57" s="39"/>
      <c r="CX57" s="39"/>
      <c r="CY57" s="39"/>
      <c r="CZ57" s="39"/>
      <c r="DA57" s="39"/>
      <c r="DB57" s="39"/>
      <c r="DC57" s="39"/>
      <c r="DD57" s="39"/>
      <c r="DE57" s="39"/>
      <c r="DF57" s="39"/>
      <c r="DG57" s="39"/>
      <c r="DH57" s="39"/>
      <c r="DI57" s="39"/>
      <c r="DJ57" s="39"/>
      <c r="DK57" s="39"/>
      <c r="DL57" s="39"/>
      <c r="DM57" s="39"/>
    </row>
    <row r="58" spans="1:117" x14ac:dyDescent="0.15">
      <c r="A58" s="6" t="s">
        <v>63</v>
      </c>
      <c r="B58" s="20"/>
      <c r="C58" s="56">
        <f t="shared" si="153"/>
        <v>0.81635672020287409</v>
      </c>
      <c r="D58" s="56">
        <f t="shared" si="153"/>
        <v>0.1707388016288538</v>
      </c>
      <c r="E58" s="56">
        <f t="shared" si="153"/>
        <v>0.4111304347826088</v>
      </c>
      <c r="F58" s="56">
        <f t="shared" si="153"/>
        <v>0.17535828726363589</v>
      </c>
      <c r="G58" s="56"/>
      <c r="H58" s="56"/>
      <c r="I58" s="56"/>
      <c r="J58" s="56"/>
      <c r="K58" s="56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  <c r="BA58" s="39"/>
      <c r="BB58" s="39"/>
      <c r="BC58" s="39"/>
      <c r="BD58" s="39"/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39"/>
      <c r="BP58" s="39"/>
      <c r="BQ58" s="39"/>
      <c r="BR58" s="39"/>
      <c r="BS58" s="39"/>
      <c r="BT58" s="39"/>
      <c r="BU58" s="39"/>
      <c r="BV58" s="39"/>
      <c r="BW58" s="39"/>
      <c r="BX58" s="39"/>
      <c r="BY58" s="39"/>
      <c r="BZ58" s="39"/>
      <c r="CA58" s="39"/>
      <c r="CB58" s="39"/>
      <c r="CC58" s="39"/>
      <c r="CD58" s="39"/>
      <c r="CE58" s="39"/>
      <c r="CF58" s="39"/>
      <c r="CG58" s="39"/>
      <c r="CH58" s="39"/>
      <c r="CI58" s="39"/>
      <c r="CJ58" s="39"/>
      <c r="CK58" s="39"/>
      <c r="CL58" s="39"/>
      <c r="CM58" s="39"/>
      <c r="CN58" s="39"/>
      <c r="CO58" s="39"/>
      <c r="CP58" s="39"/>
      <c r="CQ58" s="39"/>
      <c r="CR58" s="39"/>
      <c r="CS58" s="39"/>
      <c r="CT58" s="39"/>
      <c r="CU58" s="39"/>
      <c r="CV58" s="39"/>
      <c r="CW58" s="39"/>
      <c r="CX58" s="39"/>
      <c r="CY58" s="39"/>
      <c r="CZ58" s="39"/>
      <c r="DA58" s="39"/>
      <c r="DB58" s="39"/>
      <c r="DC58" s="39"/>
      <c r="DD58" s="39"/>
      <c r="DE58" s="39"/>
      <c r="DF58" s="39"/>
      <c r="DG58" s="39"/>
      <c r="DH58" s="39"/>
      <c r="DI58" s="39"/>
      <c r="DJ58" s="39"/>
      <c r="DK58" s="39"/>
      <c r="DL58" s="39"/>
      <c r="DM58" s="39"/>
    </row>
    <row r="60" spans="1:117" x14ac:dyDescent="0.15">
      <c r="A60" s="3" t="s">
        <v>82</v>
      </c>
      <c r="F60" s="19">
        <f>F13/E13-1</f>
        <v>0.30327868852459017</v>
      </c>
      <c r="G60" s="19">
        <f t="shared" ref="G60:K60" si="154">G13/F13-1</f>
        <v>0.25</v>
      </c>
      <c r="H60" s="19">
        <f t="shared" si="154"/>
        <v>0.19999999999999996</v>
      </c>
      <c r="I60" s="19">
        <f t="shared" si="154"/>
        <v>0.19999999999999996</v>
      </c>
      <c r="J60" s="19">
        <f t="shared" si="154"/>
        <v>0.19999999999999996</v>
      </c>
      <c r="K60" s="19">
        <f t="shared" si="154"/>
        <v>0.19999999999999996</v>
      </c>
    </row>
    <row r="61" spans="1:117" x14ac:dyDescent="0.15">
      <c r="A61" s="3" t="s">
        <v>84</v>
      </c>
      <c r="F61" s="19">
        <f>F14/E14-1</f>
        <v>0.12631715381891628</v>
      </c>
      <c r="G61" s="19">
        <f t="shared" ref="G61:K61" si="155">G14/F14-1</f>
        <v>0.12649714111185251</v>
      </c>
      <c r="H61" s="19">
        <f t="shared" si="155"/>
        <v>0.14999999999999991</v>
      </c>
      <c r="I61" s="19">
        <f t="shared" si="155"/>
        <v>0.14999999999999991</v>
      </c>
      <c r="J61" s="19">
        <f t="shared" si="155"/>
        <v>0.14999999999999969</v>
      </c>
      <c r="K61" s="19">
        <f t="shared" si="155"/>
        <v>0.14999999999999991</v>
      </c>
    </row>
  </sheetData>
  <hyperlinks>
    <hyperlink ref="A1" r:id="rId1" xr:uid="{00000000-0004-0000-0000-000000000000}"/>
    <hyperlink ref="L4" r:id="rId2" xr:uid="{CBCA994A-BC74-CB48-8009-AD2DE8254A02}"/>
    <hyperlink ref="A4" r:id="rId3" xr:uid="{A8970B79-7ADB-0D44-881E-D38185A44F8B}"/>
    <hyperlink ref="A7" r:id="rId4" xr:uid="{58864BC9-58E1-E14C-82EE-3DF14D37623F}"/>
    <hyperlink ref="A8" r:id="rId5" xr:uid="{A0C9907B-8AEA-7B40-BAE2-C6DACDEB5B3D}"/>
  </hyperlinks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52"/>
  <sheetViews>
    <sheetView zoomScale="125" zoomScaleNormal="125" workbookViewId="0">
      <pane xSplit="1" ySplit="2" topLeftCell="K3" activePane="bottomRight" state="frozen"/>
      <selection pane="topRight" activeCell="B1" sqref="B1"/>
      <selection pane="bottomLeft" activeCell="A3" sqref="A3"/>
      <selection pane="bottomRight" activeCell="U51" sqref="U51"/>
    </sheetView>
  </sheetViews>
  <sheetFormatPr baseColWidth="10" defaultRowHeight="13" x14ac:dyDescent="0.15"/>
  <cols>
    <col min="1" max="1" width="20.33203125" style="6" bestFit="1" customWidth="1"/>
    <col min="2" max="2" width="10.83203125" style="21" customWidth="1"/>
    <col min="3" max="4" width="10.83203125" style="20" customWidth="1"/>
    <col min="5" max="5" width="10.83203125" style="20"/>
    <col min="6" max="6" width="10.83203125" style="21"/>
    <col min="7" max="9" width="10.83203125" style="20"/>
    <col min="10" max="10" width="10.83203125" style="21"/>
    <col min="11" max="13" width="10.83203125" style="20"/>
    <col min="14" max="14" width="10.83203125" style="21"/>
    <col min="15" max="17" width="10.83203125" style="20"/>
    <col min="18" max="18" width="10.83203125" style="21"/>
    <col min="19" max="21" width="10.83203125" style="20"/>
    <col min="22" max="16384" width="10.83203125" style="6"/>
  </cols>
  <sheetData>
    <row r="1" spans="1:21" x14ac:dyDescent="0.15">
      <c r="A1" s="67" t="s">
        <v>37</v>
      </c>
      <c r="B1" s="22" t="s">
        <v>0</v>
      </c>
      <c r="C1" s="23" t="s">
        <v>1</v>
      </c>
      <c r="D1" s="23" t="s">
        <v>2</v>
      </c>
      <c r="E1" s="23" t="s">
        <v>3</v>
      </c>
      <c r="F1" s="22" t="s">
        <v>30</v>
      </c>
      <c r="G1" s="23" t="s">
        <v>31</v>
      </c>
      <c r="H1" s="23" t="s">
        <v>32</v>
      </c>
      <c r="I1" s="23" t="s">
        <v>33</v>
      </c>
      <c r="J1" s="22" t="s">
        <v>44</v>
      </c>
      <c r="K1" s="23" t="s">
        <v>45</v>
      </c>
      <c r="L1" s="23" t="s">
        <v>46</v>
      </c>
      <c r="M1" s="23" t="s">
        <v>47</v>
      </c>
      <c r="N1" s="22" t="s">
        <v>65</v>
      </c>
      <c r="O1" s="23" t="s">
        <v>70</v>
      </c>
      <c r="P1" s="23" t="s">
        <v>71</v>
      </c>
      <c r="Q1" s="23" t="s">
        <v>66</v>
      </c>
      <c r="R1" s="21" t="s">
        <v>75</v>
      </c>
      <c r="S1" s="20" t="s">
        <v>76</v>
      </c>
      <c r="T1" s="20" t="s">
        <v>77</v>
      </c>
      <c r="U1" s="20" t="s">
        <v>78</v>
      </c>
    </row>
    <row r="2" spans="1:21" s="20" customFormat="1" x14ac:dyDescent="0.15">
      <c r="A2" s="1"/>
      <c r="B2" s="59">
        <v>42490</v>
      </c>
      <c r="C2" s="58">
        <v>42582</v>
      </c>
      <c r="D2" s="58">
        <v>42674</v>
      </c>
      <c r="E2" s="58">
        <v>42766</v>
      </c>
      <c r="F2" s="59">
        <v>42855</v>
      </c>
      <c r="G2" s="58">
        <v>42947</v>
      </c>
      <c r="H2" s="58">
        <v>43039</v>
      </c>
      <c r="I2" s="58">
        <v>43131</v>
      </c>
      <c r="J2" s="59">
        <v>43220</v>
      </c>
      <c r="K2" s="58">
        <v>43312</v>
      </c>
      <c r="L2" s="58">
        <v>43404</v>
      </c>
      <c r="M2" s="58">
        <v>43496</v>
      </c>
      <c r="N2" s="59">
        <v>43585</v>
      </c>
      <c r="O2" s="58">
        <v>43677</v>
      </c>
      <c r="P2" s="58">
        <v>43769</v>
      </c>
      <c r="Q2" s="58">
        <v>43861</v>
      </c>
      <c r="R2" s="59">
        <v>43924</v>
      </c>
      <c r="S2" s="58">
        <v>44043</v>
      </c>
      <c r="T2" s="58">
        <v>44135</v>
      </c>
    </row>
    <row r="3" spans="1:21" s="8" customFormat="1" x14ac:dyDescent="0.15">
      <c r="A3" s="8" t="s">
        <v>60</v>
      </c>
      <c r="B3" s="22">
        <v>27.562999999999999</v>
      </c>
      <c r="C3" s="23">
        <v>33.439</v>
      </c>
      <c r="D3" s="23">
        <v>38.122999999999998</v>
      </c>
      <c r="E3" s="23">
        <v>44.011000000000003</v>
      </c>
      <c r="F3" s="22">
        <v>48.279000000000003</v>
      </c>
      <c r="G3" s="23">
        <v>55.317</v>
      </c>
      <c r="H3" s="23">
        <v>61.863</v>
      </c>
      <c r="I3" s="23">
        <v>70.962999999999994</v>
      </c>
      <c r="J3" s="22">
        <v>76.840999999999994</v>
      </c>
      <c r="K3" s="23">
        <v>87.853999999999999</v>
      </c>
      <c r="L3" s="23">
        <v>97.697999999999993</v>
      </c>
      <c r="M3" s="23">
        <v>108.462</v>
      </c>
      <c r="N3" s="22">
        <v>117.163</v>
      </c>
      <c r="O3" s="23">
        <v>132.494</v>
      </c>
      <c r="P3" s="23">
        <v>144.517</v>
      </c>
      <c r="Q3" s="23">
        <v>158.51400000000001</v>
      </c>
      <c r="R3" s="22">
        <v>173.78100000000001</v>
      </c>
      <c r="S3" s="23">
        <v>190.68899999999999</v>
      </c>
      <c r="T3" s="23">
        <v>206.74299999999999</v>
      </c>
      <c r="U3" s="23">
        <f>Q3*1.35</f>
        <v>213.99390000000002</v>
      </c>
    </row>
    <row r="4" spans="1:21" s="8" customFormat="1" x14ac:dyDescent="0.15">
      <c r="A4" s="8" t="s">
        <v>79</v>
      </c>
      <c r="B4" s="22">
        <v>4.2240000000000002</v>
      </c>
      <c r="C4" s="23">
        <v>3.9969999999999999</v>
      </c>
      <c r="D4" s="23">
        <v>4.16</v>
      </c>
      <c r="E4" s="23">
        <v>4.8090000000000002</v>
      </c>
      <c r="F4" s="22">
        <v>4.0460000000000003</v>
      </c>
      <c r="G4" s="23">
        <v>4.9420000000000002</v>
      </c>
      <c r="H4" s="23">
        <v>5.048</v>
      </c>
      <c r="I4" s="23">
        <v>6.0890000000000004</v>
      </c>
      <c r="J4" s="22">
        <v>6.78</v>
      </c>
      <c r="K4" s="23">
        <v>6.7320000000000002</v>
      </c>
      <c r="L4" s="23">
        <v>7.8780000000000001</v>
      </c>
      <c r="M4" s="23">
        <v>7.0090000000000003</v>
      </c>
      <c r="N4" s="22">
        <v>8.06</v>
      </c>
      <c r="O4" s="23">
        <v>7.9859999999999998</v>
      </c>
      <c r="P4" s="23">
        <v>8.52</v>
      </c>
      <c r="Q4" s="23">
        <v>8.8130000000000006</v>
      </c>
      <c r="R4" s="22">
        <v>9.0779999999999994</v>
      </c>
      <c r="S4" s="23">
        <v>9.7569999999999997</v>
      </c>
      <c r="T4" s="23">
        <v>10.635999999999999</v>
      </c>
      <c r="U4" s="23">
        <f>Q4*1.2</f>
        <v>10.5756</v>
      </c>
    </row>
    <row r="5" spans="1:21" s="23" customFormat="1" x14ac:dyDescent="0.15">
      <c r="B5" s="22"/>
      <c r="F5" s="22"/>
      <c r="J5" s="22">
        <v>78</v>
      </c>
      <c r="K5" s="23">
        <v>84</v>
      </c>
      <c r="L5" s="23">
        <v>96</v>
      </c>
      <c r="M5" s="23">
        <v>107</v>
      </c>
      <c r="N5" s="22">
        <v>116</v>
      </c>
      <c r="R5" s="22">
        <v>171</v>
      </c>
      <c r="S5" s="23">
        <v>185</v>
      </c>
      <c r="T5" s="23">
        <v>202</v>
      </c>
      <c r="U5" s="23">
        <v>221</v>
      </c>
    </row>
    <row r="6" spans="1:21" s="17" customFormat="1" x14ac:dyDescent="0.15">
      <c r="A6" s="17" t="s">
        <v>4</v>
      </c>
      <c r="B6" s="25">
        <f t="shared" ref="B6:U6" si="0">SUM(B3:B4)</f>
        <v>31.786999999999999</v>
      </c>
      <c r="C6" s="24">
        <f t="shared" si="0"/>
        <v>37.436</v>
      </c>
      <c r="D6" s="24">
        <f t="shared" si="0"/>
        <v>42.283000000000001</v>
      </c>
      <c r="E6" s="24">
        <f t="shared" si="0"/>
        <v>48.82</v>
      </c>
      <c r="F6" s="25">
        <f t="shared" si="0"/>
        <v>52.325000000000003</v>
      </c>
      <c r="G6" s="24">
        <f t="shared" si="0"/>
        <v>60.259</v>
      </c>
      <c r="H6" s="24">
        <f t="shared" si="0"/>
        <v>66.911000000000001</v>
      </c>
      <c r="I6" s="24">
        <f t="shared" si="0"/>
        <v>77.051999999999992</v>
      </c>
      <c r="J6" s="25">
        <f t="shared" si="0"/>
        <v>83.620999999999995</v>
      </c>
      <c r="K6" s="24">
        <f t="shared" si="0"/>
        <v>94.585999999999999</v>
      </c>
      <c r="L6" s="24">
        <f t="shared" si="0"/>
        <v>105.57599999999999</v>
      </c>
      <c r="M6" s="24">
        <f t="shared" si="0"/>
        <v>115.471</v>
      </c>
      <c r="N6" s="25">
        <f t="shared" si="0"/>
        <v>125.223</v>
      </c>
      <c r="O6" s="24">
        <f t="shared" si="0"/>
        <v>140.47999999999999</v>
      </c>
      <c r="P6" s="24">
        <f t="shared" si="0"/>
        <v>153.03700000000001</v>
      </c>
      <c r="Q6" s="24">
        <f t="shared" si="0"/>
        <v>167.327</v>
      </c>
      <c r="R6" s="25">
        <f t="shared" si="0"/>
        <v>182.85900000000001</v>
      </c>
      <c r="S6" s="24">
        <f t="shared" si="0"/>
        <v>200.446</v>
      </c>
      <c r="T6" s="24">
        <f t="shared" si="0"/>
        <v>217.37899999999999</v>
      </c>
      <c r="U6" s="24">
        <f t="shared" si="0"/>
        <v>224.56950000000003</v>
      </c>
    </row>
    <row r="7" spans="1:21" s="8" customFormat="1" x14ac:dyDescent="0.15">
      <c r="A7" s="8" t="s">
        <v>5</v>
      </c>
      <c r="B7" s="22">
        <v>12.379</v>
      </c>
      <c r="C7" s="23">
        <v>13.78</v>
      </c>
      <c r="D7" s="23">
        <v>14.103</v>
      </c>
      <c r="E7" s="23">
        <v>15.686999999999999</v>
      </c>
      <c r="F7" s="22">
        <v>17.463000000000001</v>
      </c>
      <c r="G7" s="23">
        <v>19.681999999999999</v>
      </c>
      <c r="H7" s="23">
        <v>21.123000000000001</v>
      </c>
      <c r="I7" s="23">
        <v>22.486999999999998</v>
      </c>
      <c r="J7" s="22">
        <v>24.106999999999999</v>
      </c>
      <c r="K7" s="23">
        <v>28.228000000000002</v>
      </c>
      <c r="L7" s="23">
        <v>29.7</v>
      </c>
      <c r="M7" s="23">
        <v>31.385999999999999</v>
      </c>
      <c r="N7" s="22">
        <v>35.094999999999999</v>
      </c>
      <c r="O7" s="23">
        <v>38.78</v>
      </c>
      <c r="P7" s="51">
        <v>40.823999999999998</v>
      </c>
      <c r="Q7" s="51">
        <v>44.683</v>
      </c>
      <c r="R7" s="22">
        <v>48.485999999999997</v>
      </c>
      <c r="S7" s="51">
        <v>51.146999999999998</v>
      </c>
      <c r="T7" s="51">
        <v>56.908000000000001</v>
      </c>
      <c r="U7" s="51"/>
    </row>
    <row r="8" spans="1:21" s="8" customFormat="1" x14ac:dyDescent="0.15">
      <c r="A8" s="8" t="s">
        <v>6</v>
      </c>
      <c r="B8" s="28">
        <f>B6-B7</f>
        <v>19.408000000000001</v>
      </c>
      <c r="C8" s="27">
        <f t="shared" ref="C8:H8" si="1">C6-C7</f>
        <v>23.655999999999999</v>
      </c>
      <c r="D8" s="27">
        <f t="shared" si="1"/>
        <v>28.18</v>
      </c>
      <c r="E8" s="27">
        <f t="shared" si="1"/>
        <v>33.133000000000003</v>
      </c>
      <c r="F8" s="28">
        <f t="shared" si="1"/>
        <v>34.862000000000002</v>
      </c>
      <c r="G8" s="27">
        <f t="shared" si="1"/>
        <v>40.576999999999998</v>
      </c>
      <c r="H8" s="27">
        <f t="shared" si="1"/>
        <v>45.787999999999997</v>
      </c>
      <c r="I8" s="27">
        <f t="shared" ref="I8" si="2">I6-I7</f>
        <v>54.564999999999998</v>
      </c>
      <c r="J8" s="28">
        <f>J6-J7</f>
        <v>59.513999999999996</v>
      </c>
      <c r="K8" s="27">
        <f>K6-K7</f>
        <v>66.358000000000004</v>
      </c>
      <c r="L8" s="27">
        <f t="shared" ref="L8:N8" si="3">L6-L7</f>
        <v>75.875999999999991</v>
      </c>
      <c r="M8" s="27">
        <f t="shared" si="3"/>
        <v>84.085000000000008</v>
      </c>
      <c r="N8" s="28">
        <f t="shared" si="3"/>
        <v>90.128</v>
      </c>
      <c r="O8" s="27">
        <f t="shared" ref="O8:T8" si="4">O6-O7</f>
        <v>101.69999999999999</v>
      </c>
      <c r="P8" s="27">
        <f t="shared" si="4"/>
        <v>112.21300000000001</v>
      </c>
      <c r="Q8" s="27">
        <f t="shared" si="4"/>
        <v>122.64400000000001</v>
      </c>
      <c r="R8" s="28">
        <f t="shared" ref="R8" si="5">R6-R7</f>
        <v>134.37300000000002</v>
      </c>
      <c r="S8" s="27">
        <f t="shared" si="4"/>
        <v>149.29900000000001</v>
      </c>
      <c r="T8" s="27">
        <f t="shared" si="4"/>
        <v>160.471</v>
      </c>
      <c r="U8" s="51"/>
    </row>
    <row r="9" spans="1:21" s="8" customFormat="1" x14ac:dyDescent="0.15">
      <c r="A9" s="8" t="s">
        <v>7</v>
      </c>
      <c r="B9" s="22">
        <v>9</v>
      </c>
      <c r="C9" s="23">
        <v>10</v>
      </c>
      <c r="D9" s="23">
        <v>10</v>
      </c>
      <c r="E9" s="23">
        <v>11</v>
      </c>
      <c r="F9" s="22">
        <v>15</v>
      </c>
      <c r="G9" s="23">
        <v>17</v>
      </c>
      <c r="H9" s="23">
        <v>19</v>
      </c>
      <c r="I9" s="23">
        <v>19</v>
      </c>
      <c r="J9" s="22">
        <v>20</v>
      </c>
      <c r="K9" s="23">
        <v>25</v>
      </c>
      <c r="L9" s="23">
        <v>28</v>
      </c>
      <c r="M9" s="23">
        <v>30</v>
      </c>
      <c r="N9" s="22">
        <v>34</v>
      </c>
      <c r="O9" s="23">
        <v>40</v>
      </c>
      <c r="P9" s="51">
        <v>42</v>
      </c>
      <c r="Q9" s="51">
        <v>43</v>
      </c>
      <c r="R9" s="22">
        <v>48</v>
      </c>
      <c r="S9" s="51">
        <v>54</v>
      </c>
      <c r="T9" s="51">
        <v>58</v>
      </c>
      <c r="U9" s="51"/>
    </row>
    <row r="10" spans="1:21" s="8" customFormat="1" x14ac:dyDescent="0.15">
      <c r="A10" s="8" t="s">
        <v>8</v>
      </c>
      <c r="B10" s="22">
        <v>26</v>
      </c>
      <c r="C10" s="23">
        <v>28</v>
      </c>
      <c r="D10" s="23">
        <v>32</v>
      </c>
      <c r="E10" s="23">
        <v>31</v>
      </c>
      <c r="F10" s="22">
        <v>35</v>
      </c>
      <c r="G10" s="23">
        <v>38</v>
      </c>
      <c r="H10" s="23">
        <v>48</v>
      </c>
      <c r="I10" s="23">
        <v>44</v>
      </c>
      <c r="J10" s="22">
        <v>49</v>
      </c>
      <c r="K10" s="23">
        <v>59</v>
      </c>
      <c r="L10" s="23">
        <v>57</v>
      </c>
      <c r="M10" s="23">
        <v>63</v>
      </c>
      <c r="N10" s="22">
        <v>82</v>
      </c>
      <c r="O10" s="23">
        <v>78</v>
      </c>
      <c r="P10" s="51">
        <v>87</v>
      </c>
      <c r="Q10" s="51">
        <v>93</v>
      </c>
      <c r="R10" s="22">
        <v>104</v>
      </c>
      <c r="S10" s="51">
        <v>98</v>
      </c>
      <c r="T10" s="51">
        <v>110</v>
      </c>
      <c r="U10" s="51"/>
    </row>
    <row r="11" spans="1:21" s="8" customFormat="1" x14ac:dyDescent="0.15">
      <c r="A11" s="8" t="s">
        <v>9</v>
      </c>
      <c r="B11" s="22">
        <v>7</v>
      </c>
      <c r="C11" s="23">
        <v>6</v>
      </c>
      <c r="D11" s="23">
        <v>8</v>
      </c>
      <c r="E11" s="23">
        <v>9</v>
      </c>
      <c r="F11" s="22">
        <v>12</v>
      </c>
      <c r="G11" s="23">
        <v>12</v>
      </c>
      <c r="H11" s="23">
        <v>14</v>
      </c>
      <c r="I11" s="23">
        <v>15</v>
      </c>
      <c r="J11" s="22">
        <v>15</v>
      </c>
      <c r="K11" s="23">
        <v>21</v>
      </c>
      <c r="L11" s="23">
        <v>20</v>
      </c>
      <c r="M11" s="23">
        <v>19</v>
      </c>
      <c r="N11" s="22">
        <v>26</v>
      </c>
      <c r="O11" s="23">
        <v>27</v>
      </c>
      <c r="P11" s="51">
        <v>29</v>
      </c>
      <c r="Q11" s="51">
        <v>31</v>
      </c>
      <c r="R11" s="22">
        <v>34</v>
      </c>
      <c r="S11" s="51">
        <v>42</v>
      </c>
      <c r="T11" s="51">
        <v>44</v>
      </c>
      <c r="U11" s="51"/>
    </row>
    <row r="12" spans="1:21" s="8" customFormat="1" x14ac:dyDescent="0.15">
      <c r="A12" s="8" t="s">
        <v>10</v>
      </c>
      <c r="B12" s="28">
        <f>SUM(B9:B11)</f>
        <v>42</v>
      </c>
      <c r="C12" s="27">
        <f t="shared" ref="C12:H12" si="6">SUM(C9:C11)</f>
        <v>44</v>
      </c>
      <c r="D12" s="27">
        <f t="shared" si="6"/>
        <v>50</v>
      </c>
      <c r="E12" s="27">
        <f t="shared" si="6"/>
        <v>51</v>
      </c>
      <c r="F12" s="28">
        <f t="shared" si="6"/>
        <v>62</v>
      </c>
      <c r="G12" s="27">
        <f t="shared" si="6"/>
        <v>67</v>
      </c>
      <c r="H12" s="27">
        <f t="shared" si="6"/>
        <v>81</v>
      </c>
      <c r="I12" s="27">
        <f t="shared" ref="I12:J12" si="7">SUM(I9:I11)</f>
        <v>78</v>
      </c>
      <c r="J12" s="28">
        <f t="shared" si="7"/>
        <v>84</v>
      </c>
      <c r="K12" s="27">
        <f t="shared" ref="K12:L12" si="8">SUM(K9:K11)</f>
        <v>105</v>
      </c>
      <c r="L12" s="27">
        <f t="shared" si="8"/>
        <v>105</v>
      </c>
      <c r="M12" s="27">
        <f t="shared" ref="M12:O12" si="9">SUM(M9:M11)</f>
        <v>112</v>
      </c>
      <c r="N12" s="28">
        <f t="shared" si="9"/>
        <v>142</v>
      </c>
      <c r="O12" s="27">
        <f t="shared" si="9"/>
        <v>145</v>
      </c>
      <c r="P12" s="27">
        <f t="shared" ref="P12:Q12" si="10">SUM(P9:P11)</f>
        <v>158</v>
      </c>
      <c r="Q12" s="27">
        <f t="shared" si="10"/>
        <v>167</v>
      </c>
      <c r="R12" s="28">
        <f t="shared" ref="R12:T12" si="11">SUM(R9:R11)</f>
        <v>186</v>
      </c>
      <c r="S12" s="27">
        <f t="shared" si="11"/>
        <v>194</v>
      </c>
      <c r="T12" s="27">
        <f t="shared" si="11"/>
        <v>212</v>
      </c>
      <c r="U12" s="51"/>
    </row>
    <row r="13" spans="1:21" s="8" customFormat="1" x14ac:dyDescent="0.15">
      <c r="A13" s="8" t="s">
        <v>11</v>
      </c>
      <c r="B13" s="28">
        <f>B8-B12</f>
        <v>-22.591999999999999</v>
      </c>
      <c r="C13" s="27">
        <f t="shared" ref="C13:D13" si="12">C8-C12</f>
        <v>-20.344000000000001</v>
      </c>
      <c r="D13" s="27">
        <f t="shared" si="12"/>
        <v>-21.82</v>
      </c>
      <c r="E13" s="27">
        <f t="shared" ref="E13:L13" si="13">E8-E12</f>
        <v>-17.866999999999997</v>
      </c>
      <c r="F13" s="28">
        <f t="shared" si="13"/>
        <v>-27.137999999999998</v>
      </c>
      <c r="G13" s="27">
        <f t="shared" si="13"/>
        <v>-26.423000000000002</v>
      </c>
      <c r="H13" s="27">
        <f t="shared" si="13"/>
        <v>-35.212000000000003</v>
      </c>
      <c r="I13" s="27">
        <f t="shared" si="13"/>
        <v>-23.435000000000002</v>
      </c>
      <c r="J13" s="28">
        <f t="shared" si="13"/>
        <v>-24.486000000000004</v>
      </c>
      <c r="K13" s="27">
        <f t="shared" si="13"/>
        <v>-38.641999999999996</v>
      </c>
      <c r="L13" s="27">
        <f t="shared" si="13"/>
        <v>-29.124000000000009</v>
      </c>
      <c r="M13" s="27">
        <f t="shared" ref="M13:O13" si="14">M8-M12</f>
        <v>-27.914999999999992</v>
      </c>
      <c r="N13" s="28">
        <f t="shared" si="14"/>
        <v>-51.872</v>
      </c>
      <c r="O13" s="27">
        <f t="shared" si="14"/>
        <v>-43.300000000000011</v>
      </c>
      <c r="P13" s="27">
        <f t="shared" ref="P13:Q13" si="15">P8-P12</f>
        <v>-45.786999999999992</v>
      </c>
      <c r="Q13" s="27">
        <f t="shared" si="15"/>
        <v>-44.355999999999995</v>
      </c>
      <c r="R13" s="28">
        <f t="shared" ref="R13:T13" si="16">R8-R12</f>
        <v>-51.626999999999981</v>
      </c>
      <c r="S13" s="27">
        <f t="shared" si="16"/>
        <v>-44.700999999999993</v>
      </c>
      <c r="T13" s="27">
        <f t="shared" si="16"/>
        <v>-51.528999999999996</v>
      </c>
      <c r="U13" s="51"/>
    </row>
    <row r="14" spans="1:21" s="8" customFormat="1" x14ac:dyDescent="0.15">
      <c r="A14" s="8" t="s">
        <v>12</v>
      </c>
      <c r="B14" s="22">
        <v>0</v>
      </c>
      <c r="C14" s="23">
        <v>0</v>
      </c>
      <c r="D14" s="23">
        <v>0</v>
      </c>
      <c r="E14" s="23">
        <v>0</v>
      </c>
      <c r="F14" s="22">
        <v>0</v>
      </c>
      <c r="G14" s="23">
        <v>0</v>
      </c>
      <c r="H14" s="23">
        <v>1</v>
      </c>
      <c r="I14" s="23">
        <v>1</v>
      </c>
      <c r="J14" s="22">
        <v>-1</v>
      </c>
      <c r="K14" s="23">
        <v>-2</v>
      </c>
      <c r="L14" s="23">
        <v>-2</v>
      </c>
      <c r="M14" s="23">
        <f>-4+3</f>
        <v>-1</v>
      </c>
      <c r="N14" s="22">
        <f>-4+3</f>
        <v>-1</v>
      </c>
      <c r="O14" s="23">
        <f>-4+3</f>
        <v>-1</v>
      </c>
      <c r="P14" s="51">
        <f>-8+5-15</f>
        <v>-18</v>
      </c>
      <c r="Q14" s="51">
        <f>-11+6</f>
        <v>-5</v>
      </c>
      <c r="R14" s="22">
        <f>-11+5</f>
        <v>-6</v>
      </c>
      <c r="S14" s="51">
        <f>-17+4-2</f>
        <v>-15</v>
      </c>
      <c r="T14" s="51">
        <f>-22+2-0</f>
        <v>-20</v>
      </c>
      <c r="U14" s="51"/>
    </row>
    <row r="15" spans="1:21" s="8" customFormat="1" x14ac:dyDescent="0.15">
      <c r="A15" s="8" t="s">
        <v>13</v>
      </c>
      <c r="B15" s="28">
        <f>B13+B14</f>
        <v>-22.591999999999999</v>
      </c>
      <c r="C15" s="27">
        <f t="shared" ref="C15:E15" si="17">C13+C14</f>
        <v>-20.344000000000001</v>
      </c>
      <c r="D15" s="27">
        <f t="shared" si="17"/>
        <v>-21.82</v>
      </c>
      <c r="E15" s="27">
        <f t="shared" si="17"/>
        <v>-17.866999999999997</v>
      </c>
      <c r="F15" s="28">
        <f t="shared" ref="F15:G15" si="18">F13+F14</f>
        <v>-27.137999999999998</v>
      </c>
      <c r="G15" s="27">
        <f t="shared" si="18"/>
        <v>-26.423000000000002</v>
      </c>
      <c r="H15" s="27">
        <f t="shared" ref="H15:J15" si="19">H13+H14</f>
        <v>-34.212000000000003</v>
      </c>
      <c r="I15" s="27">
        <f>I13+I14</f>
        <v>-22.435000000000002</v>
      </c>
      <c r="J15" s="28">
        <f t="shared" si="19"/>
        <v>-25.486000000000004</v>
      </c>
      <c r="K15" s="27">
        <f t="shared" ref="K15" si="20">K13+K14</f>
        <v>-40.641999999999996</v>
      </c>
      <c r="L15" s="27">
        <f t="shared" ref="L15:P15" si="21">L13+L14</f>
        <v>-31.124000000000009</v>
      </c>
      <c r="M15" s="27">
        <f t="shared" si="21"/>
        <v>-28.914999999999992</v>
      </c>
      <c r="N15" s="28">
        <f t="shared" si="21"/>
        <v>-52.872</v>
      </c>
      <c r="O15" s="27">
        <f t="shared" si="21"/>
        <v>-44.300000000000011</v>
      </c>
      <c r="P15" s="27">
        <f t="shared" si="21"/>
        <v>-63.786999999999992</v>
      </c>
      <c r="Q15" s="27">
        <f t="shared" ref="Q15" si="22">Q13+Q14</f>
        <v>-49.355999999999995</v>
      </c>
      <c r="R15" s="28">
        <f t="shared" ref="R15:T15" si="23">R13+R14</f>
        <v>-57.626999999999981</v>
      </c>
      <c r="S15" s="27">
        <f t="shared" si="23"/>
        <v>-59.700999999999993</v>
      </c>
      <c r="T15" s="27">
        <f t="shared" si="23"/>
        <v>-71.528999999999996</v>
      </c>
      <c r="U15" s="51"/>
    </row>
    <row r="16" spans="1:21" s="8" customFormat="1" x14ac:dyDescent="0.15">
      <c r="A16" s="8" t="s">
        <v>14</v>
      </c>
      <c r="B16" s="22">
        <v>0</v>
      </c>
      <c r="C16" s="23">
        <v>0</v>
      </c>
      <c r="D16" s="23">
        <v>0</v>
      </c>
      <c r="E16" s="23">
        <v>1</v>
      </c>
      <c r="F16" s="22">
        <v>0</v>
      </c>
      <c r="G16" s="23">
        <v>0</v>
      </c>
      <c r="H16" s="23">
        <v>-1</v>
      </c>
      <c r="I16" s="23">
        <v>0</v>
      </c>
      <c r="J16" s="22">
        <v>0</v>
      </c>
      <c r="K16" s="23">
        <v>-1</v>
      </c>
      <c r="L16" s="23">
        <v>-1</v>
      </c>
      <c r="M16" s="23">
        <v>2</v>
      </c>
      <c r="N16" s="22">
        <v>-1</v>
      </c>
      <c r="O16" s="23">
        <v>-2</v>
      </c>
      <c r="P16" s="23">
        <v>0</v>
      </c>
      <c r="Q16" s="23">
        <v>1</v>
      </c>
      <c r="R16" s="22">
        <v>0</v>
      </c>
      <c r="S16" s="23">
        <v>0</v>
      </c>
      <c r="T16" s="23">
        <v>0</v>
      </c>
      <c r="U16" s="23"/>
    </row>
    <row r="17" spans="1:21" s="17" customFormat="1" x14ac:dyDescent="0.15">
      <c r="A17" s="17" t="s">
        <v>15</v>
      </c>
      <c r="B17" s="25">
        <f t="shared" ref="B17:T17" si="24">B15-B16</f>
        <v>-22.591999999999999</v>
      </c>
      <c r="C17" s="24">
        <f t="shared" si="24"/>
        <v>-20.344000000000001</v>
      </c>
      <c r="D17" s="24">
        <f t="shared" si="24"/>
        <v>-21.82</v>
      </c>
      <c r="E17" s="24">
        <f t="shared" si="24"/>
        <v>-18.866999999999997</v>
      </c>
      <c r="F17" s="25">
        <f t="shared" si="24"/>
        <v>-27.137999999999998</v>
      </c>
      <c r="G17" s="24">
        <f t="shared" si="24"/>
        <v>-26.423000000000002</v>
      </c>
      <c r="H17" s="24">
        <f t="shared" si="24"/>
        <v>-33.212000000000003</v>
      </c>
      <c r="I17" s="24">
        <f t="shared" si="24"/>
        <v>-22.435000000000002</v>
      </c>
      <c r="J17" s="25">
        <f t="shared" si="24"/>
        <v>-25.486000000000004</v>
      </c>
      <c r="K17" s="24">
        <f t="shared" si="24"/>
        <v>-39.641999999999996</v>
      </c>
      <c r="L17" s="24">
        <f t="shared" si="24"/>
        <v>-30.124000000000009</v>
      </c>
      <c r="M17" s="24">
        <f t="shared" si="24"/>
        <v>-30.914999999999992</v>
      </c>
      <c r="N17" s="25">
        <f t="shared" si="24"/>
        <v>-51.872</v>
      </c>
      <c r="O17" s="24">
        <f t="shared" si="24"/>
        <v>-42.300000000000011</v>
      </c>
      <c r="P17" s="24">
        <f t="shared" si="24"/>
        <v>-63.786999999999992</v>
      </c>
      <c r="Q17" s="24">
        <f t="shared" si="24"/>
        <v>-50.355999999999995</v>
      </c>
      <c r="R17" s="25">
        <f t="shared" si="24"/>
        <v>-57.626999999999981</v>
      </c>
      <c r="S17" s="24">
        <f t="shared" si="24"/>
        <v>-59.700999999999993</v>
      </c>
      <c r="T17" s="24">
        <f t="shared" si="24"/>
        <v>-71.528999999999996</v>
      </c>
      <c r="U17" s="50"/>
    </row>
    <row r="18" spans="1:21" s="4" customFormat="1" x14ac:dyDescent="0.15">
      <c r="A18" s="4" t="s">
        <v>16</v>
      </c>
      <c r="B18" s="61">
        <f t="shared" ref="B18:D18" si="25">IFERROR(B17/B19,0)</f>
        <v>-1.21632389361473</v>
      </c>
      <c r="C18" s="60">
        <f t="shared" si="25"/>
        <v>-1.0820125518561856</v>
      </c>
      <c r="D18" s="60">
        <f t="shared" si="25"/>
        <v>-1.1379993741524983</v>
      </c>
      <c r="E18" s="60">
        <f t="shared" ref="E18:H18" si="26">IFERROR(E17/E19,0)</f>
        <v>-0.96279853031230844</v>
      </c>
      <c r="F18" s="61">
        <f t="shared" si="26"/>
        <v>-0.6821506673704848</v>
      </c>
      <c r="G18" s="60">
        <f t="shared" si="26"/>
        <v>-0.28236941096007528</v>
      </c>
      <c r="H18" s="60">
        <f t="shared" si="26"/>
        <v>-0.34786434002974637</v>
      </c>
      <c r="I18" s="60">
        <f t="shared" ref="I18" si="27">IFERROR(I17/I19,0)</f>
        <v>-0.22219691192346169</v>
      </c>
      <c r="J18" s="61">
        <f t="shared" ref="J18:O18" si="28">IFERROR(J17/J19,0)</f>
        <v>-0.24458029039471035</v>
      </c>
      <c r="K18" s="60">
        <f t="shared" si="28"/>
        <v>-0.3715206837735</v>
      </c>
      <c r="L18" s="60">
        <f t="shared" si="28"/>
        <v>-0.27693608884312726</v>
      </c>
      <c r="M18" s="60">
        <f t="shared" si="28"/>
        <v>-0.28047685147383028</v>
      </c>
      <c r="N18" s="61">
        <f t="shared" si="28"/>
        <v>-0.46033971707992405</v>
      </c>
      <c r="O18" s="60">
        <f t="shared" si="28"/>
        <v>-0.36772056714160295</v>
      </c>
      <c r="P18" s="60">
        <f t="shared" ref="P18:Q18" si="29">IFERROR(P17/P19,0)</f>
        <v>-0.53613333781603001</v>
      </c>
      <c r="Q18" s="60">
        <f t="shared" si="29"/>
        <v>-0.41424129250917224</v>
      </c>
      <c r="R18" s="61">
        <f t="shared" ref="R18:T18" si="30">IFERROR(R17/R19,0)</f>
        <v>-0.46663805529013541</v>
      </c>
      <c r="S18" s="60">
        <f t="shared" si="30"/>
        <v>-0.47262090421868436</v>
      </c>
      <c r="T18" s="60">
        <f t="shared" si="30"/>
        <v>-0.55529333219473187</v>
      </c>
      <c r="U18" s="62"/>
    </row>
    <row r="19" spans="1:21" s="8" customFormat="1" x14ac:dyDescent="0.15">
      <c r="A19" s="8" t="s">
        <v>17</v>
      </c>
      <c r="B19" s="22">
        <v>18.574000000000002</v>
      </c>
      <c r="C19" s="23">
        <v>18.802</v>
      </c>
      <c r="D19" s="23">
        <v>19.173999999999999</v>
      </c>
      <c r="E19" s="23">
        <v>19.596</v>
      </c>
      <c r="F19" s="22">
        <v>39.783000000000001</v>
      </c>
      <c r="G19" s="23">
        <v>93.575999999999993</v>
      </c>
      <c r="H19" s="23">
        <v>95.474000000000004</v>
      </c>
      <c r="I19" s="23">
        <v>100.96899999999999</v>
      </c>
      <c r="J19" s="22">
        <v>104.203</v>
      </c>
      <c r="K19" s="23">
        <v>106.702</v>
      </c>
      <c r="L19" s="23">
        <v>108.776</v>
      </c>
      <c r="M19" s="23">
        <v>110.223</v>
      </c>
      <c r="N19" s="22">
        <v>112.682</v>
      </c>
      <c r="O19" s="23">
        <v>115.033</v>
      </c>
      <c r="P19" s="51">
        <v>118.976</v>
      </c>
      <c r="Q19" s="51">
        <v>121.562</v>
      </c>
      <c r="R19" s="22">
        <v>123.494</v>
      </c>
      <c r="S19" s="51">
        <v>126.319</v>
      </c>
      <c r="T19" s="51">
        <v>128.81299999999999</v>
      </c>
      <c r="U19" s="51"/>
    </row>
    <row r="20" spans="1:21" s="42" customFormat="1" x14ac:dyDescent="0.15">
      <c r="B20" s="41"/>
      <c r="C20" s="40"/>
      <c r="D20" s="40"/>
      <c r="E20" s="40"/>
      <c r="F20" s="41"/>
      <c r="G20" s="40"/>
      <c r="H20" s="40"/>
      <c r="I20" s="40"/>
      <c r="J20" s="57"/>
      <c r="M20" s="40"/>
      <c r="N20" s="57"/>
      <c r="R20" s="57"/>
    </row>
    <row r="21" spans="1:21" x14ac:dyDescent="0.15">
      <c r="A21" s="6" t="s">
        <v>19</v>
      </c>
      <c r="B21" s="35">
        <f t="shared" ref="B21:T21" si="31">IFERROR(B8/B6,0)</f>
        <v>0.61056406707144439</v>
      </c>
      <c r="C21" s="34">
        <f t="shared" si="31"/>
        <v>0.63190511806816962</v>
      </c>
      <c r="D21" s="34">
        <f t="shared" si="31"/>
        <v>0.66646169855497484</v>
      </c>
      <c r="E21" s="34">
        <f t="shared" si="31"/>
        <v>0.67867677181482999</v>
      </c>
      <c r="F21" s="35">
        <f t="shared" si="31"/>
        <v>0.66625895843287153</v>
      </c>
      <c r="G21" s="34">
        <f t="shared" si="31"/>
        <v>0.67337659104864001</v>
      </c>
      <c r="H21" s="34">
        <f t="shared" si="31"/>
        <v>0.68431199653270758</v>
      </c>
      <c r="I21" s="34">
        <f t="shared" si="31"/>
        <v>0.7081581269791829</v>
      </c>
      <c r="J21" s="35">
        <f t="shared" si="31"/>
        <v>0.71171117303069797</v>
      </c>
      <c r="K21" s="34">
        <f t="shared" si="31"/>
        <v>0.70156259911614827</v>
      </c>
      <c r="L21" s="34">
        <f t="shared" si="31"/>
        <v>0.71868606501477605</v>
      </c>
      <c r="M21" s="34">
        <f t="shared" si="31"/>
        <v>0.7281914939681825</v>
      </c>
      <c r="N21" s="35">
        <f t="shared" si="31"/>
        <v>0.71973998386877813</v>
      </c>
      <c r="O21" s="34">
        <f t="shared" si="31"/>
        <v>0.72394646924829154</v>
      </c>
      <c r="P21" s="34">
        <f t="shared" si="31"/>
        <v>0.73324098093925005</v>
      </c>
      <c r="Q21" s="34">
        <f t="shared" si="31"/>
        <v>0.73296001243074937</v>
      </c>
      <c r="R21" s="35">
        <f t="shared" si="31"/>
        <v>0.73484488048168273</v>
      </c>
      <c r="S21" s="34">
        <f t="shared" si="31"/>
        <v>0.74483402013509881</v>
      </c>
      <c r="T21" s="34">
        <f t="shared" si="31"/>
        <v>0.73820838259445487</v>
      </c>
      <c r="U21" s="34"/>
    </row>
    <row r="22" spans="1:21" x14ac:dyDescent="0.15">
      <c r="A22" s="6" t="s">
        <v>20</v>
      </c>
      <c r="B22" s="37">
        <f t="shared" ref="B22:T22" si="32">IFERROR(B13/B6,0)</f>
        <v>-0.71073080190014781</v>
      </c>
      <c r="C22" s="36">
        <f t="shared" si="32"/>
        <v>-0.54343412757773268</v>
      </c>
      <c r="D22" s="36">
        <f t="shared" si="32"/>
        <v>-0.51604663812879881</v>
      </c>
      <c r="E22" s="36">
        <f t="shared" si="32"/>
        <v>-0.36597705858254809</v>
      </c>
      <c r="F22" s="37">
        <f t="shared" si="32"/>
        <v>-0.51864309603440029</v>
      </c>
      <c r="G22" s="36">
        <f t="shared" si="32"/>
        <v>-0.43849051593952776</v>
      </c>
      <c r="H22" s="36">
        <f t="shared" si="32"/>
        <v>-0.52625128902572083</v>
      </c>
      <c r="I22" s="36">
        <f t="shared" si="32"/>
        <v>-0.30414525255671498</v>
      </c>
      <c r="J22" s="37">
        <f t="shared" si="32"/>
        <v>-0.29282118128221385</v>
      </c>
      <c r="K22" s="36">
        <f t="shared" si="32"/>
        <v>-0.40853826147632838</v>
      </c>
      <c r="L22" s="36">
        <f t="shared" si="32"/>
        <v>-0.27585814957944998</v>
      </c>
      <c r="M22" s="36">
        <f t="shared" si="32"/>
        <v>-0.24174901057408346</v>
      </c>
      <c r="N22" s="37">
        <f t="shared" si="32"/>
        <v>-0.41423700118987727</v>
      </c>
      <c r="O22" s="36">
        <f t="shared" si="32"/>
        <v>-0.30822892938496593</v>
      </c>
      <c r="P22" s="36">
        <f t="shared" si="32"/>
        <v>-0.29918908499251806</v>
      </c>
      <c r="Q22" s="36">
        <f t="shared" si="32"/>
        <v>-0.26508573033640714</v>
      </c>
      <c r="R22" s="37">
        <f t="shared" si="32"/>
        <v>-0.28233228881269162</v>
      </c>
      <c r="S22" s="36">
        <f t="shared" si="32"/>
        <v>-0.22300769284495572</v>
      </c>
      <c r="T22" s="36">
        <f t="shared" si="32"/>
        <v>-0.2370468168498337</v>
      </c>
      <c r="U22" s="36"/>
    </row>
    <row r="23" spans="1:21" x14ac:dyDescent="0.15">
      <c r="A23" s="6" t="s">
        <v>21</v>
      </c>
      <c r="B23" s="37">
        <f t="shared" ref="B23:T23" si="33">IFERROR(B16/B15,0)</f>
        <v>0</v>
      </c>
      <c r="C23" s="36">
        <f t="shared" si="33"/>
        <v>0</v>
      </c>
      <c r="D23" s="36">
        <f t="shared" si="33"/>
        <v>0</v>
      </c>
      <c r="E23" s="36">
        <f t="shared" si="33"/>
        <v>-5.5969105054010197E-2</v>
      </c>
      <c r="F23" s="37">
        <f t="shared" si="33"/>
        <v>0</v>
      </c>
      <c r="G23" s="36">
        <f t="shared" si="33"/>
        <v>0</v>
      </c>
      <c r="H23" s="36">
        <f t="shared" si="33"/>
        <v>2.9229510113410496E-2</v>
      </c>
      <c r="I23" s="36">
        <f t="shared" si="33"/>
        <v>0</v>
      </c>
      <c r="J23" s="37">
        <f t="shared" si="33"/>
        <v>0</v>
      </c>
      <c r="K23" s="36">
        <f t="shared" si="33"/>
        <v>2.4605088332267114E-2</v>
      </c>
      <c r="L23" s="36">
        <f t="shared" si="33"/>
        <v>3.2129546330805801E-2</v>
      </c>
      <c r="M23" s="36">
        <f t="shared" si="33"/>
        <v>-6.9168251772436476E-2</v>
      </c>
      <c r="N23" s="37">
        <f t="shared" si="33"/>
        <v>1.8913602663035253E-2</v>
      </c>
      <c r="O23" s="36">
        <f t="shared" si="33"/>
        <v>4.5146726862302471E-2</v>
      </c>
      <c r="P23" s="36">
        <f t="shared" si="33"/>
        <v>0</v>
      </c>
      <c r="Q23" s="36">
        <f t="shared" si="33"/>
        <v>-2.0260961179998382E-2</v>
      </c>
      <c r="R23" s="37">
        <f t="shared" si="33"/>
        <v>0</v>
      </c>
      <c r="S23" s="36">
        <f t="shared" si="33"/>
        <v>0</v>
      </c>
      <c r="T23" s="36">
        <f t="shared" si="33"/>
        <v>0</v>
      </c>
      <c r="U23" s="36"/>
    </row>
    <row r="24" spans="1:21" s="42" customFormat="1" x14ac:dyDescent="0.15">
      <c r="B24" s="41"/>
      <c r="C24" s="40"/>
      <c r="D24" s="40"/>
      <c r="E24" s="40"/>
      <c r="F24" s="41"/>
      <c r="G24" s="40"/>
      <c r="H24" s="40"/>
      <c r="I24" s="40"/>
      <c r="J24" s="57"/>
      <c r="M24" s="40"/>
      <c r="N24" s="57"/>
      <c r="R24" s="57"/>
    </row>
    <row r="25" spans="1:21" s="12" customFormat="1" x14ac:dyDescent="0.15">
      <c r="A25" s="12" t="s">
        <v>18</v>
      </c>
      <c r="B25" s="41"/>
      <c r="C25" s="40"/>
      <c r="D25" s="40"/>
      <c r="E25" s="40"/>
      <c r="F25" s="31">
        <f t="shared" ref="F25:U25" si="34">IFERROR((F6/B6)-1,0)</f>
        <v>0.64611319092710873</v>
      </c>
      <c r="G25" s="30">
        <f t="shared" si="34"/>
        <v>0.60965380916764622</v>
      </c>
      <c r="H25" s="30">
        <f t="shared" si="34"/>
        <v>0.58245630631695944</v>
      </c>
      <c r="I25" s="30">
        <f t="shared" si="34"/>
        <v>0.57828758705448569</v>
      </c>
      <c r="J25" s="31">
        <f t="shared" si="34"/>
        <v>0.59810797897754409</v>
      </c>
      <c r="K25" s="30">
        <f t="shared" si="34"/>
        <v>0.56965764450123624</v>
      </c>
      <c r="L25" s="30">
        <f t="shared" si="34"/>
        <v>0.57785715353230405</v>
      </c>
      <c r="M25" s="30">
        <f t="shared" si="34"/>
        <v>0.49861132741525216</v>
      </c>
      <c r="N25" s="31">
        <f t="shared" si="34"/>
        <v>0.49750660719197337</v>
      </c>
      <c r="O25" s="30">
        <f t="shared" si="34"/>
        <v>0.48520922758124874</v>
      </c>
      <c r="P25" s="30">
        <f t="shared" si="34"/>
        <v>0.44954345684625308</v>
      </c>
      <c r="Q25" s="30">
        <f t="shared" si="34"/>
        <v>0.44908245360306909</v>
      </c>
      <c r="R25" s="31">
        <f t="shared" si="34"/>
        <v>0.46026688387915971</v>
      </c>
      <c r="S25" s="30">
        <f t="shared" si="34"/>
        <v>0.42686503416856492</v>
      </c>
      <c r="T25" s="30">
        <f t="shared" si="34"/>
        <v>0.42043427406444178</v>
      </c>
      <c r="U25" s="30">
        <f t="shared" si="34"/>
        <v>0.34209960137933537</v>
      </c>
    </row>
    <row r="26" spans="1:21" s="12" customFormat="1" x14ac:dyDescent="0.15">
      <c r="A26" s="6" t="s">
        <v>34</v>
      </c>
      <c r="B26" s="41"/>
      <c r="C26" s="40"/>
      <c r="D26" s="40"/>
      <c r="E26" s="40"/>
      <c r="F26" s="33">
        <f t="shared" ref="F26:T29" si="35">F9/B9-1</f>
        <v>0.66666666666666674</v>
      </c>
      <c r="G26" s="32">
        <f t="shared" si="35"/>
        <v>0.7</v>
      </c>
      <c r="H26" s="32">
        <f t="shared" si="35"/>
        <v>0.89999999999999991</v>
      </c>
      <c r="I26" s="32">
        <f t="shared" si="35"/>
        <v>0.72727272727272729</v>
      </c>
      <c r="J26" s="33">
        <f t="shared" si="35"/>
        <v>0.33333333333333326</v>
      </c>
      <c r="K26" s="32">
        <f t="shared" si="35"/>
        <v>0.47058823529411775</v>
      </c>
      <c r="L26" s="32">
        <f t="shared" si="35"/>
        <v>0.47368421052631571</v>
      </c>
      <c r="M26" s="32">
        <f t="shared" si="35"/>
        <v>0.57894736842105265</v>
      </c>
      <c r="N26" s="33">
        <f t="shared" si="35"/>
        <v>0.7</v>
      </c>
      <c r="O26" s="32">
        <f t="shared" si="35"/>
        <v>0.60000000000000009</v>
      </c>
      <c r="P26" s="32">
        <f t="shared" si="35"/>
        <v>0.5</v>
      </c>
      <c r="Q26" s="32">
        <f t="shared" si="35"/>
        <v>0.43333333333333335</v>
      </c>
      <c r="R26" s="33">
        <f t="shared" si="35"/>
        <v>0.41176470588235303</v>
      </c>
      <c r="S26" s="32">
        <f t="shared" si="35"/>
        <v>0.35000000000000009</v>
      </c>
      <c r="T26" s="32">
        <f t="shared" si="35"/>
        <v>0.38095238095238093</v>
      </c>
      <c r="U26" s="32"/>
    </row>
    <row r="27" spans="1:21" s="12" customFormat="1" x14ac:dyDescent="0.15">
      <c r="A27" s="6" t="s">
        <v>35</v>
      </c>
      <c r="B27" s="41"/>
      <c r="C27" s="40"/>
      <c r="D27" s="40"/>
      <c r="E27" s="40"/>
      <c r="F27" s="33">
        <f t="shared" si="35"/>
        <v>0.34615384615384626</v>
      </c>
      <c r="G27" s="32">
        <f t="shared" si="35"/>
        <v>0.35714285714285721</v>
      </c>
      <c r="H27" s="32">
        <f t="shared" si="35"/>
        <v>0.5</v>
      </c>
      <c r="I27" s="32">
        <f t="shared" si="35"/>
        <v>0.41935483870967749</v>
      </c>
      <c r="J27" s="33">
        <f t="shared" si="35"/>
        <v>0.39999999999999991</v>
      </c>
      <c r="K27" s="32">
        <f t="shared" si="35"/>
        <v>0.55263157894736836</v>
      </c>
      <c r="L27" s="32">
        <f t="shared" si="35"/>
        <v>0.1875</v>
      </c>
      <c r="M27" s="32">
        <f t="shared" si="35"/>
        <v>0.43181818181818188</v>
      </c>
      <c r="N27" s="33">
        <f t="shared" si="35"/>
        <v>0.67346938775510212</v>
      </c>
      <c r="O27" s="32">
        <f t="shared" si="35"/>
        <v>0.32203389830508478</v>
      </c>
      <c r="P27" s="32">
        <f t="shared" si="35"/>
        <v>0.52631578947368429</v>
      </c>
      <c r="Q27" s="32">
        <f t="shared" si="35"/>
        <v>0.47619047619047628</v>
      </c>
      <c r="R27" s="33">
        <f t="shared" si="35"/>
        <v>0.26829268292682928</v>
      </c>
      <c r="S27" s="32">
        <f t="shared" si="35"/>
        <v>0.25641025641025639</v>
      </c>
      <c r="T27" s="32">
        <f t="shared" si="35"/>
        <v>0.26436781609195403</v>
      </c>
      <c r="U27" s="32"/>
    </row>
    <row r="28" spans="1:21" s="12" customFormat="1" x14ac:dyDescent="0.15">
      <c r="A28" s="6" t="s">
        <v>36</v>
      </c>
      <c r="B28" s="41"/>
      <c r="C28" s="40"/>
      <c r="D28" s="40"/>
      <c r="E28" s="40"/>
      <c r="F28" s="33">
        <f t="shared" si="35"/>
        <v>0.71428571428571419</v>
      </c>
      <c r="G28" s="32">
        <f t="shared" si="35"/>
        <v>1</v>
      </c>
      <c r="H28" s="32">
        <f t="shared" si="35"/>
        <v>0.75</v>
      </c>
      <c r="I28" s="32">
        <f t="shared" si="35"/>
        <v>0.66666666666666674</v>
      </c>
      <c r="J28" s="33">
        <f t="shared" si="35"/>
        <v>0.25</v>
      </c>
      <c r="K28" s="32">
        <f t="shared" si="35"/>
        <v>0.75</v>
      </c>
      <c r="L28" s="32">
        <f t="shared" si="35"/>
        <v>0.4285714285714286</v>
      </c>
      <c r="M28" s="32">
        <f t="shared" si="35"/>
        <v>0.26666666666666661</v>
      </c>
      <c r="N28" s="33">
        <f t="shared" si="35"/>
        <v>0.73333333333333339</v>
      </c>
      <c r="O28" s="32">
        <f t="shared" si="35"/>
        <v>0.28571428571428581</v>
      </c>
      <c r="P28" s="32">
        <f t="shared" si="35"/>
        <v>0.44999999999999996</v>
      </c>
      <c r="Q28" s="32">
        <f t="shared" si="35"/>
        <v>0.63157894736842102</v>
      </c>
      <c r="R28" s="33">
        <f t="shared" si="35"/>
        <v>0.30769230769230771</v>
      </c>
      <c r="S28" s="32">
        <f t="shared" si="35"/>
        <v>0.55555555555555558</v>
      </c>
      <c r="T28" s="32">
        <f t="shared" si="35"/>
        <v>0.51724137931034475</v>
      </c>
      <c r="U28" s="32"/>
    </row>
    <row r="29" spans="1:21" x14ac:dyDescent="0.15">
      <c r="A29" s="6" t="s">
        <v>64</v>
      </c>
      <c r="B29" s="41"/>
      <c r="C29" s="40"/>
      <c r="D29" s="40"/>
      <c r="E29" s="40"/>
      <c r="F29" s="35">
        <f t="shared" si="35"/>
        <v>0.47619047619047628</v>
      </c>
      <c r="G29" s="34">
        <f t="shared" si="35"/>
        <v>0.52272727272727271</v>
      </c>
      <c r="H29" s="34">
        <f t="shared" si="35"/>
        <v>0.62000000000000011</v>
      </c>
      <c r="I29" s="34">
        <f t="shared" si="35"/>
        <v>0.52941176470588225</v>
      </c>
      <c r="J29" s="35">
        <f t="shared" si="35"/>
        <v>0.35483870967741926</v>
      </c>
      <c r="K29" s="34">
        <f t="shared" si="35"/>
        <v>0.56716417910447769</v>
      </c>
      <c r="L29" s="34">
        <f t="shared" si="35"/>
        <v>0.29629629629629628</v>
      </c>
      <c r="M29" s="34">
        <f t="shared" si="35"/>
        <v>0.4358974358974359</v>
      </c>
      <c r="N29" s="35">
        <f t="shared" si="35"/>
        <v>0.69047619047619047</v>
      </c>
      <c r="O29" s="34">
        <f t="shared" si="35"/>
        <v>0.38095238095238093</v>
      </c>
      <c r="P29" s="34">
        <f t="shared" si="35"/>
        <v>0.50476190476190474</v>
      </c>
      <c r="Q29" s="34">
        <f t="shared" si="35"/>
        <v>0.4910714285714286</v>
      </c>
      <c r="R29" s="35">
        <f t="shared" si="35"/>
        <v>0.3098591549295775</v>
      </c>
      <c r="S29" s="34">
        <f t="shared" si="35"/>
        <v>0.33793103448275863</v>
      </c>
      <c r="T29" s="34">
        <f t="shared" si="35"/>
        <v>0.34177215189873422</v>
      </c>
      <c r="U29" s="34"/>
    </row>
    <row r="30" spans="1:21" x14ac:dyDescent="0.15">
      <c r="F30" s="46"/>
      <c r="G30" s="45"/>
      <c r="H30" s="45"/>
      <c r="I30" s="45"/>
      <c r="J30" s="46"/>
      <c r="K30" s="45"/>
      <c r="L30" s="45"/>
      <c r="M30" s="45"/>
      <c r="O30" s="45"/>
    </row>
    <row r="31" spans="1:21" s="17" customFormat="1" x14ac:dyDescent="0.15">
      <c r="A31" s="17" t="s">
        <v>22</v>
      </c>
      <c r="B31" s="22"/>
      <c r="C31" s="23"/>
      <c r="D31" s="23"/>
      <c r="E31" s="24">
        <f t="shared" ref="E31" si="36">E32-E33</f>
        <v>-191</v>
      </c>
      <c r="F31" s="22"/>
      <c r="G31" s="23"/>
      <c r="H31" s="23"/>
      <c r="I31" s="24">
        <f t="shared" ref="I31" si="37">I32-I33</f>
        <v>230</v>
      </c>
      <c r="J31" s="21"/>
      <c r="K31" s="45"/>
      <c r="L31" s="20"/>
      <c r="M31" s="24">
        <f t="shared" ref="M31" si="38">M32-M33</f>
        <v>291</v>
      </c>
      <c r="N31" s="21"/>
      <c r="O31" s="45"/>
      <c r="P31" s="20"/>
      <c r="Q31" s="24">
        <f t="shared" ref="Q31" si="39">Q32-Q33</f>
        <v>465</v>
      </c>
      <c r="R31" s="25">
        <f t="shared" ref="R31:T31" si="40">R32-R33</f>
        <v>499</v>
      </c>
      <c r="S31" s="24">
        <f t="shared" si="40"/>
        <v>781</v>
      </c>
      <c r="T31" s="24">
        <f t="shared" si="40"/>
        <v>750</v>
      </c>
      <c r="U31" s="47"/>
    </row>
    <row r="32" spans="1:21" s="8" customFormat="1" x14ac:dyDescent="0.15">
      <c r="A32" s="8" t="s">
        <v>23</v>
      </c>
      <c r="B32" s="22"/>
      <c r="C32" s="23"/>
      <c r="D32" s="23"/>
      <c r="E32" s="23">
        <f>23+14</f>
        <v>37</v>
      </c>
      <c r="F32" s="22"/>
      <c r="G32" s="23"/>
      <c r="H32" s="23"/>
      <c r="I32" s="23">
        <f>128+102</f>
        <v>230</v>
      </c>
      <c r="J32" s="22"/>
      <c r="K32" s="23"/>
      <c r="L32" s="23"/>
      <c r="M32" s="23">
        <f>298+265</f>
        <v>563</v>
      </c>
      <c r="N32" s="22"/>
      <c r="O32" s="23"/>
      <c r="P32" s="23"/>
      <c r="Q32" s="23">
        <f>520+883</f>
        <v>1403</v>
      </c>
      <c r="R32" s="22">
        <f>619+828</f>
        <v>1447</v>
      </c>
      <c r="S32" s="23">
        <f>957+1557</f>
        <v>2514</v>
      </c>
      <c r="T32" s="23">
        <f>410+2085</f>
        <v>2495</v>
      </c>
      <c r="U32" s="23"/>
    </row>
    <row r="33" spans="1:21" s="8" customFormat="1" x14ac:dyDescent="0.15">
      <c r="A33" s="8" t="s">
        <v>24</v>
      </c>
      <c r="B33" s="22"/>
      <c r="C33" s="23"/>
      <c r="D33" s="23"/>
      <c r="E33" s="23">
        <v>228</v>
      </c>
      <c r="F33" s="22"/>
      <c r="G33" s="23"/>
      <c r="H33" s="23"/>
      <c r="I33" s="23">
        <v>0</v>
      </c>
      <c r="J33" s="22"/>
      <c r="K33" s="23"/>
      <c r="L33" s="23"/>
      <c r="M33" s="23">
        <v>272</v>
      </c>
      <c r="N33" s="22"/>
      <c r="O33" s="23"/>
      <c r="P33" s="23"/>
      <c r="Q33" s="23">
        <f>101+837</f>
        <v>938</v>
      </c>
      <c r="R33" s="22">
        <f>102+846</f>
        <v>948</v>
      </c>
      <c r="S33" s="23">
        <f>44+1689</f>
        <v>1733</v>
      </c>
      <c r="T33" s="23">
        <f>35+1710</f>
        <v>1745</v>
      </c>
      <c r="U33" s="23"/>
    </row>
    <row r="34" spans="1:21" s="8" customFormat="1" x14ac:dyDescent="0.15">
      <c r="B34" s="22"/>
      <c r="C34" s="23"/>
      <c r="D34" s="23"/>
      <c r="E34" s="23"/>
      <c r="F34" s="22"/>
      <c r="G34" s="23"/>
      <c r="H34" s="23"/>
      <c r="I34" s="23"/>
      <c r="J34" s="22"/>
      <c r="K34" s="23"/>
      <c r="L34" s="23"/>
      <c r="M34" s="23"/>
      <c r="N34" s="22"/>
      <c r="O34" s="23"/>
      <c r="P34" s="23"/>
      <c r="Q34" s="23"/>
      <c r="R34" s="22"/>
      <c r="S34" s="23"/>
      <c r="T34" s="23"/>
      <c r="U34" s="23"/>
    </row>
    <row r="35" spans="1:21" s="8" customFormat="1" x14ac:dyDescent="0.15">
      <c r="A35" s="63" t="s">
        <v>48</v>
      </c>
      <c r="B35" s="22"/>
      <c r="C35" s="23"/>
      <c r="D35" s="23"/>
      <c r="E35" s="38">
        <f>9+3</f>
        <v>12</v>
      </c>
      <c r="F35" s="22"/>
      <c r="G35" s="23"/>
      <c r="H35" s="23"/>
      <c r="I35" s="38">
        <f>12+6</f>
        <v>18</v>
      </c>
      <c r="J35" s="22"/>
      <c r="K35" s="23"/>
      <c r="L35" s="23"/>
      <c r="M35" s="23">
        <f>14+18</f>
        <v>32</v>
      </c>
      <c r="N35" s="22"/>
      <c r="O35" s="23"/>
      <c r="P35" s="23"/>
      <c r="Q35" s="23">
        <f>33+48</f>
        <v>81</v>
      </c>
      <c r="R35" s="22">
        <f>31+48</f>
        <v>79</v>
      </c>
      <c r="S35" s="23">
        <f>30+48</f>
        <v>78</v>
      </c>
      <c r="T35" s="23">
        <f>29+48</f>
        <v>77</v>
      </c>
      <c r="U35" s="23"/>
    </row>
    <row r="36" spans="1:21" s="8" customFormat="1" x14ac:dyDescent="0.15">
      <c r="A36" s="63" t="s">
        <v>49</v>
      </c>
      <c r="B36" s="22"/>
      <c r="C36" s="23"/>
      <c r="D36" s="23"/>
      <c r="E36" s="38">
        <v>131</v>
      </c>
      <c r="F36" s="22"/>
      <c r="G36" s="23"/>
      <c r="H36" s="23"/>
      <c r="I36" s="38">
        <v>399</v>
      </c>
      <c r="J36" s="22"/>
      <c r="K36" s="23"/>
      <c r="L36" s="23"/>
      <c r="M36" s="23">
        <v>984</v>
      </c>
      <c r="N36" s="22"/>
      <c r="O36" s="23"/>
      <c r="P36" s="23"/>
      <c r="Q36" s="23">
        <v>1955</v>
      </c>
      <c r="R36" s="22">
        <v>2037</v>
      </c>
      <c r="S36" s="23">
        <v>3115</v>
      </c>
      <c r="T36" s="23">
        <v>3170</v>
      </c>
      <c r="U36" s="23"/>
    </row>
    <row r="37" spans="1:21" s="8" customFormat="1" x14ac:dyDescent="0.15">
      <c r="A37" s="63" t="s">
        <v>50</v>
      </c>
      <c r="B37" s="22"/>
      <c r="C37" s="23"/>
      <c r="D37" s="23"/>
      <c r="E37" s="38">
        <v>146</v>
      </c>
      <c r="F37" s="22"/>
      <c r="G37" s="23"/>
      <c r="H37" s="23"/>
      <c r="I37" s="38">
        <v>200</v>
      </c>
      <c r="J37" s="22"/>
      <c r="K37" s="23"/>
      <c r="L37" s="23"/>
      <c r="M37" s="23">
        <v>732</v>
      </c>
      <c r="N37" s="22"/>
      <c r="O37" s="23"/>
      <c r="P37" s="23"/>
      <c r="Q37" s="23">
        <v>1550</v>
      </c>
      <c r="R37" s="22">
        <v>1624</v>
      </c>
      <c r="S37" s="23">
        <v>2430</v>
      </c>
      <c r="T37" s="23">
        <v>2490</v>
      </c>
      <c r="U37" s="23"/>
    </row>
    <row r="38" spans="1:21" s="8" customFormat="1" x14ac:dyDescent="0.15">
      <c r="B38" s="22"/>
      <c r="C38" s="23"/>
      <c r="D38" s="23"/>
      <c r="E38" s="38"/>
      <c r="F38" s="22"/>
      <c r="G38" s="23"/>
      <c r="H38" s="23"/>
      <c r="I38" s="38"/>
      <c r="J38" s="22"/>
      <c r="K38" s="23"/>
      <c r="L38" s="23"/>
      <c r="M38" s="23"/>
      <c r="N38" s="22"/>
      <c r="O38" s="23"/>
      <c r="P38" s="23"/>
      <c r="Q38" s="23"/>
      <c r="R38" s="22"/>
      <c r="S38" s="23"/>
      <c r="T38" s="23"/>
      <c r="U38" s="23"/>
    </row>
    <row r="39" spans="1:21" s="8" customFormat="1" x14ac:dyDescent="0.15">
      <c r="A39" s="63" t="s">
        <v>51</v>
      </c>
      <c r="B39" s="22"/>
      <c r="C39" s="23"/>
      <c r="D39" s="23"/>
      <c r="E39" s="27">
        <f t="shared" ref="E39:I39" si="41">E36-E32-E35</f>
        <v>82</v>
      </c>
      <c r="F39" s="22"/>
      <c r="G39" s="23"/>
      <c r="H39" s="23"/>
      <c r="I39" s="27">
        <f t="shared" si="41"/>
        <v>151</v>
      </c>
      <c r="J39" s="21"/>
      <c r="K39" s="45"/>
      <c r="L39" s="20"/>
      <c r="M39" s="27">
        <f t="shared" ref="M39:R39" si="42">M36-M32-M35</f>
        <v>389</v>
      </c>
      <c r="N39" s="21"/>
      <c r="O39" s="45"/>
      <c r="P39" s="20"/>
      <c r="Q39" s="27">
        <f t="shared" si="42"/>
        <v>471</v>
      </c>
      <c r="R39" s="28">
        <f t="shared" si="42"/>
        <v>511</v>
      </c>
      <c r="S39" s="27">
        <f t="shared" ref="S39:T39" si="43">S36-S32-S35</f>
        <v>523</v>
      </c>
      <c r="T39" s="27">
        <f t="shared" si="43"/>
        <v>598</v>
      </c>
      <c r="U39" s="23"/>
    </row>
    <row r="40" spans="1:21" s="8" customFormat="1" x14ac:dyDescent="0.15">
      <c r="A40" s="63" t="s">
        <v>52</v>
      </c>
      <c r="B40" s="22"/>
      <c r="C40" s="23"/>
      <c r="D40" s="23"/>
      <c r="E40" s="27">
        <f>E36-E37</f>
        <v>-15</v>
      </c>
      <c r="F40" s="22"/>
      <c r="G40" s="23"/>
      <c r="H40" s="23"/>
      <c r="I40" s="27">
        <f t="shared" ref="I40" si="44">I36-I37</f>
        <v>199</v>
      </c>
      <c r="J40" s="21"/>
      <c r="K40" s="45"/>
      <c r="L40" s="20"/>
      <c r="M40" s="27">
        <f t="shared" ref="M40" si="45">M36-M37</f>
        <v>252</v>
      </c>
      <c r="N40" s="21"/>
      <c r="O40" s="45"/>
      <c r="P40" s="20"/>
      <c r="Q40" s="27">
        <f>Q36-Q37</f>
        <v>405</v>
      </c>
      <c r="R40" s="28">
        <f t="shared" ref="R40" si="46">R36-R37</f>
        <v>413</v>
      </c>
      <c r="S40" s="27">
        <f>S36-S37</f>
        <v>685</v>
      </c>
      <c r="T40" s="27">
        <f>T36-T37</f>
        <v>680</v>
      </c>
      <c r="U40" s="23"/>
    </row>
    <row r="41" spans="1:21" s="8" customFormat="1" x14ac:dyDescent="0.15">
      <c r="B41" s="22"/>
      <c r="C41" s="23"/>
      <c r="D41" s="23"/>
      <c r="E41" s="38"/>
      <c r="F41" s="22"/>
      <c r="G41" s="23"/>
      <c r="H41" s="23"/>
      <c r="I41" s="38"/>
      <c r="J41" s="22"/>
      <c r="K41" s="23"/>
      <c r="L41" s="23"/>
      <c r="M41" s="23"/>
      <c r="N41" s="22"/>
      <c r="O41" s="23"/>
      <c r="P41" s="23"/>
      <c r="Q41" s="23"/>
      <c r="R41" s="22"/>
      <c r="S41" s="23"/>
      <c r="T41" s="23"/>
      <c r="U41" s="23"/>
    </row>
    <row r="42" spans="1:21" s="17" customFormat="1" x14ac:dyDescent="0.15">
      <c r="A42" s="64" t="s">
        <v>53</v>
      </c>
      <c r="B42" s="22"/>
      <c r="C42" s="23"/>
      <c r="D42" s="23"/>
      <c r="E42" s="24">
        <f>SUM(B17:E17)</f>
        <v>-83.62299999999999</v>
      </c>
      <c r="F42" s="22"/>
      <c r="G42" s="23"/>
      <c r="H42" s="23"/>
      <c r="I42" s="24">
        <f t="shared" ref="I42:Q42" si="47">SUM(F17:I17)</f>
        <v>-109.208</v>
      </c>
      <c r="J42" s="25">
        <f t="shared" si="47"/>
        <v>-107.55600000000001</v>
      </c>
      <c r="K42" s="24">
        <f t="shared" si="47"/>
        <v>-120.77500000000001</v>
      </c>
      <c r="L42" s="24">
        <f t="shared" si="47"/>
        <v>-117.68700000000001</v>
      </c>
      <c r="M42" s="24">
        <f t="shared" si="47"/>
        <v>-126.167</v>
      </c>
      <c r="N42" s="25">
        <f t="shared" si="47"/>
        <v>-152.553</v>
      </c>
      <c r="O42" s="24">
        <f t="shared" si="47"/>
        <v>-155.21100000000001</v>
      </c>
      <c r="P42" s="24">
        <f t="shared" si="47"/>
        <v>-188.874</v>
      </c>
      <c r="Q42" s="24">
        <f t="shared" si="47"/>
        <v>-208.315</v>
      </c>
      <c r="R42" s="25">
        <f t="shared" ref="R42" si="48">SUM(O17:R17)</f>
        <v>-214.06999999999996</v>
      </c>
      <c r="S42" s="24">
        <f>SUM(P17:S17)</f>
        <v>-231.47099999999998</v>
      </c>
      <c r="T42" s="24">
        <f>SUM(Q17:T17)</f>
        <v>-239.21299999999997</v>
      </c>
      <c r="U42" s="47"/>
    </row>
    <row r="43" spans="1:21" x14ac:dyDescent="0.15">
      <c r="A43" s="18" t="s">
        <v>54</v>
      </c>
      <c r="E43" s="34">
        <f t="shared" ref="E43:K43" si="49">E42/E40</f>
        <v>5.574866666666666</v>
      </c>
      <c r="F43" s="22"/>
      <c r="G43" s="23"/>
      <c r="H43" s="23"/>
      <c r="I43" s="34">
        <f t="shared" si="49"/>
        <v>-0.54878391959798989</v>
      </c>
      <c r="J43" s="35" t="e">
        <f t="shared" si="49"/>
        <v>#DIV/0!</v>
      </c>
      <c r="K43" s="34" t="e">
        <f t="shared" si="49"/>
        <v>#DIV/0!</v>
      </c>
      <c r="L43" s="34" t="e">
        <f t="shared" ref="L43:R43" si="50">L42/L40</f>
        <v>#DIV/0!</v>
      </c>
      <c r="M43" s="34">
        <f t="shared" si="50"/>
        <v>-0.50066269841269839</v>
      </c>
      <c r="N43" s="35" t="e">
        <f t="shared" si="50"/>
        <v>#DIV/0!</v>
      </c>
      <c r="O43" s="34" t="e">
        <f t="shared" si="50"/>
        <v>#DIV/0!</v>
      </c>
      <c r="P43" s="34" t="e">
        <f t="shared" si="50"/>
        <v>#DIV/0!</v>
      </c>
      <c r="Q43" s="34">
        <f t="shared" si="50"/>
        <v>-0.51435802469135805</v>
      </c>
      <c r="R43" s="35">
        <f t="shared" si="50"/>
        <v>-0.51832929782082315</v>
      </c>
      <c r="S43" s="34">
        <f t="shared" ref="S43:T43" si="51">S42/S40</f>
        <v>-0.33791386861313866</v>
      </c>
      <c r="T43" s="34">
        <f t="shared" si="51"/>
        <v>-0.35178382352941173</v>
      </c>
    </row>
    <row r="44" spans="1:21" x14ac:dyDescent="0.15">
      <c r="A44" s="18" t="s">
        <v>55</v>
      </c>
      <c r="E44" s="34">
        <f t="shared" ref="E44:K44" si="52">E42/E36</f>
        <v>-0.6383435114503816</v>
      </c>
      <c r="F44" s="22"/>
      <c r="G44" s="23"/>
      <c r="H44" s="23"/>
      <c r="I44" s="34">
        <f t="shared" si="52"/>
        <v>-0.27370426065162906</v>
      </c>
      <c r="J44" s="35" t="e">
        <f t="shared" si="52"/>
        <v>#DIV/0!</v>
      </c>
      <c r="K44" s="34" t="e">
        <f t="shared" si="52"/>
        <v>#DIV/0!</v>
      </c>
      <c r="L44" s="34" t="e">
        <f t="shared" ref="L44:R44" si="53">L42/L36</f>
        <v>#DIV/0!</v>
      </c>
      <c r="M44" s="34">
        <f t="shared" si="53"/>
        <v>-0.12821849593495935</v>
      </c>
      <c r="N44" s="35" t="e">
        <f t="shared" si="53"/>
        <v>#DIV/0!</v>
      </c>
      <c r="O44" s="34" t="e">
        <f t="shared" si="53"/>
        <v>#DIV/0!</v>
      </c>
      <c r="P44" s="34" t="e">
        <f t="shared" si="53"/>
        <v>#DIV/0!</v>
      </c>
      <c r="Q44" s="34">
        <f t="shared" si="53"/>
        <v>-0.10655498721227621</v>
      </c>
      <c r="R44" s="35">
        <f t="shared" si="53"/>
        <v>-0.10509081983308785</v>
      </c>
      <c r="S44" s="34">
        <f t="shared" ref="S44:T44" si="54">S42/S36</f>
        <v>-7.4308507223113954E-2</v>
      </c>
      <c r="T44" s="34">
        <f t="shared" si="54"/>
        <v>-7.5461514195583584E-2</v>
      </c>
    </row>
    <row r="45" spans="1:21" x14ac:dyDescent="0.15">
      <c r="A45" s="18" t="s">
        <v>56</v>
      </c>
      <c r="E45" s="34">
        <f t="shared" ref="E45:K45" si="55">E42/(E40-E35)</f>
        <v>3.0971481481481478</v>
      </c>
      <c r="F45" s="22"/>
      <c r="G45" s="23"/>
      <c r="H45" s="23"/>
      <c r="I45" s="34">
        <f t="shared" si="55"/>
        <v>-0.60335911602209946</v>
      </c>
      <c r="J45" s="35" t="e">
        <f t="shared" si="55"/>
        <v>#DIV/0!</v>
      </c>
      <c r="K45" s="34" t="e">
        <f t="shared" si="55"/>
        <v>#DIV/0!</v>
      </c>
      <c r="L45" s="34" t="e">
        <f t="shared" ref="L45:R45" si="56">L42/(L40-L35)</f>
        <v>#DIV/0!</v>
      </c>
      <c r="M45" s="34">
        <f t="shared" si="56"/>
        <v>-0.57348636363636363</v>
      </c>
      <c r="N45" s="35" t="e">
        <f t="shared" si="56"/>
        <v>#DIV/0!</v>
      </c>
      <c r="O45" s="34" t="e">
        <f t="shared" si="56"/>
        <v>#DIV/0!</v>
      </c>
      <c r="P45" s="34" t="e">
        <f t="shared" si="56"/>
        <v>#DIV/0!</v>
      </c>
      <c r="Q45" s="34">
        <f t="shared" si="56"/>
        <v>-0.64294753086419754</v>
      </c>
      <c r="R45" s="35">
        <f t="shared" si="56"/>
        <v>-0.64092814371257478</v>
      </c>
      <c r="S45" s="34">
        <f t="shared" ref="S45:T45" si="57">S42/(S40-S35)</f>
        <v>-0.38133607907742995</v>
      </c>
      <c r="T45" s="34">
        <f t="shared" si="57"/>
        <v>-0.39670480928689877</v>
      </c>
    </row>
    <row r="46" spans="1:21" x14ac:dyDescent="0.15">
      <c r="A46" s="18" t="s">
        <v>57</v>
      </c>
      <c r="E46" s="34">
        <f t="shared" ref="E46:K46" si="58">E42/E39</f>
        <v>-1.0197926829268291</v>
      </c>
      <c r="F46" s="22"/>
      <c r="G46" s="23"/>
      <c r="H46" s="23"/>
      <c r="I46" s="34">
        <f t="shared" si="58"/>
        <v>-0.72323178807947019</v>
      </c>
      <c r="J46" s="35" t="e">
        <f t="shared" si="58"/>
        <v>#DIV/0!</v>
      </c>
      <c r="K46" s="34" t="e">
        <f t="shared" si="58"/>
        <v>#DIV/0!</v>
      </c>
      <c r="L46" s="34" t="e">
        <f t="shared" ref="L46:R46" si="59">L42/L39</f>
        <v>#DIV/0!</v>
      </c>
      <c r="M46" s="34">
        <f t="shared" si="59"/>
        <v>-0.32433676092544989</v>
      </c>
      <c r="N46" s="35" t="e">
        <f t="shared" si="59"/>
        <v>#DIV/0!</v>
      </c>
      <c r="O46" s="34" t="e">
        <f t="shared" si="59"/>
        <v>#DIV/0!</v>
      </c>
      <c r="P46" s="34" t="e">
        <f t="shared" si="59"/>
        <v>#DIV/0!</v>
      </c>
      <c r="Q46" s="34">
        <f t="shared" si="59"/>
        <v>-0.44228237791932057</v>
      </c>
      <c r="R46" s="35">
        <f t="shared" si="59"/>
        <v>-0.4189236790606653</v>
      </c>
      <c r="S46" s="34">
        <f t="shared" ref="S46:T46" si="60">S42/S39</f>
        <v>-0.44258317399617586</v>
      </c>
      <c r="T46" s="34">
        <f t="shared" si="60"/>
        <v>-0.40002173913043471</v>
      </c>
    </row>
    <row r="48" spans="1:21" x14ac:dyDescent="0.15">
      <c r="A48" s="6" t="s">
        <v>62</v>
      </c>
      <c r="B48" s="35"/>
      <c r="C48" s="34"/>
      <c r="D48" s="34"/>
      <c r="E48" s="34"/>
      <c r="F48" s="35">
        <f t="shared" ref="F48:U49" si="61">F3/B3-1</f>
        <v>0.75158727279323756</v>
      </c>
      <c r="G48" s="34">
        <f t="shared" si="61"/>
        <v>0.65426597685337473</v>
      </c>
      <c r="H48" s="34">
        <f t="shared" si="61"/>
        <v>0.6227211919313802</v>
      </c>
      <c r="I48" s="34">
        <f t="shared" si="61"/>
        <v>0.61239235645634027</v>
      </c>
      <c r="J48" s="35">
        <f t="shared" si="61"/>
        <v>0.59160297437809373</v>
      </c>
      <c r="K48" s="34">
        <f t="shared" si="61"/>
        <v>0.58819169513892655</v>
      </c>
      <c r="L48" s="34">
        <f t="shared" si="61"/>
        <v>0.57926385723291784</v>
      </c>
      <c r="M48" s="34">
        <f t="shared" si="61"/>
        <v>0.52843030875244867</v>
      </c>
      <c r="N48" s="35">
        <f t="shared" si="61"/>
        <v>0.52474590387943953</v>
      </c>
      <c r="O48" s="34">
        <f t="shared" si="61"/>
        <v>0.50811573747353567</v>
      </c>
      <c r="P48" s="34">
        <f t="shared" si="61"/>
        <v>0.47922168314602143</v>
      </c>
      <c r="Q48" s="34">
        <f t="shared" si="61"/>
        <v>0.46147037672180113</v>
      </c>
      <c r="R48" s="35">
        <f t="shared" si="61"/>
        <v>0.48324129631368273</v>
      </c>
      <c r="S48" s="34">
        <f t="shared" si="61"/>
        <v>0.43922743671411535</v>
      </c>
      <c r="T48" s="34">
        <f t="shared" si="61"/>
        <v>0.43057910142059419</v>
      </c>
      <c r="U48" s="34">
        <f t="shared" si="61"/>
        <v>0.35000000000000009</v>
      </c>
    </row>
    <row r="49" spans="1:21" x14ac:dyDescent="0.15">
      <c r="A49" s="6" t="s">
        <v>80</v>
      </c>
      <c r="B49" s="35"/>
      <c r="C49" s="34"/>
      <c r="D49" s="34"/>
      <c r="E49" s="34"/>
      <c r="F49" s="35">
        <f t="shared" si="61"/>
        <v>-4.2140151515151492E-2</v>
      </c>
      <c r="G49" s="34">
        <f t="shared" si="61"/>
        <v>0.23642732049036774</v>
      </c>
      <c r="H49" s="34">
        <f t="shared" si="61"/>
        <v>0.21346153846153837</v>
      </c>
      <c r="I49" s="34">
        <f t="shared" si="61"/>
        <v>0.26616760241214399</v>
      </c>
      <c r="J49" s="35">
        <f t="shared" si="61"/>
        <v>0.67572911517548184</v>
      </c>
      <c r="K49" s="34">
        <f t="shared" si="61"/>
        <v>0.36220153783893161</v>
      </c>
      <c r="L49" s="34">
        <f t="shared" si="61"/>
        <v>0.56061806656101432</v>
      </c>
      <c r="M49" s="34">
        <f t="shared" si="61"/>
        <v>0.15109213335523064</v>
      </c>
      <c r="N49" s="35">
        <f t="shared" si="61"/>
        <v>0.1887905604719764</v>
      </c>
      <c r="O49" s="34">
        <f t="shared" si="61"/>
        <v>0.18627450980392157</v>
      </c>
      <c r="P49" s="34">
        <f t="shared" si="61"/>
        <v>8.1492764661081463E-2</v>
      </c>
      <c r="Q49" s="34">
        <f t="shared" si="61"/>
        <v>0.25738336424596953</v>
      </c>
      <c r="R49" s="35">
        <f t="shared" si="61"/>
        <v>0.12630272952853594</v>
      </c>
      <c r="S49" s="34">
        <f t="shared" si="61"/>
        <v>0.221763085399449</v>
      </c>
      <c r="T49" s="34">
        <f t="shared" si="61"/>
        <v>0.24835680751173705</v>
      </c>
      <c r="U49" s="34">
        <f t="shared" si="61"/>
        <v>0.19999999999999996</v>
      </c>
    </row>
    <row r="51" spans="1:21" s="8" customFormat="1" x14ac:dyDescent="0.15">
      <c r="A51" s="8" t="s">
        <v>81</v>
      </c>
      <c r="B51" s="22"/>
      <c r="C51" s="23"/>
      <c r="D51" s="23"/>
      <c r="E51" s="23"/>
      <c r="F51" s="22"/>
      <c r="G51" s="23"/>
      <c r="H51" s="23"/>
      <c r="I51" s="23"/>
      <c r="J51" s="22">
        <v>4700</v>
      </c>
      <c r="K51" s="23">
        <v>5150</v>
      </c>
      <c r="L51" s="23">
        <v>5600</v>
      </c>
      <c r="M51" s="23">
        <v>6100</v>
      </c>
      <c r="N51" s="22">
        <v>6550</v>
      </c>
      <c r="O51" s="23">
        <v>7000</v>
      </c>
      <c r="P51" s="23">
        <v>7400</v>
      </c>
      <c r="Q51" s="23">
        <v>7950</v>
      </c>
      <c r="R51" s="22">
        <v>8400</v>
      </c>
      <c r="S51" s="23">
        <v>8950</v>
      </c>
      <c r="T51" s="23">
        <v>9400</v>
      </c>
      <c r="U51" s="23">
        <f>Q51*1.25</f>
        <v>9937.5</v>
      </c>
    </row>
    <row r="52" spans="1:21" x14ac:dyDescent="0.15">
      <c r="A52" s="6" t="s">
        <v>82</v>
      </c>
      <c r="N52" s="35">
        <f t="shared" ref="N52:U52" si="62">N51/J51-1</f>
        <v>0.3936170212765957</v>
      </c>
      <c r="O52" s="34">
        <f t="shared" si="62"/>
        <v>0.35922330097087385</v>
      </c>
      <c r="P52" s="34">
        <f t="shared" si="62"/>
        <v>0.3214285714285714</v>
      </c>
      <c r="Q52" s="34">
        <f t="shared" si="62"/>
        <v>0.30327868852459017</v>
      </c>
      <c r="R52" s="35">
        <f t="shared" si="62"/>
        <v>0.28244274809160297</v>
      </c>
      <c r="S52" s="34">
        <f t="shared" si="62"/>
        <v>0.27857142857142847</v>
      </c>
      <c r="T52" s="34">
        <f t="shared" si="62"/>
        <v>0.27027027027027017</v>
      </c>
      <c r="U52" s="34">
        <f t="shared" si="62"/>
        <v>0.25</v>
      </c>
    </row>
  </sheetData>
  <hyperlinks>
    <hyperlink ref="A1" r:id="rId1" xr:uid="{00000000-0004-0000-0100-00000000000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"/>
  <sheetViews>
    <sheetView tabSelected="1" workbookViewId="0">
      <selection activeCell="B6" sqref="B6"/>
    </sheetView>
  </sheetViews>
  <sheetFormatPr baseColWidth="10" defaultRowHeight="13" x14ac:dyDescent="0.15"/>
  <cols>
    <col min="1" max="1" width="10.83203125" style="3"/>
    <col min="2" max="2" width="12.5" style="3" bestFit="1" customWidth="1"/>
    <col min="3" max="16384" width="10.83203125" style="3"/>
  </cols>
  <sheetData>
    <row r="4" spans="2:2" x14ac:dyDescent="0.15">
      <c r="B4" s="71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Reports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Sjoeberg</cp:lastModifiedBy>
  <dcterms:created xsi:type="dcterms:W3CDTF">2018-01-04T19:16:18Z</dcterms:created>
  <dcterms:modified xsi:type="dcterms:W3CDTF">2021-02-09T19:06:04Z</dcterms:modified>
</cp:coreProperties>
</file>