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candelariabergero/Library/CloudStorage/GoogleDrive-cande.bergero@gmail.com/My Drive/Education/2021 (UCI)/Research/Aviation/Data/"/>
    </mc:Choice>
  </mc:AlternateContent>
  <xr:revisionPtr revIDLastSave="0" documentId="13_ncr:1_{7ADCF5AB-2105-1744-B5F6-9F4325C95336}" xr6:coauthVersionLast="47" xr6:coauthVersionMax="47" xr10:uidLastSave="{00000000-0000-0000-0000-000000000000}"/>
  <bookViews>
    <workbookView xWindow="640" yWindow="760" windowWidth="54960" windowHeight="23420" xr2:uid="{6B9D68E7-6A7B-A349-BC03-D67DFF86304C}"/>
  </bookViews>
  <sheets>
    <sheet name="scenario_design" sheetId="11" r:id="rId1"/>
    <sheet name="Fig1_historical_Kaya" sheetId="1" r:id="rId2"/>
    <sheet name="Fig1_future_Kaya" sheetId="4" r:id="rId3"/>
    <sheet name="Fig1_non-CO2_emissions" sheetId="17" r:id="rId4"/>
    <sheet name="Fig1_carbon_intensity" sheetId="6" r:id="rId5"/>
    <sheet name="Fig1_carbon_eq_intensity" sheetId="16" r:id="rId6"/>
    <sheet name="Fig2_waterfall_plot" sheetId="13" r:id="rId7"/>
    <sheet name="Fig3_SAF_demand" sheetId="7" r:id="rId8"/>
    <sheet name="Fig4_SAF_costs" sheetId="10" r:id="rId9"/>
    <sheet name="Sup_fig5_regional_data" sheetId="2" r:id="rId10"/>
    <sheet name="Sup_fig7_CDR_cost" sheetId="15" r:id="rId11"/>
    <sheet name="Sup_fig8_SAF_land_exp" sheetId="8" r:id="rId12"/>
    <sheet name="other_IEA_energy_intensity" sheetId="5" r:id="rId13"/>
    <sheet name="other_IEA_fuel_consumption" sheetId="3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13" l="1"/>
  <c r="C23" i="10"/>
  <c r="N8" i="10"/>
  <c r="U21" i="10"/>
  <c r="AA24" i="10"/>
  <c r="U18" i="10"/>
  <c r="V18" i="10"/>
  <c r="W18" i="10"/>
  <c r="X18" i="10"/>
  <c r="Y18" i="10"/>
  <c r="Z18" i="10"/>
  <c r="AA18" i="10"/>
  <c r="U19" i="10"/>
  <c r="V19" i="10"/>
  <c r="W19" i="10"/>
  <c r="X19" i="10"/>
  <c r="Y19" i="10"/>
  <c r="Z19" i="10"/>
  <c r="AA19" i="10"/>
  <c r="U20" i="10"/>
  <c r="V20" i="10"/>
  <c r="W20" i="10"/>
  <c r="X20" i="10"/>
  <c r="Y20" i="10"/>
  <c r="Z20" i="10"/>
  <c r="AA20" i="10"/>
  <c r="V21" i="10"/>
  <c r="W21" i="10"/>
  <c r="X21" i="10"/>
  <c r="Y21" i="10"/>
  <c r="Z21" i="10"/>
  <c r="AA21" i="10"/>
  <c r="U22" i="10"/>
  <c r="V22" i="10"/>
  <c r="W22" i="10"/>
  <c r="X22" i="10"/>
  <c r="Y22" i="10"/>
  <c r="Z22" i="10"/>
  <c r="AA22" i="10"/>
  <c r="U23" i="10"/>
  <c r="V23" i="10"/>
  <c r="W23" i="10"/>
  <c r="X23" i="10"/>
  <c r="Y23" i="10"/>
  <c r="Z23" i="10"/>
  <c r="AA23" i="10"/>
  <c r="U24" i="10"/>
  <c r="V24" i="10"/>
  <c r="W24" i="10"/>
  <c r="X24" i="10"/>
  <c r="Y24" i="10"/>
  <c r="Z24" i="10"/>
  <c r="U25" i="10"/>
  <c r="V25" i="10"/>
  <c r="W25" i="10"/>
  <c r="X25" i="10"/>
  <c r="Y25" i="10"/>
  <c r="Z25" i="10"/>
  <c r="AA25" i="10"/>
  <c r="T19" i="10"/>
  <c r="T20" i="10"/>
  <c r="T21" i="10"/>
  <c r="T22" i="10"/>
  <c r="T23" i="10"/>
  <c r="T24" i="10"/>
  <c r="T25" i="10"/>
  <c r="T18" i="10"/>
  <c r="S6" i="10"/>
  <c r="T7" i="10"/>
  <c r="O14" i="10"/>
  <c r="S14" i="10"/>
  <c r="S7" i="10"/>
  <c r="R8" i="10"/>
  <c r="R9" i="10"/>
  <c r="R10" i="10"/>
  <c r="R11" i="10"/>
  <c r="R12" i="10"/>
  <c r="R13" i="10"/>
  <c r="R14" i="10"/>
  <c r="R7" i="10"/>
  <c r="J104" i="10"/>
  <c r="C58" i="10"/>
  <c r="G95" i="10"/>
  <c r="H95" i="10"/>
  <c r="I95" i="10"/>
  <c r="J95" i="10"/>
  <c r="D96" i="10"/>
  <c r="J96" i="10"/>
  <c r="D97" i="10"/>
  <c r="E97" i="10"/>
  <c r="F97" i="10"/>
  <c r="G97" i="10"/>
  <c r="E98" i="10"/>
  <c r="F98" i="10"/>
  <c r="G98" i="10"/>
  <c r="H98" i="10"/>
  <c r="I98" i="10"/>
  <c r="J98" i="10"/>
  <c r="G99" i="10"/>
  <c r="H99" i="10"/>
  <c r="I99" i="10"/>
  <c r="J99" i="10"/>
  <c r="D100" i="10"/>
  <c r="E100" i="10"/>
  <c r="F100" i="10"/>
  <c r="J100" i="10"/>
  <c r="D101" i="10"/>
  <c r="E101" i="10"/>
  <c r="F101" i="10"/>
  <c r="G101" i="10"/>
  <c r="H101" i="10"/>
  <c r="I101" i="10"/>
  <c r="F102" i="10"/>
  <c r="G102" i="10"/>
  <c r="H102" i="10"/>
  <c r="I102" i="10"/>
  <c r="J102" i="10"/>
  <c r="D103" i="10"/>
  <c r="E103" i="10"/>
  <c r="I103" i="10"/>
  <c r="J103" i="10"/>
  <c r="D104" i="10"/>
  <c r="E104" i="10"/>
  <c r="F104" i="10"/>
  <c r="G104" i="10"/>
  <c r="H104" i="10"/>
  <c r="C98" i="10"/>
  <c r="C99" i="10"/>
  <c r="C100" i="10"/>
  <c r="C101" i="10"/>
  <c r="C102" i="10"/>
  <c r="C103" i="10"/>
  <c r="C104" i="10"/>
  <c r="F58" i="10"/>
  <c r="G58" i="10"/>
  <c r="H58" i="10"/>
  <c r="I58" i="10"/>
  <c r="J58" i="10"/>
  <c r="D59" i="10"/>
  <c r="E59" i="10"/>
  <c r="I59" i="10"/>
  <c r="J59" i="10"/>
  <c r="D60" i="10"/>
  <c r="E60" i="10"/>
  <c r="F60" i="10"/>
  <c r="G60" i="10"/>
  <c r="H60" i="10"/>
  <c r="E61" i="10"/>
  <c r="F61" i="10"/>
  <c r="G61" i="10"/>
  <c r="H61" i="10"/>
  <c r="I61" i="10"/>
  <c r="J61" i="10"/>
  <c r="D62" i="10"/>
  <c r="H62" i="10"/>
  <c r="I62" i="10"/>
  <c r="J62" i="10"/>
  <c r="D63" i="10"/>
  <c r="E63" i="10"/>
  <c r="F63" i="10"/>
  <c r="G63" i="10"/>
  <c r="D64" i="10"/>
  <c r="E64" i="10"/>
  <c r="F64" i="10"/>
  <c r="G64" i="10"/>
  <c r="H64" i="10"/>
  <c r="I64" i="10"/>
  <c r="J64" i="10"/>
  <c r="G65" i="10"/>
  <c r="H65" i="10"/>
  <c r="I65" i="10"/>
  <c r="J65" i="10"/>
  <c r="D66" i="10"/>
  <c r="E66" i="10"/>
  <c r="F66" i="10"/>
  <c r="J66" i="10"/>
  <c r="D67" i="10"/>
  <c r="E67" i="10"/>
  <c r="F67" i="10"/>
  <c r="G67" i="10"/>
  <c r="H67" i="10"/>
  <c r="I67" i="10"/>
  <c r="C62" i="10"/>
  <c r="C63" i="10"/>
  <c r="C64" i="10"/>
  <c r="C65" i="10"/>
  <c r="C66" i="10"/>
  <c r="C67" i="10"/>
  <c r="P56" i="10"/>
  <c r="O24" i="10"/>
  <c r="J27" i="10" s="1"/>
  <c r="O21" i="10"/>
  <c r="N56" i="10"/>
  <c r="O56" i="10" s="1"/>
  <c r="P59" i="10" s="1"/>
  <c r="J67" i="10" s="1"/>
  <c r="A125" i="10"/>
  <c r="C8" i="10"/>
  <c r="M21" i="10"/>
  <c r="N21" i="10" s="1"/>
  <c r="I96" i="10" l="1"/>
  <c r="F95" i="10"/>
  <c r="H96" i="10"/>
  <c r="E95" i="10"/>
  <c r="D95" i="10"/>
  <c r="D98" i="10"/>
  <c r="C61" i="10"/>
  <c r="J63" i="10"/>
  <c r="G62" i="10"/>
  <c r="H59" i="10"/>
  <c r="E58" i="10"/>
  <c r="C97" i="10"/>
  <c r="E102" i="10"/>
  <c r="F99" i="10"/>
  <c r="G96" i="10"/>
  <c r="C60" i="10"/>
  <c r="H66" i="10"/>
  <c r="E65" i="10"/>
  <c r="I63" i="10"/>
  <c r="F62" i="10"/>
  <c r="J60" i="10"/>
  <c r="G59" i="10"/>
  <c r="D58" i="10"/>
  <c r="C96" i="10"/>
  <c r="G103" i="10"/>
  <c r="D102" i="10"/>
  <c r="H100" i="10"/>
  <c r="E99" i="10"/>
  <c r="I97" i="10"/>
  <c r="F96" i="10"/>
  <c r="I66" i="10"/>
  <c r="F65" i="10"/>
  <c r="D61" i="10"/>
  <c r="H103" i="10"/>
  <c r="I100" i="10"/>
  <c r="J97" i="10"/>
  <c r="C59" i="10"/>
  <c r="G66" i="10"/>
  <c r="D65" i="10"/>
  <c r="H63" i="10"/>
  <c r="E62" i="10"/>
  <c r="I60" i="10"/>
  <c r="F59" i="10"/>
  <c r="C95" i="10"/>
  <c r="I104" i="10"/>
  <c r="F103" i="10"/>
  <c r="J101" i="10"/>
  <c r="G100" i="10"/>
  <c r="D99" i="10"/>
  <c r="H97" i="10"/>
  <c r="E96" i="10"/>
  <c r="G114" i="10"/>
  <c r="G115" i="10"/>
  <c r="G116" i="10"/>
  <c r="G117" i="10"/>
  <c r="G118" i="10"/>
  <c r="G119" i="10"/>
  <c r="G113" i="10"/>
  <c r="B113" i="10"/>
  <c r="C113" i="10" s="1"/>
  <c r="B119" i="10"/>
  <c r="C119" i="10" s="1"/>
  <c r="B118" i="10"/>
  <c r="C118" i="10" s="1"/>
  <c r="B117" i="10"/>
  <c r="C117" i="10" s="1"/>
  <c r="B116" i="10"/>
  <c r="C116" i="10" s="1"/>
  <c r="B115" i="10"/>
  <c r="C115" i="10" s="1"/>
  <c r="B114" i="10"/>
  <c r="C114" i="10" s="1"/>
  <c r="I16" i="1"/>
  <c r="BA54" i="17"/>
  <c r="AZ54" i="17"/>
  <c r="AY54" i="17"/>
  <c r="BA50" i="17"/>
  <c r="AZ50" i="17"/>
  <c r="D149" i="17"/>
  <c r="S149" i="17" s="1"/>
  <c r="E164" i="17"/>
  <c r="E177" i="17"/>
  <c r="E80" i="17"/>
  <c r="D82" i="17"/>
  <c r="T82" i="17" s="1"/>
  <c r="E92" i="17"/>
  <c r="E102" i="17"/>
  <c r="F103" i="17"/>
  <c r="AY50" i="17"/>
  <c r="D36" i="17"/>
  <c r="R36" i="17" s="1"/>
  <c r="BB36" i="17" s="1"/>
  <c r="D41" i="17"/>
  <c r="O41" i="17" s="1"/>
  <c r="AY41" i="17" s="1"/>
  <c r="BA46" i="17"/>
  <c r="AZ46" i="17"/>
  <c r="AY46" i="17"/>
  <c r="R170" i="17"/>
  <c r="P175" i="17"/>
  <c r="Q170" i="17"/>
  <c r="S158" i="17"/>
  <c r="T156" i="17"/>
  <c r="S88" i="17"/>
  <c r="P91" i="17"/>
  <c r="P104" i="17"/>
  <c r="T105" i="17"/>
  <c r="Q104" i="17"/>
  <c r="T88" i="17"/>
  <c r="O86" i="17"/>
  <c r="P18" i="17"/>
  <c r="AZ18" i="17" s="1"/>
  <c r="P28" i="17"/>
  <c r="AZ28" i="17" s="1"/>
  <c r="Q13" i="17"/>
  <c r="BA13" i="17" s="1"/>
  <c r="R14" i="17"/>
  <c r="BB14" i="17" s="1"/>
  <c r="Q15" i="17"/>
  <c r="BA15" i="17" s="1"/>
  <c r="Q23" i="17"/>
  <c r="BA23" i="17" s="1"/>
  <c r="R24" i="17"/>
  <c r="BB24" i="17" s="1"/>
  <c r="Q25" i="17"/>
  <c r="BA25" i="17" s="1"/>
  <c r="Q11" i="17"/>
  <c r="BA11" i="17" s="1"/>
  <c r="H9" i="17"/>
  <c r="V9" i="17" s="1"/>
  <c r="AJ9" i="17" s="1"/>
  <c r="C9" i="17"/>
  <c r="C77" i="17" s="1"/>
  <c r="C145" i="17" s="1"/>
  <c r="B9" i="17"/>
  <c r="B77" i="17" s="1"/>
  <c r="B145" i="17" s="1"/>
  <c r="AT5" i="4"/>
  <c r="F148" i="17" s="1"/>
  <c r="AT6" i="4"/>
  <c r="F149" i="17" s="1"/>
  <c r="AT7" i="4"/>
  <c r="F150" i="17" s="1"/>
  <c r="AT8" i="4"/>
  <c r="F151" i="17" s="1"/>
  <c r="AT9" i="4"/>
  <c r="F152" i="17" s="1"/>
  <c r="AT10" i="4"/>
  <c r="F153" i="17" s="1"/>
  <c r="AT11" i="4"/>
  <c r="F154" i="17" s="1"/>
  <c r="AT12" i="4"/>
  <c r="F155" i="17" s="1"/>
  <c r="AT13" i="4"/>
  <c r="F156" i="17" s="1"/>
  <c r="AT14" i="4"/>
  <c r="F157" i="17" s="1"/>
  <c r="AT15" i="4"/>
  <c r="F158" i="17" s="1"/>
  <c r="AT16" i="4"/>
  <c r="F159" i="17" s="1"/>
  <c r="AT17" i="4"/>
  <c r="F160" i="17" s="1"/>
  <c r="AT18" i="4"/>
  <c r="F161" i="17" s="1"/>
  <c r="AT19" i="4"/>
  <c r="F162" i="17" s="1"/>
  <c r="AT20" i="4"/>
  <c r="F163" i="17" s="1"/>
  <c r="AT21" i="4"/>
  <c r="F164" i="17" s="1"/>
  <c r="AT22" i="4"/>
  <c r="F165" i="17" s="1"/>
  <c r="AT23" i="4"/>
  <c r="F166" i="17" s="1"/>
  <c r="AT24" i="4"/>
  <c r="F167" i="17" s="1"/>
  <c r="AT25" i="4"/>
  <c r="F168" i="17" s="1"/>
  <c r="AT26" i="4"/>
  <c r="F169" i="17" s="1"/>
  <c r="AT27" i="4"/>
  <c r="F170" i="17" s="1"/>
  <c r="AT28" i="4"/>
  <c r="F171" i="17" s="1"/>
  <c r="AT29" i="4"/>
  <c r="F172" i="17" s="1"/>
  <c r="AT30" i="4"/>
  <c r="F173" i="17" s="1"/>
  <c r="AT31" i="4"/>
  <c r="F174" i="17" s="1"/>
  <c r="AT32" i="4"/>
  <c r="F175" i="17" s="1"/>
  <c r="AT33" i="4"/>
  <c r="F176" i="17" s="1"/>
  <c r="AT34" i="4"/>
  <c r="F177" i="17" s="1"/>
  <c r="AT35" i="4"/>
  <c r="F178" i="17" s="1"/>
  <c r="AT4" i="4"/>
  <c r="F147" i="17" s="1"/>
  <c r="AS5" i="4"/>
  <c r="E148" i="17" s="1"/>
  <c r="AS6" i="4"/>
  <c r="E149" i="17" s="1"/>
  <c r="AS7" i="4"/>
  <c r="E150" i="17" s="1"/>
  <c r="AS8" i="4"/>
  <c r="E151" i="17" s="1"/>
  <c r="AS9" i="4"/>
  <c r="E152" i="17" s="1"/>
  <c r="AS10" i="4"/>
  <c r="E153" i="17" s="1"/>
  <c r="AS11" i="4"/>
  <c r="E154" i="17" s="1"/>
  <c r="AS12" i="4"/>
  <c r="E155" i="17" s="1"/>
  <c r="AS13" i="4"/>
  <c r="E156" i="17" s="1"/>
  <c r="AS14" i="4"/>
  <c r="E157" i="17" s="1"/>
  <c r="AS15" i="4"/>
  <c r="E158" i="17" s="1"/>
  <c r="AS16" i="4"/>
  <c r="E159" i="17" s="1"/>
  <c r="AS17" i="4"/>
  <c r="E160" i="17" s="1"/>
  <c r="AS18" i="4"/>
  <c r="E161" i="17" s="1"/>
  <c r="AS19" i="4"/>
  <c r="E162" i="17" s="1"/>
  <c r="AS20" i="4"/>
  <c r="E163" i="17" s="1"/>
  <c r="AS21" i="4"/>
  <c r="AS22" i="4"/>
  <c r="E165" i="17" s="1"/>
  <c r="AS23" i="4"/>
  <c r="E166" i="17" s="1"/>
  <c r="AS24" i="4"/>
  <c r="E167" i="17" s="1"/>
  <c r="AS25" i="4"/>
  <c r="E168" i="17" s="1"/>
  <c r="AS26" i="4"/>
  <c r="E169" i="17" s="1"/>
  <c r="AS27" i="4"/>
  <c r="E170" i="17" s="1"/>
  <c r="AS28" i="4"/>
  <c r="E171" i="17" s="1"/>
  <c r="AS29" i="4"/>
  <c r="E172" i="17" s="1"/>
  <c r="AS30" i="4"/>
  <c r="E173" i="17" s="1"/>
  <c r="AS31" i="4"/>
  <c r="E174" i="17" s="1"/>
  <c r="AS32" i="4"/>
  <c r="E175" i="17" s="1"/>
  <c r="AS33" i="4"/>
  <c r="E176" i="17" s="1"/>
  <c r="AS34" i="4"/>
  <c r="AS35" i="4"/>
  <c r="E178" i="17" s="1"/>
  <c r="AS4" i="4"/>
  <c r="E147" i="17" s="1"/>
  <c r="AR5" i="4"/>
  <c r="D148" i="17" s="1"/>
  <c r="O148" i="17" s="1"/>
  <c r="AR6" i="4"/>
  <c r="AR7" i="4"/>
  <c r="D150" i="17" s="1"/>
  <c r="R150" i="17" s="1"/>
  <c r="AR8" i="4"/>
  <c r="D151" i="17" s="1"/>
  <c r="AR9" i="4"/>
  <c r="D152" i="17" s="1"/>
  <c r="T152" i="17" s="1"/>
  <c r="AR10" i="4"/>
  <c r="D153" i="17" s="1"/>
  <c r="Q153" i="17" s="1"/>
  <c r="AR11" i="4"/>
  <c r="D154" i="17" s="1"/>
  <c r="T154" i="17" s="1"/>
  <c r="AR12" i="4"/>
  <c r="D155" i="17" s="1"/>
  <c r="S155" i="17" s="1"/>
  <c r="AR13" i="4"/>
  <c r="D156" i="17" s="1"/>
  <c r="AR14" i="4"/>
  <c r="D157" i="17" s="1"/>
  <c r="S157" i="17" s="1"/>
  <c r="AR15" i="4"/>
  <c r="D158" i="17" s="1"/>
  <c r="T158" i="17" s="1"/>
  <c r="AR16" i="4"/>
  <c r="D159" i="17" s="1"/>
  <c r="AR17" i="4"/>
  <c r="D160" i="17" s="1"/>
  <c r="T160" i="17" s="1"/>
  <c r="AR18" i="4"/>
  <c r="D161" i="17" s="1"/>
  <c r="R161" i="17" s="1"/>
  <c r="AR19" i="4"/>
  <c r="D162" i="17" s="1"/>
  <c r="T162" i="17" s="1"/>
  <c r="AR20" i="4"/>
  <c r="D163" i="17" s="1"/>
  <c r="T163" i="17" s="1"/>
  <c r="AR21" i="4"/>
  <c r="D164" i="17" s="1"/>
  <c r="P164" i="17" s="1"/>
  <c r="AR22" i="4"/>
  <c r="D165" i="17" s="1"/>
  <c r="T165" i="17" s="1"/>
  <c r="AR23" i="4"/>
  <c r="D166" i="17" s="1"/>
  <c r="S166" i="17" s="1"/>
  <c r="AR24" i="4"/>
  <c r="D167" i="17" s="1"/>
  <c r="S167" i="17" s="1"/>
  <c r="AR25" i="4"/>
  <c r="D168" i="17" s="1"/>
  <c r="T168" i="17" s="1"/>
  <c r="AR26" i="4"/>
  <c r="D169" i="17" s="1"/>
  <c r="AR27" i="4"/>
  <c r="D170" i="17" s="1"/>
  <c r="O170" i="17" s="1"/>
  <c r="AR28" i="4"/>
  <c r="D171" i="17" s="1"/>
  <c r="AR29" i="4"/>
  <c r="D172" i="17" s="1"/>
  <c r="S172" i="17" s="1"/>
  <c r="AR30" i="4"/>
  <c r="D173" i="17" s="1"/>
  <c r="P173" i="17" s="1"/>
  <c r="AR31" i="4"/>
  <c r="D174" i="17" s="1"/>
  <c r="AR32" i="4"/>
  <c r="D175" i="17" s="1"/>
  <c r="T175" i="17" s="1"/>
  <c r="AR33" i="4"/>
  <c r="D176" i="17" s="1"/>
  <c r="O176" i="17" s="1"/>
  <c r="AR34" i="4"/>
  <c r="D177" i="17" s="1"/>
  <c r="Q177" i="17" s="1"/>
  <c r="AR35" i="4"/>
  <c r="D178" i="17" s="1"/>
  <c r="AR4" i="4"/>
  <c r="D147" i="17" s="1"/>
  <c r="O147" i="17" s="1"/>
  <c r="AP5" i="4"/>
  <c r="F80" i="17" s="1"/>
  <c r="AP6" i="4"/>
  <c r="F81" i="17" s="1"/>
  <c r="AP7" i="4"/>
  <c r="F82" i="17" s="1"/>
  <c r="AP8" i="4"/>
  <c r="F83" i="17" s="1"/>
  <c r="AP9" i="4"/>
  <c r="F84" i="17" s="1"/>
  <c r="AP10" i="4"/>
  <c r="F85" i="17" s="1"/>
  <c r="AP11" i="4"/>
  <c r="F86" i="17" s="1"/>
  <c r="AP12" i="4"/>
  <c r="F87" i="17" s="1"/>
  <c r="AP13" i="4"/>
  <c r="F88" i="17" s="1"/>
  <c r="AP14" i="4"/>
  <c r="F89" i="17" s="1"/>
  <c r="AP15" i="4"/>
  <c r="F90" i="17" s="1"/>
  <c r="AP16" i="4"/>
  <c r="F91" i="17" s="1"/>
  <c r="AP17" i="4"/>
  <c r="F92" i="17" s="1"/>
  <c r="AP18" i="4"/>
  <c r="F93" i="17" s="1"/>
  <c r="AP19" i="4"/>
  <c r="F94" i="17" s="1"/>
  <c r="AP20" i="4"/>
  <c r="F95" i="17" s="1"/>
  <c r="AP21" i="4"/>
  <c r="F96" i="17" s="1"/>
  <c r="AP22" i="4"/>
  <c r="F97" i="17" s="1"/>
  <c r="AP23" i="4"/>
  <c r="F98" i="17" s="1"/>
  <c r="AP24" i="4"/>
  <c r="F99" i="17" s="1"/>
  <c r="AP25" i="4"/>
  <c r="F100" i="17" s="1"/>
  <c r="AP26" i="4"/>
  <c r="F101" i="17" s="1"/>
  <c r="AP27" i="4"/>
  <c r="F102" i="17" s="1"/>
  <c r="AP28" i="4"/>
  <c r="AP29" i="4"/>
  <c r="F104" i="17" s="1"/>
  <c r="AP30" i="4"/>
  <c r="F105" i="17" s="1"/>
  <c r="AP31" i="4"/>
  <c r="F106" i="17" s="1"/>
  <c r="AP32" i="4"/>
  <c r="F107" i="17" s="1"/>
  <c r="AP33" i="4"/>
  <c r="F108" i="17" s="1"/>
  <c r="AP34" i="4"/>
  <c r="F109" i="17" s="1"/>
  <c r="AP35" i="4"/>
  <c r="F110" i="17" s="1"/>
  <c r="AP4" i="4"/>
  <c r="F79" i="17" s="1"/>
  <c r="AO5" i="4"/>
  <c r="AO6" i="4"/>
  <c r="E81" i="17" s="1"/>
  <c r="AO7" i="4"/>
  <c r="E82" i="17" s="1"/>
  <c r="AO8" i="4"/>
  <c r="E83" i="17" s="1"/>
  <c r="AO9" i="4"/>
  <c r="E84" i="17" s="1"/>
  <c r="AO10" i="4"/>
  <c r="E85" i="17" s="1"/>
  <c r="AO11" i="4"/>
  <c r="E86" i="17" s="1"/>
  <c r="AO12" i="4"/>
  <c r="E87" i="17" s="1"/>
  <c r="AO13" i="4"/>
  <c r="E88" i="17" s="1"/>
  <c r="AO14" i="4"/>
  <c r="E89" i="17" s="1"/>
  <c r="AO15" i="4"/>
  <c r="E90" i="17" s="1"/>
  <c r="AO16" i="4"/>
  <c r="E91" i="17" s="1"/>
  <c r="AO17" i="4"/>
  <c r="AO18" i="4"/>
  <c r="E93" i="17" s="1"/>
  <c r="AO19" i="4"/>
  <c r="E94" i="17" s="1"/>
  <c r="AO20" i="4"/>
  <c r="E95" i="17" s="1"/>
  <c r="AO21" i="4"/>
  <c r="E96" i="17" s="1"/>
  <c r="AO22" i="4"/>
  <c r="E97" i="17" s="1"/>
  <c r="AO23" i="4"/>
  <c r="E98" i="17" s="1"/>
  <c r="AO24" i="4"/>
  <c r="E99" i="17" s="1"/>
  <c r="AO25" i="4"/>
  <c r="E100" i="17" s="1"/>
  <c r="AO26" i="4"/>
  <c r="E101" i="17" s="1"/>
  <c r="AO27" i="4"/>
  <c r="AO28" i="4"/>
  <c r="E103" i="17" s="1"/>
  <c r="AO29" i="4"/>
  <c r="E104" i="17" s="1"/>
  <c r="AO30" i="4"/>
  <c r="E105" i="17" s="1"/>
  <c r="AO31" i="4"/>
  <c r="E106" i="17" s="1"/>
  <c r="AO32" i="4"/>
  <c r="E107" i="17" s="1"/>
  <c r="AO33" i="4"/>
  <c r="E108" i="17" s="1"/>
  <c r="AO34" i="4"/>
  <c r="E109" i="17" s="1"/>
  <c r="AO35" i="4"/>
  <c r="E110" i="17" s="1"/>
  <c r="AO4" i="4"/>
  <c r="E79" i="17" s="1"/>
  <c r="AN5" i="4"/>
  <c r="D80" i="17" s="1"/>
  <c r="P80" i="17" s="1"/>
  <c r="AN6" i="4"/>
  <c r="D81" i="17" s="1"/>
  <c r="T81" i="17" s="1"/>
  <c r="AN7" i="4"/>
  <c r="AN8" i="4"/>
  <c r="D83" i="17" s="1"/>
  <c r="T83" i="17" s="1"/>
  <c r="AN9" i="4"/>
  <c r="D84" i="17" s="1"/>
  <c r="Q84" i="17" s="1"/>
  <c r="AN10" i="4"/>
  <c r="D85" i="17" s="1"/>
  <c r="T85" i="17" s="1"/>
  <c r="AN11" i="4"/>
  <c r="D86" i="17" s="1"/>
  <c r="S86" i="17" s="1"/>
  <c r="AN12" i="4"/>
  <c r="D87" i="17" s="1"/>
  <c r="O87" i="17" s="1"/>
  <c r="AN13" i="4"/>
  <c r="D88" i="17" s="1"/>
  <c r="AN14" i="4"/>
  <c r="D89" i="17" s="1"/>
  <c r="AN15" i="4"/>
  <c r="D90" i="17" s="1"/>
  <c r="P90" i="17" s="1"/>
  <c r="AN16" i="4"/>
  <c r="D91" i="17" s="1"/>
  <c r="AN17" i="4"/>
  <c r="D92" i="17" s="1"/>
  <c r="AN18" i="4"/>
  <c r="D93" i="17" s="1"/>
  <c r="T93" i="17" s="1"/>
  <c r="AN19" i="4"/>
  <c r="D94" i="17" s="1"/>
  <c r="P94" i="17" s="1"/>
  <c r="AN20" i="4"/>
  <c r="D95" i="17" s="1"/>
  <c r="O95" i="17" s="1"/>
  <c r="AN21" i="4"/>
  <c r="D96" i="17" s="1"/>
  <c r="Q96" i="17" s="1"/>
  <c r="AN22" i="4"/>
  <c r="D97" i="17" s="1"/>
  <c r="O97" i="17" s="1"/>
  <c r="AN23" i="4"/>
  <c r="D98" i="17" s="1"/>
  <c r="T98" i="17" s="1"/>
  <c r="AN24" i="4"/>
  <c r="D99" i="17" s="1"/>
  <c r="T99" i="17" s="1"/>
  <c r="AN25" i="4"/>
  <c r="D100" i="17" s="1"/>
  <c r="P100" i="17" s="1"/>
  <c r="AN26" i="4"/>
  <c r="D101" i="17" s="1"/>
  <c r="T101" i="17" s="1"/>
  <c r="AN27" i="4"/>
  <c r="D102" i="17" s="1"/>
  <c r="AN28" i="4"/>
  <c r="D103" i="17" s="1"/>
  <c r="T103" i="17" s="1"/>
  <c r="AN29" i="4"/>
  <c r="D104" i="17" s="1"/>
  <c r="AN30" i="4"/>
  <c r="D105" i="17" s="1"/>
  <c r="AN31" i="4"/>
  <c r="D106" i="17" s="1"/>
  <c r="AN32" i="4"/>
  <c r="D107" i="17" s="1"/>
  <c r="O107" i="17" s="1"/>
  <c r="AN33" i="4"/>
  <c r="D108" i="17" s="1"/>
  <c r="O108" i="17" s="1"/>
  <c r="AN34" i="4"/>
  <c r="D109" i="17" s="1"/>
  <c r="AN35" i="4"/>
  <c r="D110" i="17" s="1"/>
  <c r="P110" i="17" s="1"/>
  <c r="AN4" i="4"/>
  <c r="D79" i="17" s="1"/>
  <c r="O79" i="17" s="1"/>
  <c r="AJ5" i="4"/>
  <c r="D12" i="17" s="1"/>
  <c r="R12" i="17" s="1"/>
  <c r="BB12" i="17" s="1"/>
  <c r="AJ6" i="4"/>
  <c r="D13" i="17" s="1"/>
  <c r="AJ7" i="4"/>
  <c r="D14" i="17" s="1"/>
  <c r="AJ8" i="4"/>
  <c r="D15" i="17" s="1"/>
  <c r="AJ9" i="4"/>
  <c r="D16" i="17" s="1"/>
  <c r="R16" i="17" s="1"/>
  <c r="BB16" i="17" s="1"/>
  <c r="AJ10" i="4"/>
  <c r="D17" i="17" s="1"/>
  <c r="P17" i="17" s="1"/>
  <c r="AZ17" i="17" s="1"/>
  <c r="AJ11" i="4"/>
  <c r="D18" i="17" s="1"/>
  <c r="R18" i="17" s="1"/>
  <c r="BB18" i="17" s="1"/>
  <c r="AJ12" i="4"/>
  <c r="D19" i="17" s="1"/>
  <c r="P19" i="17" s="1"/>
  <c r="AZ19" i="17" s="1"/>
  <c r="AJ13" i="4"/>
  <c r="D20" i="17" s="1"/>
  <c r="R20" i="17" s="1"/>
  <c r="BB20" i="17" s="1"/>
  <c r="AJ14" i="4"/>
  <c r="D21" i="17" s="1"/>
  <c r="P21" i="17" s="1"/>
  <c r="AZ21" i="17" s="1"/>
  <c r="AJ15" i="4"/>
  <c r="D22" i="17" s="1"/>
  <c r="R22" i="17" s="1"/>
  <c r="BB22" i="17" s="1"/>
  <c r="AJ16" i="4"/>
  <c r="D23" i="17" s="1"/>
  <c r="AJ17" i="4"/>
  <c r="D24" i="17" s="1"/>
  <c r="AJ18" i="4"/>
  <c r="D25" i="17" s="1"/>
  <c r="AJ19" i="4"/>
  <c r="D26" i="17" s="1"/>
  <c r="AJ20" i="4"/>
  <c r="D27" i="17" s="1"/>
  <c r="P27" i="17" s="1"/>
  <c r="AZ27" i="17" s="1"/>
  <c r="AJ21" i="4"/>
  <c r="D28" i="17" s="1"/>
  <c r="R28" i="17" s="1"/>
  <c r="BB28" i="17" s="1"/>
  <c r="AJ22" i="4"/>
  <c r="D29" i="17" s="1"/>
  <c r="Q29" i="17" s="1"/>
  <c r="BA29" i="17" s="1"/>
  <c r="AJ23" i="4"/>
  <c r="D30" i="17" s="1"/>
  <c r="R30" i="17" s="1"/>
  <c r="BB30" i="17" s="1"/>
  <c r="AJ24" i="4"/>
  <c r="D31" i="17" s="1"/>
  <c r="O31" i="17" s="1"/>
  <c r="AY31" i="17" s="1"/>
  <c r="AJ25" i="4"/>
  <c r="D32" i="17" s="1"/>
  <c r="R32" i="17" s="1"/>
  <c r="BB32" i="17" s="1"/>
  <c r="AJ26" i="4"/>
  <c r="D33" i="17" s="1"/>
  <c r="AJ27" i="4"/>
  <c r="D34" i="17" s="1"/>
  <c r="R34" i="17" s="1"/>
  <c r="BB34" i="17" s="1"/>
  <c r="AJ28" i="4"/>
  <c r="D35" i="17" s="1"/>
  <c r="AJ29" i="4"/>
  <c r="AJ30" i="4"/>
  <c r="D37" i="17" s="1"/>
  <c r="P37" i="17" s="1"/>
  <c r="AZ37" i="17" s="1"/>
  <c r="AJ31" i="4"/>
  <c r="D38" i="17" s="1"/>
  <c r="R38" i="17" s="1"/>
  <c r="BB38" i="17" s="1"/>
  <c r="AJ32" i="4"/>
  <c r="D39" i="17" s="1"/>
  <c r="R39" i="17" s="1"/>
  <c r="BB39" i="17" s="1"/>
  <c r="AJ33" i="4"/>
  <c r="D40" i="17" s="1"/>
  <c r="R40" i="17" s="1"/>
  <c r="BB40" i="17" s="1"/>
  <c r="AJ34" i="4"/>
  <c r="AJ35" i="4"/>
  <c r="D42" i="17" s="1"/>
  <c r="R42" i="17" s="1"/>
  <c r="BB42" i="17" s="1"/>
  <c r="AJ4" i="4"/>
  <c r="D11" i="17" s="1"/>
  <c r="P11" i="17" s="1"/>
  <c r="AZ11" i="17" s="1"/>
  <c r="L100" i="16"/>
  <c r="L95" i="16"/>
  <c r="L90" i="16"/>
  <c r="L85" i="16"/>
  <c r="L80" i="16"/>
  <c r="L77" i="16"/>
  <c r="U21" i="16"/>
  <c r="K35" i="16"/>
  <c r="U12" i="16" s="1"/>
  <c r="E35" i="16"/>
  <c r="D35" i="16"/>
  <c r="C35" i="16"/>
  <c r="B35" i="16"/>
  <c r="K34" i="16"/>
  <c r="O34" i="16" s="1"/>
  <c r="E34" i="16"/>
  <c r="D34" i="16"/>
  <c r="C34" i="16"/>
  <c r="B34" i="16"/>
  <c r="K33" i="16"/>
  <c r="O33" i="16" s="1"/>
  <c r="E33" i="16"/>
  <c r="D33" i="16"/>
  <c r="C33" i="16"/>
  <c r="B33" i="16"/>
  <c r="K32" i="16"/>
  <c r="O32" i="16" s="1"/>
  <c r="E32" i="16"/>
  <c r="D32" i="16"/>
  <c r="C32" i="16"/>
  <c r="B32" i="16"/>
  <c r="K31" i="16"/>
  <c r="O31" i="16" s="1"/>
  <c r="E31" i="16"/>
  <c r="D31" i="16"/>
  <c r="C31" i="16"/>
  <c r="B31" i="16"/>
  <c r="K30" i="16"/>
  <c r="O30" i="16" s="1"/>
  <c r="E30" i="16"/>
  <c r="D30" i="16"/>
  <c r="C30" i="16"/>
  <c r="B30" i="16"/>
  <c r="K29" i="16"/>
  <c r="O29" i="16" s="1"/>
  <c r="E29" i="16"/>
  <c r="D29" i="16"/>
  <c r="C29" i="16"/>
  <c r="B29" i="16"/>
  <c r="K28" i="16"/>
  <c r="O28" i="16" s="1"/>
  <c r="E28" i="16"/>
  <c r="D28" i="16"/>
  <c r="C28" i="16"/>
  <c r="B28" i="16"/>
  <c r="K27" i="16"/>
  <c r="O27" i="16" s="1"/>
  <c r="E27" i="16"/>
  <c r="D27" i="16"/>
  <c r="C27" i="16"/>
  <c r="B27" i="16"/>
  <c r="K26" i="16"/>
  <c r="O26" i="16" s="1"/>
  <c r="E26" i="16"/>
  <c r="D26" i="16"/>
  <c r="C26" i="16"/>
  <c r="B26" i="16"/>
  <c r="K25" i="16"/>
  <c r="O25" i="16" s="1"/>
  <c r="E25" i="16"/>
  <c r="D25" i="16"/>
  <c r="C25" i="16"/>
  <c r="B25" i="16"/>
  <c r="K24" i="16"/>
  <c r="O24" i="16" s="1"/>
  <c r="E24" i="16"/>
  <c r="D24" i="16"/>
  <c r="C24" i="16"/>
  <c r="B24" i="16"/>
  <c r="K23" i="16"/>
  <c r="O23" i="16" s="1"/>
  <c r="E23" i="16"/>
  <c r="D23" i="16"/>
  <c r="C23" i="16"/>
  <c r="B23" i="16"/>
  <c r="K22" i="16"/>
  <c r="O22" i="16" s="1"/>
  <c r="E22" i="16"/>
  <c r="D22" i="16"/>
  <c r="C22" i="16"/>
  <c r="B22" i="16"/>
  <c r="K21" i="16"/>
  <c r="O21" i="16" s="1"/>
  <c r="E21" i="16"/>
  <c r="D21" i="16"/>
  <c r="C21" i="16"/>
  <c r="B21" i="16"/>
  <c r="K20" i="16"/>
  <c r="O20" i="16" s="1"/>
  <c r="E20" i="16"/>
  <c r="D20" i="16"/>
  <c r="C20" i="16"/>
  <c r="B20" i="16"/>
  <c r="K19" i="16"/>
  <c r="O19" i="16" s="1"/>
  <c r="E19" i="16"/>
  <c r="D19" i="16"/>
  <c r="C19" i="16"/>
  <c r="B19" i="16"/>
  <c r="K18" i="16"/>
  <c r="O18" i="16" s="1"/>
  <c r="E18" i="16"/>
  <c r="D18" i="16"/>
  <c r="C18" i="16"/>
  <c r="B18" i="16"/>
  <c r="K17" i="16"/>
  <c r="O17" i="16" s="1"/>
  <c r="E17" i="16"/>
  <c r="D17" i="16"/>
  <c r="C17" i="16"/>
  <c r="B17" i="16"/>
  <c r="K16" i="16"/>
  <c r="O16" i="16" s="1"/>
  <c r="E16" i="16"/>
  <c r="D16" i="16"/>
  <c r="C16" i="16"/>
  <c r="B16" i="16"/>
  <c r="K15" i="16"/>
  <c r="O15" i="16" s="1"/>
  <c r="E15" i="16"/>
  <c r="D15" i="16"/>
  <c r="C15" i="16"/>
  <c r="B15" i="16"/>
  <c r="K14" i="16"/>
  <c r="O14" i="16" s="1"/>
  <c r="E14" i="16"/>
  <c r="D14" i="16"/>
  <c r="C14" i="16"/>
  <c r="B14" i="16"/>
  <c r="K13" i="16"/>
  <c r="O13" i="16" s="1"/>
  <c r="E13" i="16"/>
  <c r="D13" i="16"/>
  <c r="C13" i="16"/>
  <c r="B13" i="16"/>
  <c r="K12" i="16"/>
  <c r="O12" i="16" s="1"/>
  <c r="E12" i="16"/>
  <c r="D12" i="16"/>
  <c r="C12" i="16"/>
  <c r="B12" i="16"/>
  <c r="K11" i="16"/>
  <c r="O11" i="16" s="1"/>
  <c r="E11" i="16"/>
  <c r="D11" i="16"/>
  <c r="C11" i="16"/>
  <c r="B11" i="16"/>
  <c r="K10" i="16"/>
  <c r="O10" i="16" s="1"/>
  <c r="E10" i="16"/>
  <c r="D10" i="16"/>
  <c r="C10" i="16"/>
  <c r="B10" i="16"/>
  <c r="K9" i="16"/>
  <c r="O9" i="16" s="1"/>
  <c r="E9" i="16"/>
  <c r="D9" i="16"/>
  <c r="C9" i="16"/>
  <c r="B9" i="16"/>
  <c r="K8" i="16"/>
  <c r="O8" i="16" s="1"/>
  <c r="E8" i="16"/>
  <c r="D8" i="16"/>
  <c r="C8" i="16"/>
  <c r="B8" i="16"/>
  <c r="K7" i="16"/>
  <c r="O7" i="16" s="1"/>
  <c r="E7" i="16"/>
  <c r="D7" i="16"/>
  <c r="C7" i="16"/>
  <c r="B7" i="16"/>
  <c r="K6" i="16"/>
  <c r="O6" i="16" s="1"/>
  <c r="E6" i="16"/>
  <c r="D6" i="16"/>
  <c r="C6" i="16"/>
  <c r="B6" i="16"/>
  <c r="K5" i="16"/>
  <c r="O5" i="16" s="1"/>
  <c r="E5" i="16"/>
  <c r="D5" i="16"/>
  <c r="C5" i="16"/>
  <c r="B5" i="16"/>
  <c r="K4" i="16"/>
  <c r="O4" i="16" s="1"/>
  <c r="E4" i="16"/>
  <c r="D4" i="16"/>
  <c r="C4" i="16"/>
  <c r="B4" i="16"/>
  <c r="P169" i="17" l="1"/>
  <c r="T169" i="17"/>
  <c r="Q169" i="17"/>
  <c r="Q159" i="17"/>
  <c r="T159" i="17"/>
  <c r="T102" i="17"/>
  <c r="Q102" i="17"/>
  <c r="Q33" i="17"/>
  <c r="BA33" i="17" s="1"/>
  <c r="O33" i="17"/>
  <c r="AY33" i="17" s="1"/>
  <c r="Q92" i="17"/>
  <c r="P92" i="17"/>
  <c r="O92" i="17"/>
  <c r="S89" i="17"/>
  <c r="O89" i="17"/>
  <c r="P35" i="17"/>
  <c r="AZ35" i="17" s="1"/>
  <c r="Q35" i="17"/>
  <c r="BA35" i="17" s="1"/>
  <c r="P151" i="17"/>
  <c r="T151" i="17"/>
  <c r="O26" i="17"/>
  <c r="AY26" i="17" s="1"/>
  <c r="Q26" i="17"/>
  <c r="BA26" i="17" s="1"/>
  <c r="R26" i="17"/>
  <c r="BB26" i="17" s="1"/>
  <c r="Q156" i="17"/>
  <c r="O156" i="17"/>
  <c r="P29" i="17"/>
  <c r="AZ29" i="17" s="1"/>
  <c r="R86" i="17"/>
  <c r="P149" i="17"/>
  <c r="S156" i="17"/>
  <c r="Q149" i="17"/>
  <c r="S168" i="17"/>
  <c r="Q158" i="17"/>
  <c r="R158" i="17"/>
  <c r="P153" i="17"/>
  <c r="O149" i="17"/>
  <c r="T149" i="17"/>
  <c r="O82" i="17"/>
  <c r="S153" i="17"/>
  <c r="P160" i="17"/>
  <c r="T176" i="17"/>
  <c r="Q176" i="17"/>
  <c r="Q82" i="17"/>
  <c r="T153" i="17"/>
  <c r="O163" i="17"/>
  <c r="O39" i="17"/>
  <c r="AY39" i="17" s="1"/>
  <c r="T39" i="17"/>
  <c r="BD39" i="17" s="1"/>
  <c r="T84" i="17"/>
  <c r="Q94" i="17"/>
  <c r="O98" i="17"/>
  <c r="O155" i="17"/>
  <c r="T155" i="17"/>
  <c r="P84" i="17"/>
  <c r="Q147" i="17"/>
  <c r="T166" i="17"/>
  <c r="T147" i="17"/>
  <c r="O153" i="17"/>
  <c r="Q163" i="17"/>
  <c r="P163" i="17"/>
  <c r="P148" i="17"/>
  <c r="P156" i="17"/>
  <c r="O35" i="16"/>
  <c r="T12" i="16"/>
  <c r="T13" i="16" s="1"/>
  <c r="Y12" i="16"/>
  <c r="Y13" i="16" s="1"/>
  <c r="H145" i="17"/>
  <c r="V145" i="17" s="1"/>
  <c r="AJ145" i="17" s="1"/>
  <c r="H77" i="17"/>
  <c r="V77" i="17" s="1"/>
  <c r="AJ77" i="17" s="1"/>
  <c r="P170" i="17"/>
  <c r="O177" i="17"/>
  <c r="O169" i="17"/>
  <c r="P89" i="17"/>
  <c r="T89" i="17"/>
  <c r="S39" i="17"/>
  <c r="BC39" i="17" s="1"/>
  <c r="Q28" i="17"/>
  <c r="BA28" i="17" s="1"/>
  <c r="P13" i="17"/>
  <c r="AZ13" i="17" s="1"/>
  <c r="P82" i="17"/>
  <c r="T95" i="17"/>
  <c r="O162" i="17"/>
  <c r="O29" i="17"/>
  <c r="AY29" i="17" s="1"/>
  <c r="Q39" i="17"/>
  <c r="BA39" i="17" s="1"/>
  <c r="O28" i="17"/>
  <c r="AY28" i="17" s="1"/>
  <c r="P39" i="17"/>
  <c r="AZ39" i="17" s="1"/>
  <c r="T19" i="17"/>
  <c r="BD19" i="17" s="1"/>
  <c r="S19" i="17"/>
  <c r="BC19" i="17" s="1"/>
  <c r="R19" i="17"/>
  <c r="BB19" i="17" s="1"/>
  <c r="O19" i="17"/>
  <c r="AY19" i="17" s="1"/>
  <c r="O18" i="17"/>
  <c r="AY18" i="17" s="1"/>
  <c r="Q30" i="17"/>
  <c r="BA30" i="17" s="1"/>
  <c r="Q19" i="17"/>
  <c r="BA19" i="17" s="1"/>
  <c r="S92" i="17"/>
  <c r="Q103" i="17"/>
  <c r="O159" i="17"/>
  <c r="S170" i="17"/>
  <c r="P33" i="17"/>
  <c r="AZ33" i="17" s="1"/>
  <c r="Q40" i="17"/>
  <c r="BA40" i="17" s="1"/>
  <c r="P30" i="17"/>
  <c r="AZ30" i="17" s="1"/>
  <c r="O81" i="17"/>
  <c r="T94" i="17"/>
  <c r="T104" i="17"/>
  <c r="O150" i="17"/>
  <c r="O168" i="17"/>
  <c r="T170" i="17"/>
  <c r="P40" i="17"/>
  <c r="AZ40" i="17" s="1"/>
  <c r="T29" i="17"/>
  <c r="BD29" i="17" s="1"/>
  <c r="Q18" i="17"/>
  <c r="BA18" i="17" s="1"/>
  <c r="T150" i="17"/>
  <c r="O160" i="17"/>
  <c r="Q34" i="17"/>
  <c r="BA34" i="17" s="1"/>
  <c r="Q12" i="17"/>
  <c r="BA12" i="17" s="1"/>
  <c r="P81" i="17"/>
  <c r="S103" i="17"/>
  <c r="Q162" i="17"/>
  <c r="Q32" i="17"/>
  <c r="BA32" i="17" s="1"/>
  <c r="Q93" i="17"/>
  <c r="Q152" i="17"/>
  <c r="O23" i="17"/>
  <c r="AY23" i="17" s="1"/>
  <c r="P25" i="17"/>
  <c r="AZ25" i="17" s="1"/>
  <c r="S79" i="17"/>
  <c r="S93" i="17"/>
  <c r="O101" i="17"/>
  <c r="O152" i="17"/>
  <c r="S154" i="17"/>
  <c r="Q24" i="17"/>
  <c r="BA24" i="17" s="1"/>
  <c r="P79" i="17"/>
  <c r="T91" i="17"/>
  <c r="P152" i="17"/>
  <c r="O154" i="17"/>
  <c r="O11" i="17"/>
  <c r="AY11" i="17" s="1"/>
  <c r="P23" i="17"/>
  <c r="AZ23" i="17" s="1"/>
  <c r="T79" i="17"/>
  <c r="Q83" i="17"/>
  <c r="O91" i="17"/>
  <c r="R152" i="17"/>
  <c r="P154" i="17"/>
  <c r="R164" i="17"/>
  <c r="T173" i="17"/>
  <c r="O16" i="17"/>
  <c r="AY16" i="17" s="1"/>
  <c r="Q38" i="17"/>
  <c r="BA38" i="17" s="1"/>
  <c r="S29" i="17"/>
  <c r="BC29" i="17" s="1"/>
  <c r="Q22" i="17"/>
  <c r="BA22" i="17" s="1"/>
  <c r="Q16" i="17"/>
  <c r="BA16" i="17" s="1"/>
  <c r="S83" i="17"/>
  <c r="O88" i="17"/>
  <c r="O102" i="17"/>
  <c r="P150" i="17"/>
  <c r="Q154" i="17"/>
  <c r="O158" i="17"/>
  <c r="R160" i="17"/>
  <c r="S164" i="17"/>
  <c r="R169" i="17"/>
  <c r="O173" i="17"/>
  <c r="O38" i="17"/>
  <c r="AY38" i="17" s="1"/>
  <c r="O13" i="17"/>
  <c r="AY13" i="17" s="1"/>
  <c r="P38" i="17"/>
  <c r="AZ38" i="17" s="1"/>
  <c r="R29" i="17"/>
  <c r="BB29" i="17" s="1"/>
  <c r="Q20" i="17"/>
  <c r="BA20" i="17" s="1"/>
  <c r="P15" i="17"/>
  <c r="AZ15" i="17" s="1"/>
  <c r="T92" i="17"/>
  <c r="P102" i="17"/>
  <c r="Q150" i="17"/>
  <c r="R153" i="17"/>
  <c r="P158" i="17"/>
  <c r="T164" i="17"/>
  <c r="O36" i="17"/>
  <c r="AY36" i="17" s="1"/>
  <c r="Q42" i="17"/>
  <c r="BA42" i="17" s="1"/>
  <c r="Q36" i="17"/>
  <c r="BA36" i="17" s="1"/>
  <c r="P20" i="17"/>
  <c r="AZ20" i="17" s="1"/>
  <c r="Q14" i="17"/>
  <c r="BA14" i="17" s="1"/>
  <c r="P42" i="17"/>
  <c r="AZ42" i="17" s="1"/>
  <c r="P36" i="17"/>
  <c r="AZ36" i="17" s="1"/>
  <c r="P34" i="17"/>
  <c r="AZ34" i="17" s="1"/>
  <c r="P32" i="17"/>
  <c r="AZ32" i="17" s="1"/>
  <c r="P26" i="17"/>
  <c r="AZ26" i="17" s="1"/>
  <c r="P24" i="17"/>
  <c r="AZ24" i="17" s="1"/>
  <c r="P22" i="17"/>
  <c r="AZ22" i="17" s="1"/>
  <c r="P16" i="17"/>
  <c r="AZ16" i="17" s="1"/>
  <c r="P14" i="17"/>
  <c r="AZ14" i="17" s="1"/>
  <c r="P12" i="17"/>
  <c r="AZ12" i="17" s="1"/>
  <c r="O37" i="17"/>
  <c r="AY37" i="17" s="1"/>
  <c r="O27" i="17"/>
  <c r="AY27" i="17" s="1"/>
  <c r="O17" i="17"/>
  <c r="AY17" i="17" s="1"/>
  <c r="T41" i="17"/>
  <c r="BD41" i="17" s="1"/>
  <c r="T37" i="17"/>
  <c r="BD37" i="17" s="1"/>
  <c r="T35" i="17"/>
  <c r="BD35" i="17" s="1"/>
  <c r="T33" i="17"/>
  <c r="BD33" i="17" s="1"/>
  <c r="T31" i="17"/>
  <c r="BD31" i="17" s="1"/>
  <c r="T27" i="17"/>
  <c r="BD27" i="17" s="1"/>
  <c r="T25" i="17"/>
  <c r="BD25" i="17" s="1"/>
  <c r="T23" i="17"/>
  <c r="BD23" i="17" s="1"/>
  <c r="T21" i="17"/>
  <c r="BD21" i="17" s="1"/>
  <c r="T17" i="17"/>
  <c r="BD17" i="17" s="1"/>
  <c r="T15" i="17"/>
  <c r="BD15" i="17" s="1"/>
  <c r="T13" i="17"/>
  <c r="BD13" i="17" s="1"/>
  <c r="T11" i="17"/>
  <c r="BD11" i="17" s="1"/>
  <c r="S41" i="17"/>
  <c r="BC41" i="17" s="1"/>
  <c r="S37" i="17"/>
  <c r="BC37" i="17" s="1"/>
  <c r="S35" i="17"/>
  <c r="BC35" i="17" s="1"/>
  <c r="S33" i="17"/>
  <c r="BC33" i="17" s="1"/>
  <c r="S31" i="17"/>
  <c r="BC31" i="17" s="1"/>
  <c r="S27" i="17"/>
  <c r="BC27" i="17" s="1"/>
  <c r="S25" i="17"/>
  <c r="BC25" i="17" s="1"/>
  <c r="S23" i="17"/>
  <c r="BC23" i="17" s="1"/>
  <c r="S21" i="17"/>
  <c r="BC21" i="17" s="1"/>
  <c r="S17" i="17"/>
  <c r="BC17" i="17" s="1"/>
  <c r="S15" i="17"/>
  <c r="BC15" i="17" s="1"/>
  <c r="S13" i="17"/>
  <c r="BC13" i="17" s="1"/>
  <c r="S11" i="17"/>
  <c r="BC11" i="17" s="1"/>
  <c r="O35" i="17"/>
  <c r="AY35" i="17" s="1"/>
  <c r="O25" i="17"/>
  <c r="AY25" i="17" s="1"/>
  <c r="O15" i="17"/>
  <c r="AY15" i="17" s="1"/>
  <c r="R41" i="17"/>
  <c r="BB41" i="17" s="1"/>
  <c r="R37" i="17"/>
  <c r="BB37" i="17" s="1"/>
  <c r="R35" i="17"/>
  <c r="BB35" i="17" s="1"/>
  <c r="R33" i="17"/>
  <c r="BB33" i="17" s="1"/>
  <c r="R31" i="17"/>
  <c r="BB31" i="17" s="1"/>
  <c r="R27" i="17"/>
  <c r="BB27" i="17" s="1"/>
  <c r="R25" i="17"/>
  <c r="BB25" i="17" s="1"/>
  <c r="R23" i="17"/>
  <c r="BB23" i="17" s="1"/>
  <c r="R21" i="17"/>
  <c r="BB21" i="17" s="1"/>
  <c r="R17" i="17"/>
  <c r="BB17" i="17" s="1"/>
  <c r="R15" i="17"/>
  <c r="BB15" i="17" s="1"/>
  <c r="R13" i="17"/>
  <c r="BB13" i="17" s="1"/>
  <c r="R11" i="17"/>
  <c r="BB11" i="17" s="1"/>
  <c r="O34" i="17"/>
  <c r="AY34" i="17" s="1"/>
  <c r="O24" i="17"/>
  <c r="AY24" i="17" s="1"/>
  <c r="O14" i="17"/>
  <c r="AY14" i="17" s="1"/>
  <c r="Q41" i="17"/>
  <c r="BA41" i="17" s="1"/>
  <c r="Q37" i="17"/>
  <c r="BA37" i="17" s="1"/>
  <c r="Q31" i="17"/>
  <c r="BA31" i="17" s="1"/>
  <c r="Q27" i="17"/>
  <c r="BA27" i="17" s="1"/>
  <c r="Q21" i="17"/>
  <c r="BA21" i="17" s="1"/>
  <c r="Q17" i="17"/>
  <c r="BA17" i="17" s="1"/>
  <c r="P41" i="17"/>
  <c r="AZ41" i="17" s="1"/>
  <c r="O42" i="17"/>
  <c r="AY42" i="17" s="1"/>
  <c r="O32" i="17"/>
  <c r="AY32" i="17" s="1"/>
  <c r="O22" i="17"/>
  <c r="AY22" i="17" s="1"/>
  <c r="O12" i="17"/>
  <c r="AY12" i="17" s="1"/>
  <c r="T40" i="17"/>
  <c r="BD40" i="17" s="1"/>
  <c r="T38" i="17"/>
  <c r="BD38" i="17" s="1"/>
  <c r="T36" i="17"/>
  <c r="BD36" i="17" s="1"/>
  <c r="T34" i="17"/>
  <c r="BD34" i="17" s="1"/>
  <c r="T32" i="17"/>
  <c r="BD32" i="17" s="1"/>
  <c r="T30" i="17"/>
  <c r="BD30" i="17" s="1"/>
  <c r="T28" i="17"/>
  <c r="BD28" i="17" s="1"/>
  <c r="T26" i="17"/>
  <c r="BD26" i="17" s="1"/>
  <c r="T24" i="17"/>
  <c r="BD24" i="17" s="1"/>
  <c r="T22" i="17"/>
  <c r="BD22" i="17" s="1"/>
  <c r="T20" i="17"/>
  <c r="BD20" i="17" s="1"/>
  <c r="T18" i="17"/>
  <c r="BD18" i="17" s="1"/>
  <c r="T16" i="17"/>
  <c r="BD16" i="17" s="1"/>
  <c r="T14" i="17"/>
  <c r="BD14" i="17" s="1"/>
  <c r="T12" i="17"/>
  <c r="BD12" i="17" s="1"/>
  <c r="T42" i="17"/>
  <c r="BD42" i="17" s="1"/>
  <c r="P31" i="17"/>
  <c r="AZ31" i="17" s="1"/>
  <c r="O21" i="17"/>
  <c r="AY21" i="17" s="1"/>
  <c r="S42" i="17"/>
  <c r="BC42" i="17" s="1"/>
  <c r="S40" i="17"/>
  <c r="BC40" i="17" s="1"/>
  <c r="S38" i="17"/>
  <c r="BC38" i="17" s="1"/>
  <c r="S36" i="17"/>
  <c r="BC36" i="17" s="1"/>
  <c r="S34" i="17"/>
  <c r="BC34" i="17" s="1"/>
  <c r="S32" i="17"/>
  <c r="BC32" i="17" s="1"/>
  <c r="S30" i="17"/>
  <c r="BC30" i="17" s="1"/>
  <c r="S28" i="17"/>
  <c r="BC28" i="17" s="1"/>
  <c r="S26" i="17"/>
  <c r="BC26" i="17" s="1"/>
  <c r="S24" i="17"/>
  <c r="BC24" i="17" s="1"/>
  <c r="S22" i="17"/>
  <c r="BC22" i="17" s="1"/>
  <c r="S20" i="17"/>
  <c r="BC20" i="17" s="1"/>
  <c r="S18" i="17"/>
  <c r="BC18" i="17" s="1"/>
  <c r="S16" i="17"/>
  <c r="BC16" i="17" s="1"/>
  <c r="S14" i="17"/>
  <c r="BC14" i="17" s="1"/>
  <c r="S12" i="17"/>
  <c r="BC12" i="17" s="1"/>
  <c r="O40" i="17"/>
  <c r="AY40" i="17" s="1"/>
  <c r="O30" i="17"/>
  <c r="AY30" i="17" s="1"/>
  <c r="O20" i="17"/>
  <c r="AY20" i="17" s="1"/>
  <c r="T106" i="17"/>
  <c r="S106" i="17"/>
  <c r="R106" i="17"/>
  <c r="Q106" i="17"/>
  <c r="P106" i="17"/>
  <c r="O106" i="17"/>
  <c r="O96" i="17"/>
  <c r="R96" i="17"/>
  <c r="T96" i="17"/>
  <c r="S96" i="17"/>
  <c r="P96" i="17"/>
  <c r="T86" i="17"/>
  <c r="Q86" i="17"/>
  <c r="P86" i="17"/>
  <c r="T108" i="17"/>
  <c r="P101" i="17"/>
  <c r="P109" i="17"/>
  <c r="Q109" i="17"/>
  <c r="S174" i="17"/>
  <c r="R174" i="17"/>
  <c r="Q172" i="17"/>
  <c r="T172" i="17"/>
  <c r="P155" i="17"/>
  <c r="P165" i="17"/>
  <c r="O175" i="17"/>
  <c r="Q175" i="17"/>
  <c r="R167" i="17"/>
  <c r="R175" i="17"/>
  <c r="S175" i="17"/>
  <c r="T157" i="17"/>
  <c r="O161" i="17"/>
  <c r="O172" i="17"/>
  <c r="S176" i="17"/>
  <c r="Q161" i="17"/>
  <c r="O164" i="17"/>
  <c r="P172" i="17"/>
  <c r="S171" i="17"/>
  <c r="O171" i="17"/>
  <c r="T171" i="17"/>
  <c r="P178" i="17"/>
  <c r="O178" i="17"/>
  <c r="T178" i="17"/>
  <c r="P147" i="17"/>
  <c r="Q148" i="17"/>
  <c r="R149" i="17"/>
  <c r="R156" i="17"/>
  <c r="P159" i="17"/>
  <c r="S160" i="17"/>
  <c r="P162" i="17"/>
  <c r="O165" i="17"/>
  <c r="R176" i="17"/>
  <c r="P177" i="17"/>
  <c r="R148" i="17"/>
  <c r="O167" i="17"/>
  <c r="P167" i="17"/>
  <c r="T167" i="17"/>
  <c r="P174" i="17"/>
  <c r="O174" i="17"/>
  <c r="T174" i="17"/>
  <c r="R147" i="17"/>
  <c r="S148" i="17"/>
  <c r="R159" i="17"/>
  <c r="R162" i="17"/>
  <c r="Q165" i="17"/>
  <c r="R177" i="17"/>
  <c r="S147" i="17"/>
  <c r="T148" i="17"/>
  <c r="O151" i="17"/>
  <c r="Q155" i="17"/>
  <c r="S159" i="17"/>
  <c r="S162" i="17"/>
  <c r="R165" i="17"/>
  <c r="O166" i="17"/>
  <c r="S177" i="17"/>
  <c r="Q151" i="17"/>
  <c r="S152" i="17"/>
  <c r="R155" i="17"/>
  <c r="O157" i="17"/>
  <c r="R163" i="17"/>
  <c r="S165" i="17"/>
  <c r="P166" i="17"/>
  <c r="Q173" i="17"/>
  <c r="T177" i="17"/>
  <c r="R151" i="17"/>
  <c r="P157" i="17"/>
  <c r="S163" i="17"/>
  <c r="Q166" i="17"/>
  <c r="R173" i="17"/>
  <c r="S151" i="17"/>
  <c r="Q157" i="17"/>
  <c r="R166" i="17"/>
  <c r="P171" i="17"/>
  <c r="S173" i="17"/>
  <c r="Q178" i="17"/>
  <c r="R157" i="17"/>
  <c r="Q171" i="17"/>
  <c r="R178" i="17"/>
  <c r="S150" i="17"/>
  <c r="R154" i="17"/>
  <c r="Q160" i="17"/>
  <c r="S161" i="17"/>
  <c r="P161" i="17"/>
  <c r="T161" i="17"/>
  <c r="Q167" i="17"/>
  <c r="P168" i="17"/>
  <c r="R168" i="17"/>
  <c r="Q168" i="17"/>
  <c r="R171" i="17"/>
  <c r="Q174" i="17"/>
  <c r="P176" i="17"/>
  <c r="S178" i="17"/>
  <c r="Q164" i="17"/>
  <c r="S169" i="17"/>
  <c r="R172" i="17"/>
  <c r="S109" i="17"/>
  <c r="T109" i="17"/>
  <c r="O99" i="17"/>
  <c r="P99" i="17"/>
  <c r="Q99" i="17"/>
  <c r="O109" i="17"/>
  <c r="S99" i="17"/>
  <c r="Q80" i="17"/>
  <c r="R83" i="17"/>
  <c r="O84" i="17"/>
  <c r="P87" i="17"/>
  <c r="Q90" i="17"/>
  <c r="R93" i="17"/>
  <c r="O94" i="17"/>
  <c r="P97" i="17"/>
  <c r="Q100" i="17"/>
  <c r="R103" i="17"/>
  <c r="O104" i="17"/>
  <c r="P107" i="17"/>
  <c r="Q110" i="17"/>
  <c r="R80" i="17"/>
  <c r="Q87" i="17"/>
  <c r="R90" i="17"/>
  <c r="Q97" i="17"/>
  <c r="R100" i="17"/>
  <c r="Q107" i="17"/>
  <c r="R110" i="17"/>
  <c r="S80" i="17"/>
  <c r="R87" i="17"/>
  <c r="S90" i="17"/>
  <c r="R97" i="17"/>
  <c r="S100" i="17"/>
  <c r="R107" i="17"/>
  <c r="S110" i="17"/>
  <c r="T80" i="17"/>
  <c r="Q81" i="17"/>
  <c r="R84" i="17"/>
  <c r="O85" i="17"/>
  <c r="S87" i="17"/>
  <c r="P88" i="17"/>
  <c r="T90" i="17"/>
  <c r="Q91" i="17"/>
  <c r="R94" i="17"/>
  <c r="S97" i="17"/>
  <c r="P98" i="17"/>
  <c r="T100" i="17"/>
  <c r="Q101" i="17"/>
  <c r="R104" i="17"/>
  <c r="O105" i="17"/>
  <c r="S107" i="17"/>
  <c r="P108" i="17"/>
  <c r="T110" i="17"/>
  <c r="R81" i="17"/>
  <c r="S84" i="17"/>
  <c r="P85" i="17"/>
  <c r="T87" i="17"/>
  <c r="Q88" i="17"/>
  <c r="R91" i="17"/>
  <c r="S94" i="17"/>
  <c r="P95" i="17"/>
  <c r="T97" i="17"/>
  <c r="Q98" i="17"/>
  <c r="R101" i="17"/>
  <c r="S104" i="17"/>
  <c r="P105" i="17"/>
  <c r="T107" i="17"/>
  <c r="Q108" i="17"/>
  <c r="S81" i="17"/>
  <c r="Q85" i="17"/>
  <c r="R88" i="17"/>
  <c r="S91" i="17"/>
  <c r="Q95" i="17"/>
  <c r="R98" i="17"/>
  <c r="S101" i="17"/>
  <c r="Q105" i="17"/>
  <c r="R108" i="17"/>
  <c r="R85" i="17"/>
  <c r="R95" i="17"/>
  <c r="S98" i="17"/>
  <c r="R105" i="17"/>
  <c r="S108" i="17"/>
  <c r="Q79" i="17"/>
  <c r="R82" i="17"/>
  <c r="O83" i="17"/>
  <c r="S85" i="17"/>
  <c r="Q89" i="17"/>
  <c r="R92" i="17"/>
  <c r="O93" i="17"/>
  <c r="S95" i="17"/>
  <c r="R102" i="17"/>
  <c r="O103" i="17"/>
  <c r="S105" i="17"/>
  <c r="R79" i="17"/>
  <c r="O80" i="17"/>
  <c r="S82" i="17"/>
  <c r="P83" i="17"/>
  <c r="R89" i="17"/>
  <c r="O90" i="17"/>
  <c r="P93" i="17"/>
  <c r="R99" i="17"/>
  <c r="O100" i="17"/>
  <c r="S102" i="17"/>
  <c r="P103" i="17"/>
  <c r="R109" i="17"/>
  <c r="O110" i="17"/>
  <c r="U13" i="16"/>
  <c r="X12" i="16"/>
  <c r="X13" i="16" s="1"/>
  <c r="W12" i="16"/>
  <c r="W13" i="16" s="1"/>
  <c r="V12" i="16"/>
  <c r="V13" i="16" s="1"/>
  <c r="L7" i="16"/>
  <c r="M7" i="16" s="1"/>
  <c r="L12" i="16"/>
  <c r="M12" i="16" s="1"/>
  <c r="L17" i="16"/>
  <c r="M17" i="16" s="1"/>
  <c r="L22" i="16"/>
  <c r="M22" i="16" s="1"/>
  <c r="L27" i="16"/>
  <c r="M27" i="16" s="1"/>
  <c r="L32" i="16"/>
  <c r="M32" i="16" s="1"/>
  <c r="L5" i="16"/>
  <c r="M5" i="16" s="1"/>
  <c r="L10" i="16"/>
  <c r="M10" i="16" s="1"/>
  <c r="L15" i="16"/>
  <c r="M15" i="16" s="1"/>
  <c r="L20" i="16"/>
  <c r="M20" i="16" s="1"/>
  <c r="L25" i="16"/>
  <c r="M25" i="16" s="1"/>
  <c r="L4" i="16"/>
  <c r="M4" i="16" s="1"/>
  <c r="L9" i="16"/>
  <c r="M9" i="16" s="1"/>
  <c r="L14" i="16"/>
  <c r="M14" i="16" s="1"/>
  <c r="L19" i="16"/>
  <c r="M19" i="16" s="1"/>
  <c r="L24" i="16"/>
  <c r="M24" i="16" s="1"/>
  <c r="L29" i="16"/>
  <c r="M29" i="16" s="1"/>
  <c r="L34" i="16"/>
  <c r="M34" i="16" s="1"/>
  <c r="L30" i="16"/>
  <c r="M30" i="16" s="1"/>
  <c r="L6" i="16"/>
  <c r="M6" i="16" s="1"/>
  <c r="L11" i="16"/>
  <c r="M11" i="16" s="1"/>
  <c r="L16" i="16"/>
  <c r="M16" i="16" s="1"/>
  <c r="L21" i="16"/>
  <c r="M21" i="16" s="1"/>
  <c r="L26" i="16"/>
  <c r="M26" i="16" s="1"/>
  <c r="L31" i="16"/>
  <c r="M31" i="16" s="1"/>
  <c r="L18" i="16"/>
  <c r="M18" i="16" s="1"/>
  <c r="L33" i="16"/>
  <c r="M33" i="16" s="1"/>
  <c r="L13" i="16"/>
  <c r="M13" i="16" s="1"/>
  <c r="L23" i="16"/>
  <c r="M23" i="16" s="1"/>
  <c r="L28" i="16"/>
  <c r="M28" i="16" s="1"/>
  <c r="L35" i="16"/>
  <c r="M35" i="16" s="1"/>
  <c r="L8" i="16"/>
  <c r="M8" i="16" s="1"/>
  <c r="T14" i="16" l="1"/>
  <c r="U14" i="16"/>
  <c r="AG41" i="16" s="1"/>
  <c r="AK54" i="16"/>
  <c r="AG50" i="16"/>
  <c r="AO42" i="16"/>
  <c r="AO55" i="16"/>
  <c r="AO52" i="16"/>
  <c r="AF66" i="16"/>
  <c r="AJ68" i="16"/>
  <c r="AJ67" i="16"/>
  <c r="W40" i="16"/>
  <c r="AJ57" i="16"/>
  <c r="AN56" i="16"/>
  <c r="AF65" i="16"/>
  <c r="AN43" i="16"/>
  <c r="AN49" i="16"/>
  <c r="W14" i="16"/>
  <c r="BB60" i="16" s="1"/>
  <c r="X14" i="16"/>
  <c r="BN66" i="16" s="1"/>
  <c r="Y14" i="16"/>
  <c r="BX43" i="16" s="1"/>
  <c r="S59" i="16"/>
  <c r="V14" i="16"/>
  <c r="J61" i="16" s="1"/>
  <c r="AN60" i="16" l="1"/>
  <c r="AS48" i="16"/>
  <c r="AO45" i="16"/>
  <c r="AG54" i="16"/>
  <c r="AF56" i="16"/>
  <c r="AJ48" i="16"/>
  <c r="N68" i="16"/>
  <c r="F40" i="16"/>
  <c r="F68" i="16"/>
  <c r="BT50" i="16"/>
  <c r="J40" i="16"/>
  <c r="BK42" i="16"/>
  <c r="N40" i="16"/>
  <c r="O40" i="16"/>
  <c r="K68" i="16"/>
  <c r="BJ57" i="16"/>
  <c r="CB68" i="16"/>
  <c r="O68" i="16"/>
  <c r="BO56" i="16"/>
  <c r="K40" i="16"/>
  <c r="BT41" i="16"/>
  <c r="BO64" i="16"/>
  <c r="BF52" i="16"/>
  <c r="BX63" i="16"/>
  <c r="BS41" i="16"/>
  <c r="BT67" i="16"/>
  <c r="BK50" i="16"/>
  <c r="BF50" i="16"/>
  <c r="BT54" i="16"/>
  <c r="BA62" i="16"/>
  <c r="BO48" i="16"/>
  <c r="AS46" i="16"/>
  <c r="CB54" i="16"/>
  <c r="BK67" i="16"/>
  <c r="BG42" i="16"/>
  <c r="AK65" i="16"/>
  <c r="AW57" i="16"/>
  <c r="CB67" i="16"/>
  <c r="BO63" i="16"/>
  <c r="BG68" i="16"/>
  <c r="CA47" i="16"/>
  <c r="AA54" i="16"/>
  <c r="BX46" i="16"/>
  <c r="AA67" i="16"/>
  <c r="BJ42" i="16"/>
  <c r="BL42" i="16" s="1"/>
  <c r="Z45" i="17" s="1"/>
  <c r="BJ56" i="16"/>
  <c r="CB43" i="16"/>
  <c r="BO61" i="16"/>
  <c r="BA48" i="16"/>
  <c r="AK53" i="16"/>
  <c r="AN52" i="16"/>
  <c r="AP52" i="16" s="1"/>
  <c r="AK55" i="17" s="1"/>
  <c r="BO68" i="16"/>
  <c r="AW43" i="16"/>
  <c r="BT57" i="16"/>
  <c r="BT43" i="16"/>
  <c r="BO49" i="16"/>
  <c r="AN54" i="16"/>
  <c r="AO60" i="16"/>
  <c r="AP60" i="16" s="1"/>
  <c r="AK63" i="17" s="1"/>
  <c r="AF47" i="16"/>
  <c r="AA51" i="16"/>
  <c r="S54" i="16"/>
  <c r="BT65" i="16"/>
  <c r="CB56" i="16"/>
  <c r="CB46" i="16"/>
  <c r="BX65" i="16"/>
  <c r="BX48" i="16"/>
  <c r="BT48" i="16"/>
  <c r="W48" i="16"/>
  <c r="BK64" i="16"/>
  <c r="BO65" i="16"/>
  <c r="BO51" i="16"/>
  <c r="BG67" i="16"/>
  <c r="BO62" i="16"/>
  <c r="BO44" i="16"/>
  <c r="J55" i="16"/>
  <c r="G53" i="16"/>
  <c r="F56" i="16"/>
  <c r="F55" i="16"/>
  <c r="N47" i="16"/>
  <c r="O46" i="16"/>
  <c r="O57" i="16"/>
  <c r="G68" i="16"/>
  <c r="K49" i="16"/>
  <c r="O44" i="16"/>
  <c r="BA60" i="16"/>
  <c r="BC60" i="16" s="1"/>
  <c r="AM63" i="17" s="1"/>
  <c r="AA59" i="16"/>
  <c r="AK47" i="16"/>
  <c r="AG62" i="16"/>
  <c r="AO67" i="16"/>
  <c r="AG43" i="16"/>
  <c r="AG46" i="16"/>
  <c r="AG55" i="16"/>
  <c r="BN59" i="16"/>
  <c r="AN45" i="16"/>
  <c r="AP45" i="16" s="1"/>
  <c r="AK48" i="17" s="1"/>
  <c r="BA63" i="16"/>
  <c r="AX42" i="16"/>
  <c r="AX50" i="16"/>
  <c r="AT64" i="16"/>
  <c r="BB40" i="16"/>
  <c r="BB56" i="16"/>
  <c r="AN64" i="16"/>
  <c r="AF62" i="16"/>
  <c r="J60" i="16"/>
  <c r="G41" i="16"/>
  <c r="F44" i="16"/>
  <c r="F64" i="16"/>
  <c r="N52" i="16"/>
  <c r="G57" i="16"/>
  <c r="O61" i="16"/>
  <c r="K65" i="16"/>
  <c r="AS62" i="16"/>
  <c r="BJ63" i="16"/>
  <c r="AX61" i="16"/>
  <c r="BB59" i="16"/>
  <c r="AX62" i="16"/>
  <c r="AT65" i="16"/>
  <c r="AX55" i="16"/>
  <c r="AW62" i="16"/>
  <c r="BF42" i="16"/>
  <c r="G61" i="16"/>
  <c r="G60" i="16"/>
  <c r="F52" i="16"/>
  <c r="S65" i="16"/>
  <c r="AS50" i="16"/>
  <c r="BB51" i="16"/>
  <c r="AT56" i="16"/>
  <c r="AX58" i="16"/>
  <c r="AX49" i="16"/>
  <c r="BB52" i="16"/>
  <c r="AF58" i="16"/>
  <c r="BN56" i="16"/>
  <c r="J64" i="16"/>
  <c r="AA41" i="16"/>
  <c r="S64" i="16"/>
  <c r="S53" i="16"/>
  <c r="AA60" i="16"/>
  <c r="AA49" i="16"/>
  <c r="W45" i="16"/>
  <c r="AA46" i="16"/>
  <c r="S58" i="16"/>
  <c r="S67" i="16"/>
  <c r="W50" i="16"/>
  <c r="S43" i="16"/>
  <c r="AB67" i="16"/>
  <c r="AC67" i="16" s="1"/>
  <c r="AJ70" i="17" s="1"/>
  <c r="X64" i="16"/>
  <c r="AB55" i="16"/>
  <c r="X42" i="16"/>
  <c r="AB61" i="16"/>
  <c r="T67" i="16"/>
  <c r="X46" i="16"/>
  <c r="X61" i="16"/>
  <c r="X68" i="16"/>
  <c r="W63" i="16"/>
  <c r="W55" i="16"/>
  <c r="W49" i="16"/>
  <c r="AA43" i="16"/>
  <c r="W66" i="16"/>
  <c r="W65" i="16"/>
  <c r="AA63" i="16"/>
  <c r="S68" i="16"/>
  <c r="W57" i="16"/>
  <c r="AB50" i="16"/>
  <c r="T41" i="16"/>
  <c r="AB63" i="16"/>
  <c r="X50" i="16"/>
  <c r="X43" i="16"/>
  <c r="AB64" i="16"/>
  <c r="X67" i="16"/>
  <c r="W68" i="16"/>
  <c r="T48" i="16"/>
  <c r="S50" i="16"/>
  <c r="AA44" i="16"/>
  <c r="W67" i="16"/>
  <c r="W58" i="16"/>
  <c r="Y58" i="16" s="1"/>
  <c r="V61" i="17" s="1"/>
  <c r="AA40" i="16"/>
  <c r="W53" i="16"/>
  <c r="AA66" i="16"/>
  <c r="AA55" i="16"/>
  <c r="W60" i="16"/>
  <c r="AB58" i="16"/>
  <c r="T46" i="16"/>
  <c r="AB46" i="16"/>
  <c r="X63" i="16"/>
  <c r="X51" i="16"/>
  <c r="AB40" i="16"/>
  <c r="T47" i="16"/>
  <c r="S48" i="16"/>
  <c r="S55" i="16"/>
  <c r="AA48" i="16"/>
  <c r="AA47" i="16"/>
  <c r="S62" i="16"/>
  <c r="S52" i="16"/>
  <c r="S46" i="16"/>
  <c r="S42" i="16"/>
  <c r="AA68" i="16"/>
  <c r="S44" i="16"/>
  <c r="AA45" i="16"/>
  <c r="X40" i="16"/>
  <c r="Y40" i="16" s="1"/>
  <c r="V43" i="17" s="1"/>
  <c r="T51" i="16"/>
  <c r="X48" i="16"/>
  <c r="T43" i="16"/>
  <c r="T44" i="16"/>
  <c r="X52" i="16"/>
  <c r="T60" i="16"/>
  <c r="T54" i="16"/>
  <c r="S63" i="16"/>
  <c r="W54" i="16"/>
  <c r="AB44" i="16"/>
  <c r="T56" i="16"/>
  <c r="X56" i="16"/>
  <c r="T64" i="16"/>
  <c r="T52" i="16"/>
  <c r="X60" i="16"/>
  <c r="T68" i="16"/>
  <c r="T62" i="16"/>
  <c r="AB56" i="16"/>
  <c r="S45" i="16"/>
  <c r="AA65" i="16"/>
  <c r="AA52" i="16"/>
  <c r="AB42" i="16"/>
  <c r="AB65" i="16"/>
  <c r="T61" i="16"/>
  <c r="T49" i="16"/>
  <c r="AB49" i="16"/>
  <c r="AB53" i="16"/>
  <c r="T45" i="16"/>
  <c r="AB43" i="16"/>
  <c r="AB45" i="16"/>
  <c r="X41" i="16"/>
  <c r="AA53" i="16"/>
  <c r="W43" i="16"/>
  <c r="AA42" i="16"/>
  <c r="S57" i="16"/>
  <c r="AB47" i="16"/>
  <c r="X44" i="16"/>
  <c r="T66" i="16"/>
  <c r="T57" i="16"/>
  <c r="X57" i="16"/>
  <c r="X45" i="16"/>
  <c r="T53" i="16"/>
  <c r="AB68" i="16"/>
  <c r="W41" i="16"/>
  <c r="X62" i="16"/>
  <c r="S61" i="16"/>
  <c r="U61" i="16" s="1"/>
  <c r="H64" i="17" s="1"/>
  <c r="S51" i="16"/>
  <c r="S60" i="16"/>
  <c r="AB52" i="16"/>
  <c r="X49" i="16"/>
  <c r="AB51" i="16"/>
  <c r="T65" i="16"/>
  <c r="X65" i="16"/>
  <c r="X58" i="16"/>
  <c r="AB41" i="16"/>
  <c r="S40" i="16"/>
  <c r="X47" i="16"/>
  <c r="T42" i="16"/>
  <c r="AA56" i="16"/>
  <c r="AB57" i="16"/>
  <c r="X54" i="16"/>
  <c r="AB59" i="16"/>
  <c r="AB48" i="16"/>
  <c r="T50" i="16"/>
  <c r="X66" i="16"/>
  <c r="AB54" i="16"/>
  <c r="AC54" i="16" s="1"/>
  <c r="AJ57" i="17" s="1"/>
  <c r="W47" i="16"/>
  <c r="X55" i="16"/>
  <c r="T55" i="16"/>
  <c r="S49" i="16"/>
  <c r="S66" i="16"/>
  <c r="W46" i="16"/>
  <c r="Y46" i="16" s="1"/>
  <c r="V49" i="17" s="1"/>
  <c r="W51" i="16"/>
  <c r="AB62" i="16"/>
  <c r="X59" i="16"/>
  <c r="T40" i="16"/>
  <c r="AB60" i="16"/>
  <c r="AC60" i="16" s="1"/>
  <c r="AJ63" i="17" s="1"/>
  <c r="T58" i="16"/>
  <c r="T59" i="16"/>
  <c r="U59" i="16" s="1"/>
  <c r="H62" i="17" s="1"/>
  <c r="AB66" i="16"/>
  <c r="X53" i="16"/>
  <c r="W62" i="16"/>
  <c r="T63" i="16"/>
  <c r="BS55" i="16"/>
  <c r="W52" i="16"/>
  <c r="Y52" i="16" s="1"/>
  <c r="V55" i="17" s="1"/>
  <c r="BT42" i="16"/>
  <c r="CB59" i="16"/>
  <c r="BT46" i="16"/>
  <c r="BX61" i="16"/>
  <c r="CB41" i="16"/>
  <c r="BX56" i="16"/>
  <c r="BK60" i="16"/>
  <c r="BK58" i="16"/>
  <c r="BG55" i="16"/>
  <c r="BO54" i="16"/>
  <c r="BO43" i="16"/>
  <c r="BG54" i="16"/>
  <c r="G54" i="16"/>
  <c r="J59" i="16"/>
  <c r="K58" i="16"/>
  <c r="G50" i="16"/>
  <c r="G49" i="16"/>
  <c r="F41" i="16"/>
  <c r="G47" i="16"/>
  <c r="K61" i="16"/>
  <c r="G40" i="16"/>
  <c r="K55" i="16"/>
  <c r="BJ64" i="16"/>
  <c r="AJ49" i="16"/>
  <c r="AO50" i="16"/>
  <c r="AG68" i="16"/>
  <c r="AK61" i="16"/>
  <c r="AK51" i="16"/>
  <c r="AK60" i="16"/>
  <c r="AK49" i="16"/>
  <c r="AN59" i="16"/>
  <c r="BF56" i="16"/>
  <c r="AS53" i="16"/>
  <c r="AX60" i="16"/>
  <c r="AX43" i="16"/>
  <c r="AY43" i="16" s="1"/>
  <c r="Y46" i="17" s="1"/>
  <c r="AX54" i="16"/>
  <c r="AX45" i="16"/>
  <c r="AX51" i="16"/>
  <c r="BS68" i="16"/>
  <c r="AF40" i="16"/>
  <c r="G65" i="16"/>
  <c r="BX50" i="16"/>
  <c r="CB48" i="16"/>
  <c r="BX40" i="16"/>
  <c r="BX68" i="16"/>
  <c r="CB47" i="16"/>
  <c r="CB49" i="16"/>
  <c r="BG66" i="16"/>
  <c r="BK52" i="16"/>
  <c r="BO47" i="16"/>
  <c r="BG53" i="16"/>
  <c r="BO67" i="16"/>
  <c r="BO52" i="16"/>
  <c r="G43" i="16"/>
  <c r="O65" i="16"/>
  <c r="J53" i="16"/>
  <c r="G59" i="16"/>
  <c r="K67" i="16"/>
  <c r="K44" i="16"/>
  <c r="K54" i="16"/>
  <c r="K50" i="16"/>
  <c r="BW52" i="16"/>
  <c r="AN65" i="16"/>
  <c r="AG63" i="16"/>
  <c r="AG53" i="16"/>
  <c r="AK41" i="16"/>
  <c r="AK43" i="16"/>
  <c r="AK55" i="16"/>
  <c r="AK44" i="16"/>
  <c r="BJ46" i="16"/>
  <c r="BF66" i="16"/>
  <c r="N51" i="16"/>
  <c r="BB63" i="16"/>
  <c r="BB65" i="16"/>
  <c r="AX52" i="16"/>
  <c r="AX41" i="16"/>
  <c r="AX63" i="16"/>
  <c r="BN52" i="16"/>
  <c r="K64" i="16"/>
  <c r="L64" i="16" s="1"/>
  <c r="BT52" i="16"/>
  <c r="CB45" i="16"/>
  <c r="BX45" i="16"/>
  <c r="N62" i="16"/>
  <c r="BK63" i="16"/>
  <c r="BG56" i="16"/>
  <c r="BK49" i="16"/>
  <c r="BG49" i="16"/>
  <c r="BO66" i="16"/>
  <c r="BP66" i="16" s="1"/>
  <c r="AN69" i="17" s="1"/>
  <c r="BG50" i="16"/>
  <c r="K59" i="16"/>
  <c r="N60" i="16"/>
  <c r="K47" i="16"/>
  <c r="J47" i="16"/>
  <c r="J63" i="16"/>
  <c r="G48" i="16"/>
  <c r="J62" i="16"/>
  <c r="O67" i="16"/>
  <c r="K43" i="16"/>
  <c r="K45" i="16"/>
  <c r="BW47" i="16"/>
  <c r="F58" i="16"/>
  <c r="AJ41" i="16"/>
  <c r="AN50" i="16"/>
  <c r="AN63" i="16"/>
  <c r="AJ54" i="16"/>
  <c r="AL54" i="16" s="1"/>
  <c r="W57" i="17" s="1"/>
  <c r="AF53" i="16"/>
  <c r="AJ59" i="16"/>
  <c r="AN47" i="16"/>
  <c r="AF54" i="16"/>
  <c r="AN58" i="16"/>
  <c r="AF59" i="16"/>
  <c r="AK59" i="16"/>
  <c r="AO64" i="16"/>
  <c r="AK57" i="16"/>
  <c r="AL57" i="16" s="1"/>
  <c r="W60" i="17" s="1"/>
  <c r="AO66" i="16"/>
  <c r="AK62" i="16"/>
  <c r="AO56" i="16"/>
  <c r="AP56" i="16" s="1"/>
  <c r="AK59" i="17" s="1"/>
  <c r="AG40" i="16"/>
  <c r="AK46" i="16"/>
  <c r="AJ46" i="16"/>
  <c r="AF63" i="16"/>
  <c r="AF50" i="16"/>
  <c r="AH50" i="16" s="1"/>
  <c r="I53" i="17" s="1"/>
  <c r="AF60" i="16"/>
  <c r="AJ60" i="16"/>
  <c r="AN41" i="16"/>
  <c r="AO43" i="16"/>
  <c r="AP43" i="16" s="1"/>
  <c r="AK46" i="17" s="1"/>
  <c r="AK64" i="16"/>
  <c r="AK45" i="16"/>
  <c r="AG42" i="16"/>
  <c r="AK58" i="16"/>
  <c r="AK40" i="16"/>
  <c r="AK52" i="16"/>
  <c r="AO47" i="16"/>
  <c r="AK68" i="16"/>
  <c r="AL68" i="16" s="1"/>
  <c r="W71" i="17" s="1"/>
  <c r="AJ47" i="16"/>
  <c r="AN68" i="16"/>
  <c r="AN55" i="16"/>
  <c r="AP55" i="16" s="1"/>
  <c r="AK58" i="17" s="1"/>
  <c r="AF67" i="16"/>
  <c r="AF45" i="16"/>
  <c r="AJ55" i="16"/>
  <c r="AF48" i="16"/>
  <c r="AJ45" i="16"/>
  <c r="AJ61" i="16"/>
  <c r="AJ62" i="16"/>
  <c r="AN62" i="16"/>
  <c r="AO48" i="16"/>
  <c r="AG45" i="16"/>
  <c r="AK50" i="16"/>
  <c r="AG48" i="16"/>
  <c r="AK66" i="16"/>
  <c r="AK48" i="16"/>
  <c r="AL48" i="16" s="1"/>
  <c r="W51" i="17" s="1"/>
  <c r="AG61" i="16"/>
  <c r="AK42" i="16"/>
  <c r="AG57" i="16"/>
  <c r="AN67" i="16"/>
  <c r="AF61" i="16"/>
  <c r="AJ63" i="16"/>
  <c r="AN57" i="16"/>
  <c r="AJ65" i="16"/>
  <c r="AF55" i="16"/>
  <c r="AH55" i="16" s="1"/>
  <c r="I58" i="17" s="1"/>
  <c r="AF41" i="16"/>
  <c r="AH41" i="16" s="1"/>
  <c r="I44" i="17" s="1"/>
  <c r="AJ44" i="16"/>
  <c r="AJ51" i="16"/>
  <c r="AJ40" i="16"/>
  <c r="AJ66" i="16"/>
  <c r="AN53" i="16"/>
  <c r="AN66" i="16"/>
  <c r="AN42" i="16"/>
  <c r="AP42" i="16" s="1"/>
  <c r="AK45" i="17" s="1"/>
  <c r="AN61" i="16"/>
  <c r="AJ50" i="16"/>
  <c r="AF44" i="16"/>
  <c r="AF64" i="16"/>
  <c r="AN44" i="16"/>
  <c r="AF46" i="16"/>
  <c r="AJ52" i="16"/>
  <c r="AN40" i="16"/>
  <c r="AF52" i="16"/>
  <c r="AN48" i="16"/>
  <c r="AK56" i="16"/>
  <c r="AK63" i="16"/>
  <c r="AO62" i="16"/>
  <c r="AO51" i="16"/>
  <c r="AO59" i="16"/>
  <c r="AO68" i="16"/>
  <c r="AS54" i="16"/>
  <c r="AJ56" i="16"/>
  <c r="AN46" i="16"/>
  <c r="AT54" i="16"/>
  <c r="AX46" i="16"/>
  <c r="AT40" i="16"/>
  <c r="BB66" i="16"/>
  <c r="AJ64" i="16"/>
  <c r="AA64" i="16"/>
  <c r="O50" i="16"/>
  <c r="BU41" i="16"/>
  <c r="M44" i="17" s="1"/>
  <c r="CB63" i="16"/>
  <c r="AS41" i="16"/>
  <c r="BA46" i="16"/>
  <c r="AW42" i="16"/>
  <c r="BA65" i="16"/>
  <c r="AW52" i="16"/>
  <c r="AS63" i="16"/>
  <c r="BA49" i="16"/>
  <c r="AS45" i="16"/>
  <c r="BA53" i="16"/>
  <c r="AS47" i="16"/>
  <c r="AS40" i="16"/>
  <c r="AS60" i="16"/>
  <c r="BA42" i="16"/>
  <c r="AW64" i="16"/>
  <c r="BA59" i="16"/>
  <c r="AS51" i="16"/>
  <c r="BA45" i="16"/>
  <c r="AW56" i="16"/>
  <c r="BA51" i="16"/>
  <c r="AS49" i="16"/>
  <c r="AW67" i="16"/>
  <c r="BA55" i="16"/>
  <c r="BA50" i="16"/>
  <c r="AS64" i="16"/>
  <c r="AS44" i="16"/>
  <c r="BA43" i="16"/>
  <c r="AW61" i="16"/>
  <c r="AY61" i="16" s="1"/>
  <c r="Y64" i="17" s="1"/>
  <c r="AS66" i="16"/>
  <c r="AW54" i="16"/>
  <c r="AS56" i="16"/>
  <c r="AU56" i="16" s="1"/>
  <c r="K59" i="17" s="1"/>
  <c r="AW46" i="16"/>
  <c r="AS58" i="16"/>
  <c r="BA68" i="16"/>
  <c r="BA47" i="16"/>
  <c r="BA67" i="16"/>
  <c r="AW53" i="16"/>
  <c r="AW65" i="16"/>
  <c r="BA44" i="16"/>
  <c r="AS42" i="16"/>
  <c r="AS55" i="16"/>
  <c r="AS67" i="16"/>
  <c r="AW58" i="16"/>
  <c r="AW60" i="16"/>
  <c r="AW50" i="16"/>
  <c r="AY50" i="16" s="1"/>
  <c r="Y53" i="17" s="1"/>
  <c r="AW68" i="16"/>
  <c r="AW40" i="16"/>
  <c r="AS65" i="16"/>
  <c r="AW51" i="16"/>
  <c r="BB57" i="16"/>
  <c r="BB64" i="16"/>
  <c r="BB67" i="16"/>
  <c r="AT57" i="16"/>
  <c r="BB42" i="16"/>
  <c r="BB55" i="16"/>
  <c r="AT63" i="16"/>
  <c r="AT67" i="16"/>
  <c r="AW45" i="16"/>
  <c r="AW59" i="16"/>
  <c r="AS68" i="16"/>
  <c r="AW63" i="16"/>
  <c r="AS59" i="16"/>
  <c r="AT66" i="16"/>
  <c r="AX40" i="16"/>
  <c r="AX47" i="16"/>
  <c r="AT59" i="16"/>
  <c r="BB44" i="16"/>
  <c r="AX65" i="16"/>
  <c r="AX66" i="16"/>
  <c r="AT48" i="16"/>
  <c r="AU48" i="16" s="1"/>
  <c r="K51" i="17" s="1"/>
  <c r="AW47" i="16"/>
  <c r="AX67" i="16"/>
  <c r="AT46" i="16"/>
  <c r="AU46" i="16" s="1"/>
  <c r="K49" i="17" s="1"/>
  <c r="AT51" i="16"/>
  <c r="AT61" i="16"/>
  <c r="BB46" i="16"/>
  <c r="BB58" i="16"/>
  <c r="BB68" i="16"/>
  <c r="AX57" i="16"/>
  <c r="AY57" i="16" s="1"/>
  <c r="Y60" i="17" s="1"/>
  <c r="BA66" i="16"/>
  <c r="AS52" i="16"/>
  <c r="BA41" i="16"/>
  <c r="BA56" i="16"/>
  <c r="AW66" i="16"/>
  <c r="BA52" i="16"/>
  <c r="BB45" i="16"/>
  <c r="BB41" i="16"/>
  <c r="BB48" i="16"/>
  <c r="AW49" i="16"/>
  <c r="AT47" i="16"/>
  <c r="AT43" i="16"/>
  <c r="AT50" i="16"/>
  <c r="AS43" i="16"/>
  <c r="BA64" i="16"/>
  <c r="AX48" i="16"/>
  <c r="AX44" i="16"/>
  <c r="AW55" i="16"/>
  <c r="BB49" i="16"/>
  <c r="AX59" i="16"/>
  <c r="AW44" i="16"/>
  <c r="AS61" i="16"/>
  <c r="BA40" i="16"/>
  <c r="AS57" i="16"/>
  <c r="AU57" i="16" s="1"/>
  <c r="K60" i="17" s="1"/>
  <c r="AT55" i="16"/>
  <c r="AT62" i="16"/>
  <c r="BF62" i="16"/>
  <c r="J50" i="16"/>
  <c r="CB60" i="16"/>
  <c r="BT47" i="16"/>
  <c r="CB58" i="16"/>
  <c r="BX64" i="16"/>
  <c r="BT68" i="16"/>
  <c r="F49" i="16"/>
  <c r="BK59" i="16"/>
  <c r="BG52" i="16"/>
  <c r="BH52" i="16" s="1"/>
  <c r="L55" i="17" s="1"/>
  <c r="BO45" i="16"/>
  <c r="BG47" i="16"/>
  <c r="BG57" i="16"/>
  <c r="BK48" i="16"/>
  <c r="K48" i="16"/>
  <c r="O54" i="16"/>
  <c r="J42" i="16"/>
  <c r="K41" i="16"/>
  <c r="K57" i="16"/>
  <c r="K51" i="16"/>
  <c r="K56" i="16"/>
  <c r="O56" i="16"/>
  <c r="O66" i="16"/>
  <c r="AF57" i="16"/>
  <c r="BJ45" i="16"/>
  <c r="AW48" i="16"/>
  <c r="AF68" i="16"/>
  <c r="AO61" i="16"/>
  <c r="AO46" i="16"/>
  <c r="AO41" i="16"/>
  <c r="AG64" i="16"/>
  <c r="AO54" i="16"/>
  <c r="AP54" i="16" s="1"/>
  <c r="AK57" i="17" s="1"/>
  <c r="AO63" i="16"/>
  <c r="AJ43" i="16"/>
  <c r="F47" i="16"/>
  <c r="BB50" i="16"/>
  <c r="AX68" i="16"/>
  <c r="AX53" i="16"/>
  <c r="AX64" i="16"/>
  <c r="AX56" i="16"/>
  <c r="W44" i="16"/>
  <c r="N55" i="16"/>
  <c r="J49" i="16"/>
  <c r="N67" i="16"/>
  <c r="J44" i="16"/>
  <c r="F50" i="16"/>
  <c r="H50" i="16" s="1"/>
  <c r="N43" i="16"/>
  <c r="J67" i="16"/>
  <c r="L67" i="16" s="1"/>
  <c r="J54" i="16"/>
  <c r="J43" i="16"/>
  <c r="N61" i="16"/>
  <c r="N66" i="16"/>
  <c r="F61" i="16"/>
  <c r="N56" i="16"/>
  <c r="N50" i="16"/>
  <c r="N42" i="16"/>
  <c r="N44" i="16"/>
  <c r="N45" i="16"/>
  <c r="J56" i="16"/>
  <c r="N59" i="16"/>
  <c r="F48" i="16"/>
  <c r="G42" i="16"/>
  <c r="G44" i="16"/>
  <c r="G67" i="16"/>
  <c r="O45" i="16"/>
  <c r="G58" i="16"/>
  <c r="J57" i="16"/>
  <c r="N58" i="16"/>
  <c r="F42" i="16"/>
  <c r="K52" i="16"/>
  <c r="O47" i="16"/>
  <c r="G51" i="16"/>
  <c r="K42" i="16"/>
  <c r="O48" i="16"/>
  <c r="F60" i="16"/>
  <c r="J66" i="16"/>
  <c r="G52" i="16"/>
  <c r="G55" i="16"/>
  <c r="O51" i="16"/>
  <c r="N57" i="16"/>
  <c r="F51" i="16"/>
  <c r="K62" i="16"/>
  <c r="O63" i="16"/>
  <c r="F54" i="16"/>
  <c r="J58" i="16"/>
  <c r="O53" i="16"/>
  <c r="G63" i="16"/>
  <c r="J48" i="16"/>
  <c r="N49" i="16"/>
  <c r="G62" i="16"/>
  <c r="G66" i="16"/>
  <c r="O43" i="16"/>
  <c r="O62" i="16"/>
  <c r="F62" i="16"/>
  <c r="J68" i="16"/>
  <c r="L68" i="16" s="1"/>
  <c r="X71" i="17" s="1"/>
  <c r="J41" i="16"/>
  <c r="F65" i="16"/>
  <c r="K63" i="16"/>
  <c r="O59" i="16"/>
  <c r="F45" i="16"/>
  <c r="K53" i="16"/>
  <c r="O60" i="16"/>
  <c r="J65" i="16"/>
  <c r="F63" i="16"/>
  <c r="F43" i="16"/>
  <c r="H43" i="16" s="1"/>
  <c r="F53" i="16"/>
  <c r="N46" i="16"/>
  <c r="CA59" i="16"/>
  <c r="CA67" i="16"/>
  <c r="BS60" i="16"/>
  <c r="BW59" i="16"/>
  <c r="BS40" i="16"/>
  <c r="BS62" i="16"/>
  <c r="BS65" i="16"/>
  <c r="BW49" i="16"/>
  <c r="BW50" i="16"/>
  <c r="BW64" i="16"/>
  <c r="CA58" i="16"/>
  <c r="CA51" i="16"/>
  <c r="BW51" i="16"/>
  <c r="CA65" i="16"/>
  <c r="CA52" i="16"/>
  <c r="BW54" i="16"/>
  <c r="CA60" i="16"/>
  <c r="CA53" i="16"/>
  <c r="CA61" i="16"/>
  <c r="BS61" i="16"/>
  <c r="CA62" i="16"/>
  <c r="CA41" i="16"/>
  <c r="BW60" i="16"/>
  <c r="CA40" i="16"/>
  <c r="CA56" i="16"/>
  <c r="CA63" i="16"/>
  <c r="BW53" i="16"/>
  <c r="BW58" i="16"/>
  <c r="BS44" i="16"/>
  <c r="CA43" i="16"/>
  <c r="CC43" i="16" s="1"/>
  <c r="AO46" i="17" s="1"/>
  <c r="BW62" i="16"/>
  <c r="BS46" i="16"/>
  <c r="CA48" i="16"/>
  <c r="BW67" i="16"/>
  <c r="BS42" i="16"/>
  <c r="BW57" i="16"/>
  <c r="CA64" i="16"/>
  <c r="BS49" i="16"/>
  <c r="BW46" i="16"/>
  <c r="BY46" i="16" s="1"/>
  <c r="AA49" i="17" s="1"/>
  <c r="CA50" i="16"/>
  <c r="BS67" i="16"/>
  <c r="CA55" i="16"/>
  <c r="BS56" i="16"/>
  <c r="BS50" i="16"/>
  <c r="BW61" i="16"/>
  <c r="BY61" i="16" s="1"/>
  <c r="AA64" i="17" s="1"/>
  <c r="CA66" i="16"/>
  <c r="BS54" i="16"/>
  <c r="BW48" i="16"/>
  <c r="CA54" i="16"/>
  <c r="CC54" i="16" s="1"/>
  <c r="AO57" i="17" s="1"/>
  <c r="CA44" i="16"/>
  <c r="CA68" i="16"/>
  <c r="CC68" i="16" s="1"/>
  <c r="AO71" i="17" s="1"/>
  <c r="BS59" i="16"/>
  <c r="BW42" i="16"/>
  <c r="BW65" i="16"/>
  <c r="CA57" i="16"/>
  <c r="BW40" i="16"/>
  <c r="BY40" i="16" s="1"/>
  <c r="AA43" i="17" s="1"/>
  <c r="BS43" i="16"/>
  <c r="CA45" i="16"/>
  <c r="BS64" i="16"/>
  <c r="BW44" i="16"/>
  <c r="BS45" i="16"/>
  <c r="BW68" i="16"/>
  <c r="CA46" i="16"/>
  <c r="CC46" i="16" s="1"/>
  <c r="AO49" i="17" s="1"/>
  <c r="BS47" i="16"/>
  <c r="BW66" i="16"/>
  <c r="BS51" i="16"/>
  <c r="BS57" i="16"/>
  <c r="BU57" i="16" s="1"/>
  <c r="M60" i="17" s="1"/>
  <c r="BW63" i="16"/>
  <c r="BY63" i="16" s="1"/>
  <c r="AA66" i="17" s="1"/>
  <c r="BW45" i="16"/>
  <c r="BX47" i="16"/>
  <c r="BX58" i="16"/>
  <c r="BX54" i="16"/>
  <c r="BX44" i="16"/>
  <c r="BT51" i="16"/>
  <c r="BT60" i="16"/>
  <c r="BX59" i="16"/>
  <c r="BT49" i="16"/>
  <c r="BX53" i="16"/>
  <c r="BW55" i="16"/>
  <c r="CB51" i="16"/>
  <c r="CB64" i="16"/>
  <c r="CB42" i="16"/>
  <c r="BT59" i="16"/>
  <c r="BX51" i="16"/>
  <c r="BT62" i="16"/>
  <c r="BX57" i="16"/>
  <c r="BS66" i="16"/>
  <c r="CB40" i="16"/>
  <c r="CB62" i="16"/>
  <c r="BS63" i="16"/>
  <c r="CB53" i="16"/>
  <c r="CB66" i="16"/>
  <c r="BT40" i="16"/>
  <c r="BX49" i="16"/>
  <c r="CB50" i="16"/>
  <c r="CB61" i="16"/>
  <c r="CB65" i="16"/>
  <c r="CB52" i="16"/>
  <c r="BT44" i="16"/>
  <c r="CA42" i="16"/>
  <c r="BW43" i="16"/>
  <c r="BY43" i="16" s="1"/>
  <c r="AA46" i="17" s="1"/>
  <c r="CA49" i="16"/>
  <c r="BW56" i="16"/>
  <c r="BN51" i="16"/>
  <c r="BN61" i="16"/>
  <c r="BP61" i="16" s="1"/>
  <c r="AN64" i="17" s="1"/>
  <c r="BF58" i="16"/>
  <c r="BN50" i="16"/>
  <c r="BJ44" i="16"/>
  <c r="BJ40" i="16"/>
  <c r="BF65" i="16"/>
  <c r="BN45" i="16"/>
  <c r="BN42" i="16"/>
  <c r="BN65" i="16"/>
  <c r="BN68" i="16"/>
  <c r="BP68" i="16" s="1"/>
  <c r="AN71" i="17" s="1"/>
  <c r="BJ62" i="16"/>
  <c r="BF55" i="16"/>
  <c r="BN46" i="16"/>
  <c r="BN63" i="16"/>
  <c r="BF54" i="16"/>
  <c r="BH54" i="16" s="1"/>
  <c r="L57" i="17" s="1"/>
  <c r="BF41" i="16"/>
  <c r="BJ43" i="16"/>
  <c r="BF51" i="16"/>
  <c r="BN41" i="16"/>
  <c r="BN53" i="16"/>
  <c r="BN40" i="16"/>
  <c r="BF44" i="16"/>
  <c r="BJ61" i="16"/>
  <c r="BJ59" i="16"/>
  <c r="BN47" i="16"/>
  <c r="BN57" i="16"/>
  <c r="BJ66" i="16"/>
  <c r="BJ52" i="16"/>
  <c r="BL52" i="16" s="1"/>
  <c r="Z55" i="17" s="1"/>
  <c r="BN62" i="16"/>
  <c r="BF60" i="16"/>
  <c r="BN58" i="16"/>
  <c r="BJ65" i="16"/>
  <c r="BF67" i="16"/>
  <c r="BH67" i="16" s="1"/>
  <c r="L70" i="17" s="1"/>
  <c r="BN60" i="16"/>
  <c r="BJ49" i="16"/>
  <c r="BJ51" i="16"/>
  <c r="BJ68" i="16"/>
  <c r="BF63" i="16"/>
  <c r="BJ53" i="16"/>
  <c r="BF48" i="16"/>
  <c r="BJ60" i="16"/>
  <c r="BJ48" i="16"/>
  <c r="BF43" i="16"/>
  <c r="BF68" i="16"/>
  <c r="BJ67" i="16"/>
  <c r="BL67" i="16" s="1"/>
  <c r="Z70" i="17" s="1"/>
  <c r="BF46" i="16"/>
  <c r="BG58" i="16"/>
  <c r="BO59" i="16"/>
  <c r="BK68" i="16"/>
  <c r="BO58" i="16"/>
  <c r="BK53" i="16"/>
  <c r="BK46" i="16"/>
  <c r="BK54" i="16"/>
  <c r="BK56" i="16"/>
  <c r="BK61" i="16"/>
  <c r="BN64" i="16"/>
  <c r="BP64" i="16" s="1"/>
  <c r="AN67" i="17" s="1"/>
  <c r="BO60" i="16"/>
  <c r="BO42" i="16"/>
  <c r="BG59" i="16"/>
  <c r="BG60" i="16"/>
  <c r="BJ55" i="16"/>
  <c r="BJ58" i="16"/>
  <c r="BJ54" i="16"/>
  <c r="BL54" i="16" s="1"/>
  <c r="Z57" i="17" s="1"/>
  <c r="BF61" i="16"/>
  <c r="BN49" i="16"/>
  <c r="BF47" i="16"/>
  <c r="BK62" i="16"/>
  <c r="BG61" i="16"/>
  <c r="BG43" i="16"/>
  <c r="BO41" i="16"/>
  <c r="BF57" i="16"/>
  <c r="BN54" i="16"/>
  <c r="BF59" i="16"/>
  <c r="BF45" i="16"/>
  <c r="BG65" i="16"/>
  <c r="BG64" i="16"/>
  <c r="BK66" i="16"/>
  <c r="BG63" i="16"/>
  <c r="BG44" i="16"/>
  <c r="BK44" i="16"/>
  <c r="BG62" i="16"/>
  <c r="BK57" i="16"/>
  <c r="BN44" i="16"/>
  <c r="BP44" i="16" s="1"/>
  <c r="AN47" i="17" s="1"/>
  <c r="BJ50" i="16"/>
  <c r="BL50" i="16" s="1"/>
  <c r="Z53" i="17" s="1"/>
  <c r="BN55" i="16"/>
  <c r="BN43" i="16"/>
  <c r="BP43" i="16" s="1"/>
  <c r="AN46" i="17" s="1"/>
  <c r="BF49" i="16"/>
  <c r="BJ47" i="16"/>
  <c r="BF40" i="16"/>
  <c r="BF64" i="16"/>
  <c r="BF53" i="16"/>
  <c r="BT55" i="16"/>
  <c r="BW41" i="16"/>
  <c r="W59" i="16"/>
  <c r="F59" i="16"/>
  <c r="BT64" i="16"/>
  <c r="BT61" i="16"/>
  <c r="CB44" i="16"/>
  <c r="CB57" i="16"/>
  <c r="BT63" i="16"/>
  <c r="BX41" i="16"/>
  <c r="BO57" i="16"/>
  <c r="BO46" i="16"/>
  <c r="BG48" i="16"/>
  <c r="BK40" i="16"/>
  <c r="BK45" i="16"/>
  <c r="BK55" i="16"/>
  <c r="BG46" i="16"/>
  <c r="F57" i="16"/>
  <c r="N48" i="16"/>
  <c r="N65" i="16"/>
  <c r="O64" i="16"/>
  <c r="J52" i="16"/>
  <c r="J46" i="16"/>
  <c r="J51" i="16"/>
  <c r="G56" i="16"/>
  <c r="O55" i="16"/>
  <c r="AJ42" i="16"/>
  <c r="AW41" i="16"/>
  <c r="BA57" i="16"/>
  <c r="AG66" i="16"/>
  <c r="AH66" i="16" s="1"/>
  <c r="I69" i="17" s="1"/>
  <c r="AG56" i="16"/>
  <c r="AH56" i="16" s="1"/>
  <c r="I59" i="17" s="1"/>
  <c r="AG67" i="16"/>
  <c r="AG65" i="16"/>
  <c r="AH65" i="16" s="1"/>
  <c r="I68" i="17" s="1"/>
  <c r="AG59" i="16"/>
  <c r="AO49" i="16"/>
  <c r="AP49" i="16" s="1"/>
  <c r="AK52" i="17" s="1"/>
  <c r="AO58" i="16"/>
  <c r="S41" i="16"/>
  <c r="U41" i="16" s="1"/>
  <c r="H44" i="17" s="1"/>
  <c r="AF42" i="16"/>
  <c r="AT68" i="16"/>
  <c r="AT44" i="16"/>
  <c r="BB61" i="16"/>
  <c r="BB47" i="16"/>
  <c r="BB62" i="16"/>
  <c r="BB53" i="16"/>
  <c r="BN48" i="16"/>
  <c r="AF43" i="16"/>
  <c r="G46" i="16"/>
  <c r="AA50" i="16"/>
  <c r="BS48" i="16"/>
  <c r="BU48" i="16" s="1"/>
  <c r="M51" i="17" s="1"/>
  <c r="N54" i="16"/>
  <c r="W42" i="16"/>
  <c r="BT56" i="16"/>
  <c r="BX55" i="16"/>
  <c r="BT66" i="16"/>
  <c r="CB55" i="16"/>
  <c r="BT58" i="16"/>
  <c r="BX62" i="16"/>
  <c r="BO50" i="16"/>
  <c r="BG40" i="16"/>
  <c r="BO55" i="16"/>
  <c r="BG51" i="16"/>
  <c r="BO40" i="16"/>
  <c r="BK51" i="16"/>
  <c r="BK43" i="16"/>
  <c r="F46" i="16"/>
  <c r="O41" i="16"/>
  <c r="N41" i="16"/>
  <c r="O58" i="16"/>
  <c r="K46" i="16"/>
  <c r="J45" i="16"/>
  <c r="G45" i="16"/>
  <c r="O42" i="16"/>
  <c r="AJ53" i="16"/>
  <c r="AN51" i="16"/>
  <c r="W61" i="16"/>
  <c r="Y61" i="16" s="1"/>
  <c r="V64" i="17" s="1"/>
  <c r="AG58" i="16"/>
  <c r="AG47" i="16"/>
  <c r="AG52" i="16"/>
  <c r="AG60" i="16"/>
  <c r="AO65" i="16"/>
  <c r="AO44" i="16"/>
  <c r="AO53" i="16"/>
  <c r="N64" i="16"/>
  <c r="BN67" i="16"/>
  <c r="BB54" i="16"/>
  <c r="AT41" i="16"/>
  <c r="AT52" i="16"/>
  <c r="BB43" i="16"/>
  <c r="AT53" i="16"/>
  <c r="AA61" i="16"/>
  <c r="S56" i="16"/>
  <c r="AF49" i="16"/>
  <c r="K60" i="16"/>
  <c r="AA58" i="16"/>
  <c r="BX66" i="16"/>
  <c r="AA62" i="16"/>
  <c r="BS52" i="16"/>
  <c r="W56" i="16"/>
  <c r="BA61" i="16"/>
  <c r="BX67" i="16"/>
  <c r="BX52" i="16"/>
  <c r="BT45" i="16"/>
  <c r="BX42" i="16"/>
  <c r="BT53" i="16"/>
  <c r="BX60" i="16"/>
  <c r="BG41" i="16"/>
  <c r="BG45" i="16"/>
  <c r="BO53" i="16"/>
  <c r="BK41" i="16"/>
  <c r="BK65" i="16"/>
  <c r="BK47" i="16"/>
  <c r="S47" i="16"/>
  <c r="U47" i="16" s="1"/>
  <c r="H50" i="17" s="1"/>
  <c r="G64" i="16"/>
  <c r="F67" i="16"/>
  <c r="F66" i="16"/>
  <c r="N53" i="16"/>
  <c r="O52" i="16"/>
  <c r="N63" i="16"/>
  <c r="K66" i="16"/>
  <c r="O49" i="16"/>
  <c r="BS53" i="16"/>
  <c r="W64" i="16"/>
  <c r="Y64" i="16" s="1"/>
  <c r="V67" i="17" s="1"/>
  <c r="BA58" i="16"/>
  <c r="AG51" i="16"/>
  <c r="AK67" i="16"/>
  <c r="AL67" i="16" s="1"/>
  <c r="W70" i="17" s="1"/>
  <c r="AG44" i="16"/>
  <c r="AG49" i="16"/>
  <c r="AO57" i="16"/>
  <c r="AO40" i="16"/>
  <c r="BS58" i="16"/>
  <c r="BJ41" i="16"/>
  <c r="BA54" i="16"/>
  <c r="AT45" i="16"/>
  <c r="AT60" i="16"/>
  <c r="AT49" i="16"/>
  <c r="AT42" i="16"/>
  <c r="AT58" i="16"/>
  <c r="AF51" i="16"/>
  <c r="AJ58" i="16"/>
  <c r="AA57" i="16"/>
  <c r="P63" i="16"/>
  <c r="P68" i="16"/>
  <c r="AP67" i="16" l="1"/>
  <c r="AK70" i="17" s="1"/>
  <c r="AC56" i="16"/>
  <c r="AJ59" i="17" s="1"/>
  <c r="U45" i="16"/>
  <c r="H48" i="17" s="1"/>
  <c r="BC62" i="16"/>
  <c r="AM65" i="17" s="1"/>
  <c r="L47" i="16"/>
  <c r="Y47" i="16"/>
  <c r="V50" i="17" s="1"/>
  <c r="V118" i="17" s="1"/>
  <c r="AC58" i="16"/>
  <c r="AJ61" i="17" s="1"/>
  <c r="AJ129" i="17" s="1"/>
  <c r="H60" i="16"/>
  <c r="BP51" i="16"/>
  <c r="AN54" i="17" s="1"/>
  <c r="BH57" i="16"/>
  <c r="L60" i="17" s="1"/>
  <c r="L128" i="17" s="1"/>
  <c r="AH54" i="16"/>
  <c r="I57" i="17" s="1"/>
  <c r="BU44" i="16"/>
  <c r="M47" i="17" s="1"/>
  <c r="CC67" i="16"/>
  <c r="AO70" i="17" s="1"/>
  <c r="P42" i="16"/>
  <c r="AG38" i="4" s="1"/>
  <c r="U64" i="16"/>
  <c r="H67" i="17" s="1"/>
  <c r="H135" i="17" s="1"/>
  <c r="Y56" i="16"/>
  <c r="V59" i="17" s="1"/>
  <c r="V127" i="17" s="1"/>
  <c r="AY42" i="16"/>
  <c r="Y45" i="17" s="1"/>
  <c r="Y113" i="17" s="1"/>
  <c r="BH50" i="16"/>
  <c r="L53" i="17" s="1"/>
  <c r="L121" i="17" s="1"/>
  <c r="BY45" i="16"/>
  <c r="AA48" i="17" s="1"/>
  <c r="AA116" i="17" s="1"/>
  <c r="BY50" i="16"/>
  <c r="AA53" i="17" s="1"/>
  <c r="P53" i="16"/>
  <c r="AL56" i="17" s="1"/>
  <c r="CC47" i="16"/>
  <c r="AO50" i="17" s="1"/>
  <c r="AH46" i="16"/>
  <c r="I49" i="17" s="1"/>
  <c r="AC57" i="16"/>
  <c r="AJ60" i="17" s="1"/>
  <c r="P65" i="16"/>
  <c r="CC49" i="16"/>
  <c r="AO52" i="17" s="1"/>
  <c r="AO120" i="17" s="1"/>
  <c r="BP48" i="16"/>
  <c r="AN51" i="17" s="1"/>
  <c r="AL53" i="16"/>
  <c r="W56" i="17" s="1"/>
  <c r="W124" i="17" s="1"/>
  <c r="P46" i="16"/>
  <c r="AL49" i="17" s="1"/>
  <c r="AH68" i="16"/>
  <c r="I71" i="17" s="1"/>
  <c r="I139" i="17" s="1"/>
  <c r="BC40" i="16"/>
  <c r="AM43" i="17" s="1"/>
  <c r="AM25" i="17" s="1"/>
  <c r="AC61" i="16"/>
  <c r="AJ64" i="17" s="1"/>
  <c r="AY49" i="16"/>
  <c r="Y52" i="17" s="1"/>
  <c r="L65" i="16"/>
  <c r="X68" i="17" s="1"/>
  <c r="BC48" i="16"/>
  <c r="AM51" i="17" s="1"/>
  <c r="BL64" i="16"/>
  <c r="Z67" i="17" s="1"/>
  <c r="Z135" i="17" s="1"/>
  <c r="BU50" i="16"/>
  <c r="M53" i="17" s="1"/>
  <c r="M121" i="17" s="1"/>
  <c r="BP65" i="16"/>
  <c r="AN68" i="17" s="1"/>
  <c r="AN136" i="17" s="1"/>
  <c r="BC52" i="16"/>
  <c r="AM55" i="17" s="1"/>
  <c r="AU61" i="16"/>
  <c r="K64" i="17" s="1"/>
  <c r="K132" i="17" s="1"/>
  <c r="BC65" i="16"/>
  <c r="AM68" i="17" s="1"/>
  <c r="L59" i="16"/>
  <c r="AF55" i="4" s="1"/>
  <c r="U56" i="16"/>
  <c r="H59" i="17" s="1"/>
  <c r="H66" i="16"/>
  <c r="AE62" i="4" s="1"/>
  <c r="CC41" i="16"/>
  <c r="AO44" i="17" s="1"/>
  <c r="AO112" i="17" s="1"/>
  <c r="AY66" i="16"/>
  <c r="Y69" i="17" s="1"/>
  <c r="Y137" i="17" s="1"/>
  <c r="AY60" i="16"/>
  <c r="Y63" i="17" s="1"/>
  <c r="Y131" i="17" s="1"/>
  <c r="Y41" i="16"/>
  <c r="V44" i="17" s="1"/>
  <c r="V112" i="17" s="1"/>
  <c r="AC44" i="16"/>
  <c r="AJ47" i="17" s="1"/>
  <c r="AJ115" i="17" s="1"/>
  <c r="BH68" i="16"/>
  <c r="L71" i="17" s="1"/>
  <c r="L139" i="17" s="1"/>
  <c r="AH43" i="16"/>
  <c r="I46" i="17" s="1"/>
  <c r="AU45" i="16"/>
  <c r="K48" i="17" s="1"/>
  <c r="K116" i="17" s="1"/>
  <c r="BC58" i="16"/>
  <c r="AM61" i="17" s="1"/>
  <c r="BP67" i="16"/>
  <c r="AN70" i="17" s="1"/>
  <c r="AN138" i="17" s="1"/>
  <c r="AP51" i="16"/>
  <c r="AK54" i="17" s="1"/>
  <c r="BP45" i="16"/>
  <c r="AN48" i="17" s="1"/>
  <c r="AN116" i="17" s="1"/>
  <c r="CC59" i="16"/>
  <c r="AO62" i="17" s="1"/>
  <c r="AO130" i="17" s="1"/>
  <c r="BC56" i="16"/>
  <c r="AM59" i="17" s="1"/>
  <c r="Y43" i="16"/>
  <c r="V46" i="17" s="1"/>
  <c r="CC55" i="16"/>
  <c r="AO58" i="17" s="1"/>
  <c r="AY64" i="16"/>
  <c r="Y67" i="17" s="1"/>
  <c r="Y59" i="16"/>
  <c r="V62" i="17" s="1"/>
  <c r="BU43" i="16"/>
  <c r="M46" i="17" s="1"/>
  <c r="BL63" i="16"/>
  <c r="Z66" i="17" s="1"/>
  <c r="Z134" i="17" s="1"/>
  <c r="BH55" i="16"/>
  <c r="L58" i="17" s="1"/>
  <c r="L126" i="17" s="1"/>
  <c r="BU55" i="16"/>
  <c r="M58" i="17" s="1"/>
  <c r="P66" i="16"/>
  <c r="AL69" i="17" s="1"/>
  <c r="BL58" i="16"/>
  <c r="Z61" i="17" s="1"/>
  <c r="Z129" i="17" s="1"/>
  <c r="AU58" i="16"/>
  <c r="K61" i="17" s="1"/>
  <c r="K129" i="17" s="1"/>
  <c r="AC62" i="16"/>
  <c r="AJ65" i="17" s="1"/>
  <c r="AJ133" i="17" s="1"/>
  <c r="BU47" i="16"/>
  <c r="M50" i="17" s="1"/>
  <c r="M118" i="17" s="1"/>
  <c r="BY65" i="16"/>
  <c r="AA68" i="17" s="1"/>
  <c r="BC59" i="16"/>
  <c r="AM62" i="17" s="1"/>
  <c r="AM130" i="17" s="1"/>
  <c r="AY52" i="16"/>
  <c r="Y55" i="17" s="1"/>
  <c r="Y123" i="17" s="1"/>
  <c r="AP62" i="16"/>
  <c r="AK65" i="17" s="1"/>
  <c r="AK133" i="17" s="1"/>
  <c r="U51" i="16"/>
  <c r="H54" i="17" s="1"/>
  <c r="H122" i="17" s="1"/>
  <c r="BU67" i="16"/>
  <c r="M70" i="17" s="1"/>
  <c r="M138" i="17" s="1"/>
  <c r="AU55" i="16"/>
  <c r="K58" i="17" s="1"/>
  <c r="BC64" i="16"/>
  <c r="AM67" i="17" s="1"/>
  <c r="AM135" i="17" s="1"/>
  <c r="AL65" i="16"/>
  <c r="W68" i="17" s="1"/>
  <c r="W136" i="17" s="1"/>
  <c r="AH45" i="16"/>
  <c r="I48" i="17" s="1"/>
  <c r="I116" i="17" s="1"/>
  <c r="Y62" i="16"/>
  <c r="V65" i="17" s="1"/>
  <c r="U46" i="16"/>
  <c r="H49" i="17" s="1"/>
  <c r="H117" i="17" s="1"/>
  <c r="U43" i="16"/>
  <c r="H46" i="17" s="1"/>
  <c r="AU43" i="16"/>
  <c r="K46" i="17" s="1"/>
  <c r="K114" i="17" s="1"/>
  <c r="AP48" i="16"/>
  <c r="AK51" i="17" s="1"/>
  <c r="U50" i="16"/>
  <c r="H53" i="17" s="1"/>
  <c r="H121" i="17" s="1"/>
  <c r="BL56" i="16"/>
  <c r="Z59" i="17" s="1"/>
  <c r="Z127" i="17" s="1"/>
  <c r="P54" i="16"/>
  <c r="AG50" i="4" s="1"/>
  <c r="CC65" i="16"/>
  <c r="AO68" i="17" s="1"/>
  <c r="AO136" i="17" s="1"/>
  <c r="AL43" i="16"/>
  <c r="W46" i="17" s="1"/>
  <c r="AH57" i="16"/>
  <c r="I60" i="17" s="1"/>
  <c r="I128" i="17" s="1"/>
  <c r="BL57" i="16"/>
  <c r="Z60" i="17" s="1"/>
  <c r="CC63" i="16"/>
  <c r="AO66" i="17" s="1"/>
  <c r="AO134" i="17" s="1"/>
  <c r="BL60" i="16"/>
  <c r="Z63" i="17" s="1"/>
  <c r="AY41" i="16"/>
  <c r="Y44" i="17" s="1"/>
  <c r="Y112" i="17" s="1"/>
  <c r="BH60" i="16"/>
  <c r="L63" i="17" s="1"/>
  <c r="L131" i="17" s="1"/>
  <c r="BP49" i="16"/>
  <c r="AN52" i="17" s="1"/>
  <c r="BY56" i="16"/>
  <c r="AA59" i="17" s="1"/>
  <c r="AH63" i="16"/>
  <c r="I66" i="17" s="1"/>
  <c r="Y49" i="16"/>
  <c r="V52" i="17" s="1"/>
  <c r="AH47" i="16"/>
  <c r="I50" i="17" s="1"/>
  <c r="AP59" i="16"/>
  <c r="AK62" i="17" s="1"/>
  <c r="AK130" i="17" s="1"/>
  <c r="P55" i="16"/>
  <c r="AG51" i="4" s="1"/>
  <c r="AU64" i="16"/>
  <c r="K67" i="17" s="1"/>
  <c r="P60" i="16"/>
  <c r="AL63" i="17" s="1"/>
  <c r="BC68" i="16"/>
  <c r="AM71" i="17" s="1"/>
  <c r="BC50" i="16"/>
  <c r="AM53" i="17" s="1"/>
  <c r="BC45" i="16"/>
  <c r="AM48" i="17" s="1"/>
  <c r="BH47" i="16"/>
  <c r="L50" i="17" s="1"/>
  <c r="L118" i="17" s="1"/>
  <c r="AP47" i="16"/>
  <c r="AK50" i="17" s="1"/>
  <c r="Y42" i="16"/>
  <c r="V45" i="17" s="1"/>
  <c r="V113" i="17" s="1"/>
  <c r="BP63" i="16"/>
  <c r="AN66" i="17" s="1"/>
  <c r="BU54" i="16"/>
  <c r="M57" i="17" s="1"/>
  <c r="M125" i="17" s="1"/>
  <c r="P56" i="16"/>
  <c r="AL59" i="17" s="1"/>
  <c r="BH56" i="16"/>
  <c r="L59" i="17" s="1"/>
  <c r="AH60" i="16"/>
  <c r="I63" i="17" s="1"/>
  <c r="I131" i="17" s="1"/>
  <c r="BH42" i="16"/>
  <c r="L45" i="17" s="1"/>
  <c r="AN139" i="17"/>
  <c r="BY51" i="16"/>
  <c r="AA54" i="17" s="1"/>
  <c r="BY67" i="16"/>
  <c r="AA70" i="17" s="1"/>
  <c r="I121" i="17"/>
  <c r="I112" i="17"/>
  <c r="W119" i="17"/>
  <c r="AJ131" i="17"/>
  <c r="AK131" i="17"/>
  <c r="V123" i="17"/>
  <c r="AJ125" i="17"/>
  <c r="H132" i="17"/>
  <c r="V129" i="17"/>
  <c r="AJ138" i="17"/>
  <c r="AK123" i="17"/>
  <c r="I126" i="17"/>
  <c r="AK120" i="17"/>
  <c r="AA114" i="17"/>
  <c r="AO139" i="17"/>
  <c r="AF63" i="4"/>
  <c r="X70" i="17"/>
  <c r="I125" i="17"/>
  <c r="AK116" i="17"/>
  <c r="AM131" i="17"/>
  <c r="AG64" i="4"/>
  <c r="AL71" i="17"/>
  <c r="K119" i="17"/>
  <c r="L123" i="17"/>
  <c r="AO138" i="17"/>
  <c r="X62" i="17"/>
  <c r="BH46" i="16"/>
  <c r="L49" i="17" s="1"/>
  <c r="CC42" i="16"/>
  <c r="AO45" i="17" s="1"/>
  <c r="BY44" i="16"/>
  <c r="AA47" i="17" s="1"/>
  <c r="K128" i="17"/>
  <c r="AM127" i="17"/>
  <c r="K117" i="17"/>
  <c r="AK113" i="17"/>
  <c r="AN137" i="17"/>
  <c r="Z113" i="17"/>
  <c r="AK114" i="17"/>
  <c r="H118" i="17"/>
  <c r="AO114" i="17"/>
  <c r="AF60" i="4"/>
  <c r="X67" i="17"/>
  <c r="AM133" i="17"/>
  <c r="I136" i="17"/>
  <c r="AK127" i="17"/>
  <c r="Z138" i="17"/>
  <c r="BP47" i="16"/>
  <c r="AN50" i="17" s="1"/>
  <c r="L125" i="17"/>
  <c r="BL40" i="16"/>
  <c r="Z43" i="17" s="1"/>
  <c r="M115" i="17"/>
  <c r="BY55" i="16"/>
  <c r="AA58" i="17" s="1"/>
  <c r="AO125" i="17"/>
  <c r="AA117" i="17"/>
  <c r="CC61" i="16"/>
  <c r="AO64" i="17" s="1"/>
  <c r="L41" i="16"/>
  <c r="AE46" i="4"/>
  <c r="J53" i="17"/>
  <c r="AM32" i="17"/>
  <c r="AM37" i="17"/>
  <c r="AM15" i="17"/>
  <c r="AM40" i="17"/>
  <c r="AM149" i="17"/>
  <c r="AM108" i="17"/>
  <c r="AM170" i="17"/>
  <c r="AM164" i="17"/>
  <c r="AM109" i="17"/>
  <c r="AM89" i="17"/>
  <c r="AM84" i="17"/>
  <c r="AM19" i="17"/>
  <c r="AM173" i="17"/>
  <c r="AM92" i="17"/>
  <c r="AM21" i="17"/>
  <c r="AM85" i="17"/>
  <c r="AM177" i="17"/>
  <c r="AM106" i="17"/>
  <c r="AM148" i="17"/>
  <c r="AM99" i="17"/>
  <c r="AM158" i="17"/>
  <c r="AM161" i="17"/>
  <c r="AM91" i="17"/>
  <c r="AM29" i="17"/>
  <c r="AM26" i="17"/>
  <c r="AM82" i="17"/>
  <c r="AM97" i="17"/>
  <c r="AM151" i="17"/>
  <c r="AM162" i="17"/>
  <c r="AM178" i="17"/>
  <c r="AM174" i="17"/>
  <c r="AM160" i="17"/>
  <c r="AM156" i="17"/>
  <c r="AM104" i="17"/>
  <c r="AM105" i="17"/>
  <c r="AM95" i="17"/>
  <c r="AM79" i="17"/>
  <c r="AM103" i="17"/>
  <c r="AM81" i="17"/>
  <c r="AM96" i="17"/>
  <c r="AM41" i="17"/>
  <c r="AM159" i="17"/>
  <c r="AM176" i="17"/>
  <c r="AU67" i="16"/>
  <c r="K70" i="17" s="1"/>
  <c r="AP66" i="16"/>
  <c r="AK69" i="17" s="1"/>
  <c r="AK126" i="17"/>
  <c r="AC65" i="16"/>
  <c r="AJ68" i="17" s="1"/>
  <c r="U67" i="16"/>
  <c r="H70" i="17" s="1"/>
  <c r="BP56" i="16"/>
  <c r="AN59" i="17" s="1"/>
  <c r="H112" i="17"/>
  <c r="AO117" i="17"/>
  <c r="AE56" i="4"/>
  <c r="J63" i="17"/>
  <c r="AN135" i="17"/>
  <c r="AF61" i="4"/>
  <c r="H127" i="17"/>
  <c r="H45" i="16"/>
  <c r="BC47" i="16"/>
  <c r="AM50" i="17" s="1"/>
  <c r="Z121" i="17"/>
  <c r="BH61" i="16"/>
  <c r="L64" i="17" s="1"/>
  <c r="AN134" i="17"/>
  <c r="BY53" i="16"/>
  <c r="AA56" i="17" s="1"/>
  <c r="AA134" i="17"/>
  <c r="AE39" i="4"/>
  <c r="J46" i="17"/>
  <c r="X139" i="17"/>
  <c r="K127" i="17"/>
  <c r="AO118" i="17"/>
  <c r="V117" i="17"/>
  <c r="AC59" i="16"/>
  <c r="AJ62" i="17" s="1"/>
  <c r="U65" i="16"/>
  <c r="H68" i="17" s="1"/>
  <c r="I114" i="17"/>
  <c r="Y121" i="17"/>
  <c r="AN114" i="17"/>
  <c r="AJ132" i="17"/>
  <c r="AL57" i="17"/>
  <c r="I127" i="17"/>
  <c r="BY41" i="16"/>
  <c r="AA44" i="17" s="1"/>
  <c r="AN115" i="17"/>
  <c r="BH59" i="16"/>
  <c r="L62" i="17" s="1"/>
  <c r="Z125" i="17"/>
  <c r="BH43" i="16"/>
  <c r="L46" i="17" s="1"/>
  <c r="L138" i="17"/>
  <c r="BU66" i="16"/>
  <c r="M69" i="17" s="1"/>
  <c r="M128" i="17"/>
  <c r="M114" i="17"/>
  <c r="M112" i="17"/>
  <c r="AK138" i="17"/>
  <c r="W125" i="17"/>
  <c r="AG61" i="4"/>
  <c r="AL68" i="17"/>
  <c r="V132" i="17"/>
  <c r="Z123" i="17"/>
  <c r="AM123" i="17"/>
  <c r="Y114" i="17"/>
  <c r="AG59" i="4"/>
  <c r="AL66" i="17"/>
  <c r="M119" i="17"/>
  <c r="I137" i="17"/>
  <c r="Z128" i="17"/>
  <c r="BP54" i="16"/>
  <c r="AN57" i="17" s="1"/>
  <c r="AA34" i="17"/>
  <c r="AA36" i="17"/>
  <c r="AA11" i="17"/>
  <c r="AA13" i="17"/>
  <c r="AA156" i="17"/>
  <c r="AA151" i="17"/>
  <c r="AA167" i="17"/>
  <c r="AA109" i="17"/>
  <c r="AA83" i="17"/>
  <c r="AA105" i="17"/>
  <c r="AA29" i="17"/>
  <c r="AA17" i="17"/>
  <c r="AA18" i="17"/>
  <c r="AA176" i="17"/>
  <c r="AA174" i="17"/>
  <c r="AA111" i="17"/>
  <c r="AA165" i="17"/>
  <c r="AA84" i="17"/>
  <c r="AA106" i="17"/>
  <c r="AA90" i="17"/>
  <c r="AA40" i="17"/>
  <c r="AA37" i="17"/>
  <c r="AA25" i="17"/>
  <c r="AA175" i="17"/>
  <c r="AA172" i="17"/>
  <c r="AA96" i="17"/>
  <c r="AA149" i="17"/>
  <c r="AA93" i="17"/>
  <c r="AA177" i="17"/>
  <c r="AA168" i="17"/>
  <c r="AA166" i="17"/>
  <c r="AA163" i="17"/>
  <c r="AA85" i="17"/>
  <c r="AA88" i="17"/>
  <c r="AA20" i="17"/>
  <c r="AA170" i="17"/>
  <c r="AA164" i="17"/>
  <c r="AA103" i="17"/>
  <c r="AA110" i="17"/>
  <c r="AA81" i="17"/>
  <c r="AA87" i="17"/>
  <c r="AA91" i="17"/>
  <c r="AA31" i="17"/>
  <c r="AA26" i="17"/>
  <c r="AA178" i="17"/>
  <c r="AA161" i="17"/>
  <c r="AA152" i="17"/>
  <c r="AA169" i="17"/>
  <c r="AA148" i="17"/>
  <c r="AA102" i="17"/>
  <c r="AA12" i="17"/>
  <c r="AA32" i="17"/>
  <c r="AA159" i="17"/>
  <c r="AA98" i="17"/>
  <c r="AA100" i="17"/>
  <c r="AA19" i="17"/>
  <c r="AA41" i="17"/>
  <c r="AA154" i="17"/>
  <c r="AA94" i="17"/>
  <c r="AA15" i="17"/>
  <c r="AA33" i="17"/>
  <c r="AA27" i="17"/>
  <c r="AA162" i="17"/>
  <c r="AA92" i="17"/>
  <c r="AA79" i="17"/>
  <c r="AA35" i="17"/>
  <c r="AA38" i="17"/>
  <c r="AA171" i="17"/>
  <c r="AA157" i="17"/>
  <c r="AA104" i="17"/>
  <c r="AA89" i="17"/>
  <c r="AA42" i="17"/>
  <c r="AA150" i="17"/>
  <c r="AA155" i="17"/>
  <c r="AA101" i="17"/>
  <c r="AA86" i="17"/>
  <c r="AA22" i="17"/>
  <c r="AA147" i="17"/>
  <c r="AA107" i="17"/>
  <c r="AA95" i="17"/>
  <c r="AA16" i="17"/>
  <c r="AA24" i="17"/>
  <c r="AA160" i="17"/>
  <c r="AA99" i="17"/>
  <c r="AA82" i="17"/>
  <c r="AA23" i="17"/>
  <c r="AA39" i="17"/>
  <c r="AA28" i="17"/>
  <c r="AA30" i="17"/>
  <c r="AA153" i="17"/>
  <c r="AA173" i="17"/>
  <c r="AA97" i="17"/>
  <c r="AA158" i="17"/>
  <c r="AA80" i="17"/>
  <c r="AA108" i="17"/>
  <c r="AA14" i="17"/>
  <c r="AA21" i="17"/>
  <c r="Y120" i="17"/>
  <c r="Y128" i="17"/>
  <c r="BC44" i="16"/>
  <c r="AM47" i="17" s="1"/>
  <c r="I117" i="17"/>
  <c r="W139" i="17"/>
  <c r="W128" i="17"/>
  <c r="V33" i="17"/>
  <c r="V163" i="17"/>
  <c r="V158" i="17"/>
  <c r="V150" i="17"/>
  <c r="V162" i="17"/>
  <c r="V91" i="17"/>
  <c r="V85" i="17"/>
  <c r="V24" i="17"/>
  <c r="V17" i="17"/>
  <c r="V38" i="17"/>
  <c r="V154" i="17"/>
  <c r="V110" i="17"/>
  <c r="V175" i="17"/>
  <c r="V160" i="17"/>
  <c r="V86" i="17"/>
  <c r="V81" i="17"/>
  <c r="V29" i="17"/>
  <c r="V30" i="17"/>
  <c r="V23" i="17"/>
  <c r="V178" i="17"/>
  <c r="V109" i="17"/>
  <c r="V164" i="17"/>
  <c r="V176" i="17"/>
  <c r="V87" i="17"/>
  <c r="V105" i="17"/>
  <c r="V34" i="17"/>
  <c r="V41" i="17"/>
  <c r="V25" i="17"/>
  <c r="V177" i="17"/>
  <c r="V167" i="17"/>
  <c r="V161" i="17"/>
  <c r="V98" i="17"/>
  <c r="V82" i="17"/>
  <c r="V92" i="17"/>
  <c r="V39" i="17"/>
  <c r="V15" i="17"/>
  <c r="V27" i="17"/>
  <c r="V174" i="17"/>
  <c r="V157" i="17"/>
  <c r="V165" i="17"/>
  <c r="V170" i="17"/>
  <c r="V100" i="17"/>
  <c r="V80" i="17"/>
  <c r="V97" i="17"/>
  <c r="V16" i="17"/>
  <c r="V22" i="17"/>
  <c r="V40" i="17"/>
  <c r="V173" i="17"/>
  <c r="V155" i="17"/>
  <c r="V156" i="17"/>
  <c r="V153" i="17"/>
  <c r="V96" i="17"/>
  <c r="V99" i="17"/>
  <c r="V95" i="17"/>
  <c r="V21" i="17"/>
  <c r="V32" i="17"/>
  <c r="V31" i="17"/>
  <c r="V159" i="17"/>
  <c r="V148" i="17"/>
  <c r="V111" i="17"/>
  <c r="V152" i="17"/>
  <c r="V83" i="17"/>
  <c r="V84" i="17"/>
  <c r="V90" i="17"/>
  <c r="V26" i="17"/>
  <c r="V13" i="17"/>
  <c r="V37" i="17"/>
  <c r="V42" i="17"/>
  <c r="V171" i="17"/>
  <c r="V106" i="17"/>
  <c r="V169" i="17"/>
  <c r="V166" i="17"/>
  <c r="V102" i="17"/>
  <c r="V93" i="17"/>
  <c r="V19" i="17"/>
  <c r="V28" i="17"/>
  <c r="V18" i="17"/>
  <c r="V149" i="17"/>
  <c r="V94" i="17"/>
  <c r="V35" i="17"/>
  <c r="V108" i="17"/>
  <c r="V89" i="17"/>
  <c r="V107" i="17"/>
  <c r="V14" i="17"/>
  <c r="V101" i="17"/>
  <c r="V104" i="17"/>
  <c r="V172" i="17"/>
  <c r="V12" i="17"/>
  <c r="V168" i="17"/>
  <c r="V20" i="17"/>
  <c r="V147" i="17"/>
  <c r="V36" i="17"/>
  <c r="V151" i="17"/>
  <c r="V79" i="17"/>
  <c r="V11" i="17"/>
  <c r="V103" i="17"/>
  <c r="V88" i="17"/>
  <c r="L113" i="17"/>
  <c r="W138" i="17"/>
  <c r="Y135" i="17"/>
  <c r="K135" i="17"/>
  <c r="AM129" i="17"/>
  <c r="AK122" i="17"/>
  <c r="V135" i="17"/>
  <c r="AF43" i="4"/>
  <c r="X50" i="17"/>
  <c r="BH53" i="16"/>
  <c r="L56" i="17" s="1"/>
  <c r="BL55" i="16"/>
  <c r="Z58" i="17" s="1"/>
  <c r="BL53" i="16"/>
  <c r="Z56" i="17" s="1"/>
  <c r="Z131" i="17"/>
  <c r="AN132" i="17"/>
  <c r="CC50" i="16"/>
  <c r="AO53" i="17" s="1"/>
  <c r="BU60" i="16"/>
  <c r="M63" i="17" s="1"/>
  <c r="AA132" i="17"/>
  <c r="BU42" i="16"/>
  <c r="M45" i="17" s="1"/>
  <c r="BU40" i="16"/>
  <c r="M43" i="17" s="1"/>
  <c r="AK125" i="17"/>
  <c r="AM119" i="17"/>
  <c r="Y132" i="17"/>
  <c r="H130" i="17"/>
  <c r="AJ127" i="17"/>
  <c r="H116" i="17"/>
  <c r="AC64" i="16"/>
  <c r="AJ67" i="17" s="1"/>
  <c r="AY62" i="16"/>
  <c r="Y65" i="17" s="1"/>
  <c r="L45" i="16"/>
  <c r="BL51" i="16"/>
  <c r="Z54" i="17" s="1"/>
  <c r="CC44" i="16"/>
  <c r="AO47" i="17" s="1"/>
  <c r="BU61" i="16"/>
  <c r="M64" i="17" s="1"/>
  <c r="BY64" i="16"/>
  <c r="AA67" i="17" s="1"/>
  <c r="AY48" i="16"/>
  <c r="Y51" i="17" s="1"/>
  <c r="AL50" i="16"/>
  <c r="W53" i="17" s="1"/>
  <c r="AL55" i="16"/>
  <c r="W58" i="17" s="1"/>
  <c r="AL46" i="16"/>
  <c r="W49" i="17" s="1"/>
  <c r="AP58" i="16"/>
  <c r="AK61" i="17" s="1"/>
  <c r="BP60" i="16"/>
  <c r="AN63" i="17" s="1"/>
  <c r="BL44" i="16"/>
  <c r="Z47" i="17" s="1"/>
  <c r="CC53" i="16"/>
  <c r="AO56" i="17" s="1"/>
  <c r="BY49" i="16"/>
  <c r="AA52" i="17" s="1"/>
  <c r="P40" i="16"/>
  <c r="AY68" i="16"/>
  <c r="Y71" i="17" s="1"/>
  <c r="AP57" i="16"/>
  <c r="AK60" i="17" s="1"/>
  <c r="BP52" i="16"/>
  <c r="AN55" i="17" s="1"/>
  <c r="CC64" i="16"/>
  <c r="AO67" i="17" s="1"/>
  <c r="AY46" i="16"/>
  <c r="Y49" i="17" s="1"/>
  <c r="BC61" i="16"/>
  <c r="AM64" i="17" s="1"/>
  <c r="BL48" i="16"/>
  <c r="Z51" i="17" s="1"/>
  <c r="BL65" i="16"/>
  <c r="Z68" i="17" s="1"/>
  <c r="BH44" i="16"/>
  <c r="L47" i="17" s="1"/>
  <c r="BH58" i="16"/>
  <c r="L61" i="17" s="1"/>
  <c r="BU51" i="16"/>
  <c r="M54" i="17" s="1"/>
  <c r="CC66" i="16"/>
  <c r="AO69" i="17" s="1"/>
  <c r="BY54" i="16"/>
  <c r="AA57" i="17" s="1"/>
  <c r="BL45" i="16"/>
  <c r="Z48" i="17" s="1"/>
  <c r="AY63" i="16"/>
  <c r="Y66" i="17" s="1"/>
  <c r="AL56" i="16"/>
  <c r="W59" i="17" s="1"/>
  <c r="AP68" i="16"/>
  <c r="AK71" i="17" s="1"/>
  <c r="AL62" i="16"/>
  <c r="W65" i="17" s="1"/>
  <c r="AH53" i="16"/>
  <c r="I56" i="17" s="1"/>
  <c r="AC42" i="16"/>
  <c r="AJ45" i="17" s="1"/>
  <c r="BP58" i="16"/>
  <c r="AN61" i="17" s="1"/>
  <c r="BP40" i="16"/>
  <c r="AN43" i="17" s="1"/>
  <c r="BL62" i="16"/>
  <c r="Z65" i="17" s="1"/>
  <c r="U58" i="16"/>
  <c r="H61" i="17" s="1"/>
  <c r="BU45" i="16"/>
  <c r="M48" i="17" s="1"/>
  <c r="BL43" i="16"/>
  <c r="Z46" i="17" s="1"/>
  <c r="BU56" i="16"/>
  <c r="M59" i="17" s="1"/>
  <c r="CC48" i="16"/>
  <c r="AO51" i="17" s="1"/>
  <c r="BY68" i="16"/>
  <c r="AA71" i="17" s="1"/>
  <c r="U66" i="16"/>
  <c r="H69" i="17" s="1"/>
  <c r="AC52" i="16"/>
  <c r="AJ55" i="17" s="1"/>
  <c r="AH62" i="16"/>
  <c r="I65" i="17" s="1"/>
  <c r="BL41" i="16"/>
  <c r="Z44" i="17" s="1"/>
  <c r="BU46" i="16"/>
  <c r="M49" i="17" s="1"/>
  <c r="AL64" i="16"/>
  <c r="W67" i="17" s="1"/>
  <c r="AH64" i="16"/>
  <c r="I67" i="17" s="1"/>
  <c r="AL44" i="16"/>
  <c r="W47" i="17" s="1"/>
  <c r="AL45" i="16"/>
  <c r="W48" i="17" s="1"/>
  <c r="AL52" i="16"/>
  <c r="W55" i="17" s="1"/>
  <c r="AL41" i="16"/>
  <c r="W44" i="17" s="1"/>
  <c r="BY52" i="16"/>
  <c r="AA55" i="17" s="1"/>
  <c r="AL49" i="16"/>
  <c r="W52" i="17" s="1"/>
  <c r="AC45" i="16"/>
  <c r="AJ48" i="17" s="1"/>
  <c r="AP64" i="16"/>
  <c r="AK67" i="17" s="1"/>
  <c r="AH48" i="16"/>
  <c r="I51" i="17" s="1"/>
  <c r="BP55" i="16"/>
  <c r="AN58" i="17" s="1"/>
  <c r="BP57" i="16"/>
  <c r="AN60" i="17" s="1"/>
  <c r="BH41" i="16"/>
  <c r="L44" i="17" s="1"/>
  <c r="BH65" i="16"/>
  <c r="L68" i="17" s="1"/>
  <c r="BU63" i="16"/>
  <c r="M66" i="17" s="1"/>
  <c r="AU44" i="16"/>
  <c r="K47" i="17" s="1"/>
  <c r="AP65" i="16"/>
  <c r="AK68" i="17" s="1"/>
  <c r="BU68" i="16"/>
  <c r="M71" i="17" s="1"/>
  <c r="AC68" i="16"/>
  <c r="AJ71" i="17" s="1"/>
  <c r="AC40" i="16"/>
  <c r="AJ43" i="17" s="1"/>
  <c r="U53" i="16"/>
  <c r="H56" i="17" s="1"/>
  <c r="BC51" i="16"/>
  <c r="AM54" i="17" s="1"/>
  <c r="BP59" i="16"/>
  <c r="AN62" i="17" s="1"/>
  <c r="BL59" i="16"/>
  <c r="Z62" i="17" s="1"/>
  <c r="AH44" i="16"/>
  <c r="I47" i="17" s="1"/>
  <c r="AH59" i="16"/>
  <c r="I62" i="17" s="1"/>
  <c r="CC45" i="16"/>
  <c r="AO48" i="17" s="1"/>
  <c r="U40" i="16"/>
  <c r="H43" i="17" s="1"/>
  <c r="BP62" i="16"/>
  <c r="AN65" i="17" s="1"/>
  <c r="CC56" i="16"/>
  <c r="AO59" i="17" s="1"/>
  <c r="BC42" i="16"/>
  <c r="AM45" i="17" s="1"/>
  <c r="BY47" i="16"/>
  <c r="AA50" i="17" s="1"/>
  <c r="BU52" i="16"/>
  <c r="M55" i="17" s="1"/>
  <c r="Y63" i="16"/>
  <c r="V66" i="17" s="1"/>
  <c r="AC41" i="16"/>
  <c r="AJ44" i="17" s="1"/>
  <c r="AU50" i="16"/>
  <c r="K53" i="17" s="1"/>
  <c r="AU65" i="16"/>
  <c r="K68" i="17" s="1"/>
  <c r="BU65" i="16"/>
  <c r="M68" i="17" s="1"/>
  <c r="BL61" i="16"/>
  <c r="Z64" i="17" s="1"/>
  <c r="BP46" i="16"/>
  <c r="AN49" i="17" s="1"/>
  <c r="BP50" i="16"/>
  <c r="AN53" i="17" s="1"/>
  <c r="BU49" i="16"/>
  <c r="M52" i="17" s="1"/>
  <c r="BC55" i="16"/>
  <c r="AM58" i="17" s="1"/>
  <c r="AU60" i="16"/>
  <c r="K63" i="17" s="1"/>
  <c r="BC46" i="16"/>
  <c r="AM49" i="17" s="1"/>
  <c r="AP61" i="16"/>
  <c r="AK64" i="17" s="1"/>
  <c r="AH42" i="16"/>
  <c r="I45" i="17" s="1"/>
  <c r="BL46" i="16"/>
  <c r="Z49" i="17" s="1"/>
  <c r="AY54" i="16"/>
  <c r="Y57" i="17" s="1"/>
  <c r="U52" i="16"/>
  <c r="H55" i="17" s="1"/>
  <c r="AC50" i="16"/>
  <c r="AJ53" i="17" s="1"/>
  <c r="Y50" i="16"/>
  <c r="V53" i="17" s="1"/>
  <c r="U54" i="16"/>
  <c r="H57" i="17" s="1"/>
  <c r="BY57" i="16"/>
  <c r="AA60" i="17" s="1"/>
  <c r="BU62" i="16"/>
  <c r="M65" i="17" s="1"/>
  <c r="AU59" i="16"/>
  <c r="K62" i="17" s="1"/>
  <c r="BC67" i="16"/>
  <c r="AM70" i="17" s="1"/>
  <c r="AY67" i="16"/>
  <c r="Y70" i="17" s="1"/>
  <c r="AU40" i="16"/>
  <c r="K43" i="17" s="1"/>
  <c r="AU41" i="16"/>
  <c r="K44" i="17" s="1"/>
  <c r="AH67" i="16"/>
  <c r="I70" i="17" s="1"/>
  <c r="Y51" i="16"/>
  <c r="V54" i="17" s="1"/>
  <c r="U62" i="16"/>
  <c r="H65" i="17" s="1"/>
  <c r="AC51" i="16"/>
  <c r="AJ54" i="17" s="1"/>
  <c r="BC54" i="16"/>
  <c r="AM57" i="17" s="1"/>
  <c r="BY66" i="16"/>
  <c r="AA69" i="17" s="1"/>
  <c r="CC57" i="16"/>
  <c r="AO60" i="17" s="1"/>
  <c r="CC52" i="16"/>
  <c r="AO55" i="17" s="1"/>
  <c r="AU52" i="16"/>
  <c r="K55" i="17" s="1"/>
  <c r="AY47" i="16"/>
  <c r="Y50" i="17" s="1"/>
  <c r="AU49" i="16"/>
  <c r="K52" i="17" s="1"/>
  <c r="AU47" i="16"/>
  <c r="K50" i="17" s="1"/>
  <c r="AP46" i="16"/>
  <c r="AK49" i="17" s="1"/>
  <c r="AH52" i="16"/>
  <c r="I55" i="17" s="1"/>
  <c r="AL63" i="16"/>
  <c r="W66" i="17" s="1"/>
  <c r="AL59" i="16"/>
  <c r="W62" i="17" s="1"/>
  <c r="AC53" i="16"/>
  <c r="AJ56" i="17" s="1"/>
  <c r="AC47" i="16"/>
  <c r="AJ50" i="17" s="1"/>
  <c r="U68" i="16"/>
  <c r="H71" i="17" s="1"/>
  <c r="AH58" i="16"/>
  <c r="I61" i="17" s="1"/>
  <c r="BH64" i="16"/>
  <c r="L67" i="17" s="1"/>
  <c r="BY59" i="16"/>
  <c r="AA62" i="17" s="1"/>
  <c r="AY44" i="16"/>
  <c r="Y47" i="17" s="1"/>
  <c r="BC66" i="16"/>
  <c r="AM69" i="17" s="1"/>
  <c r="AU68" i="16"/>
  <c r="K71" i="17" s="1"/>
  <c r="BC57" i="16"/>
  <c r="AM60" i="17" s="1"/>
  <c r="AU42" i="16"/>
  <c r="K45" i="17" s="1"/>
  <c r="BC53" i="16"/>
  <c r="AM56" i="17" s="1"/>
  <c r="AP40" i="16"/>
  <c r="AK43" i="17" s="1"/>
  <c r="AP53" i="16"/>
  <c r="AK56" i="17" s="1"/>
  <c r="AH61" i="16"/>
  <c r="I64" i="17" s="1"/>
  <c r="BL49" i="16"/>
  <c r="Z52" i="17" s="1"/>
  <c r="AU53" i="16"/>
  <c r="K56" i="17" s="1"/>
  <c r="AC48" i="16"/>
  <c r="AJ51" i="17" s="1"/>
  <c r="Y60" i="16"/>
  <c r="V63" i="17" s="1"/>
  <c r="Y68" i="16"/>
  <c r="V71" i="17" s="1"/>
  <c r="AC63" i="16"/>
  <c r="AJ66" i="17" s="1"/>
  <c r="AC46" i="16"/>
  <c r="AJ49" i="17" s="1"/>
  <c r="AL47" i="16"/>
  <c r="W50" i="17" s="1"/>
  <c r="Y48" i="16"/>
  <c r="V51" i="17" s="1"/>
  <c r="BU53" i="16"/>
  <c r="M56" i="17" s="1"/>
  <c r="BH48" i="16"/>
  <c r="L51" i="17" s="1"/>
  <c r="BU58" i="16"/>
  <c r="M61" i="17" s="1"/>
  <c r="BH40" i="16"/>
  <c r="L43" i="17" s="1"/>
  <c r="BP41" i="16"/>
  <c r="AN44" i="17" s="1"/>
  <c r="BY42" i="16"/>
  <c r="AA45" i="17" s="1"/>
  <c r="BY60" i="16"/>
  <c r="AA63" i="17" s="1"/>
  <c r="CC60" i="16"/>
  <c r="AO63" i="17" s="1"/>
  <c r="AY59" i="16"/>
  <c r="Y62" i="17" s="1"/>
  <c r="AY51" i="16"/>
  <c r="Y54" i="17" s="1"/>
  <c r="AU66" i="16"/>
  <c r="K69" i="17" s="1"/>
  <c r="AY56" i="16"/>
  <c r="Y59" i="17" s="1"/>
  <c r="AU54" i="16"/>
  <c r="K57" i="17" s="1"/>
  <c r="AL66" i="16"/>
  <c r="W69" i="17" s="1"/>
  <c r="AP41" i="16"/>
  <c r="AK44" i="17" s="1"/>
  <c r="U49" i="16"/>
  <c r="H52" i="17" s="1"/>
  <c r="Y57" i="16"/>
  <c r="V60" i="17" s="1"/>
  <c r="U55" i="16"/>
  <c r="H58" i="17" s="1"/>
  <c r="Y67" i="16"/>
  <c r="V70" i="17" s="1"/>
  <c r="Y65" i="16"/>
  <c r="V68" i="17" s="1"/>
  <c r="Y45" i="16"/>
  <c r="V48" i="17" s="1"/>
  <c r="AU62" i="16"/>
  <c r="K65" i="17" s="1"/>
  <c r="AL58" i="16"/>
  <c r="W61" i="17" s="1"/>
  <c r="BL47" i="16"/>
  <c r="Z50" i="17" s="1"/>
  <c r="BH63" i="16"/>
  <c r="L66" i="17" s="1"/>
  <c r="BH51" i="16"/>
  <c r="L54" i="17" s="1"/>
  <c r="BP42" i="16"/>
  <c r="AN45" i="17" s="1"/>
  <c r="BU59" i="16"/>
  <c r="M62" i="17" s="1"/>
  <c r="CC51" i="16"/>
  <c r="AO54" i="17" s="1"/>
  <c r="AY45" i="16"/>
  <c r="Y48" i="17" s="1"/>
  <c r="AY65" i="16"/>
  <c r="Y68" i="17" s="1"/>
  <c r="BC49" i="16"/>
  <c r="AM52" i="17" s="1"/>
  <c r="AL40" i="16"/>
  <c r="W43" i="17" s="1"/>
  <c r="AL60" i="16"/>
  <c r="W63" i="17" s="1"/>
  <c r="AP63" i="16"/>
  <c r="AK66" i="17" s="1"/>
  <c r="BH66" i="16"/>
  <c r="L69" i="17" s="1"/>
  <c r="U57" i="16"/>
  <c r="H60" i="17" s="1"/>
  <c r="Y54" i="16"/>
  <c r="V57" i="17" s="1"/>
  <c r="U48" i="16"/>
  <c r="H51" i="17" s="1"/>
  <c r="AC66" i="16"/>
  <c r="AJ69" i="17" s="1"/>
  <c r="Y66" i="16"/>
  <c r="V69" i="17" s="1"/>
  <c r="AC49" i="16"/>
  <c r="AJ52" i="17" s="1"/>
  <c r="AY58" i="16"/>
  <c r="Y61" i="17" s="1"/>
  <c r="BC63" i="16"/>
  <c r="AM66" i="17" s="1"/>
  <c r="BY48" i="16"/>
  <c r="AA51" i="17" s="1"/>
  <c r="BH45" i="16"/>
  <c r="L48" i="17" s="1"/>
  <c r="BP53" i="16"/>
  <c r="AN56" i="17" s="1"/>
  <c r="CC40" i="16"/>
  <c r="AO43" i="17" s="1"/>
  <c r="AH49" i="16"/>
  <c r="I52" i="17" s="1"/>
  <c r="AH51" i="16"/>
  <c r="I54" i="17" s="1"/>
  <c r="BU64" i="16"/>
  <c r="M67" i="17" s="1"/>
  <c r="BH49" i="16"/>
  <c r="L52" i="17" s="1"/>
  <c r="BL68" i="16"/>
  <c r="Z71" i="17" s="1"/>
  <c r="BL66" i="16"/>
  <c r="Z69" i="17" s="1"/>
  <c r="BY58" i="16"/>
  <c r="AA61" i="17" s="1"/>
  <c r="BY62" i="16"/>
  <c r="AA65" i="17" s="1"/>
  <c r="CC62" i="16"/>
  <c r="AO65" i="17" s="1"/>
  <c r="CC58" i="16"/>
  <c r="AO61" i="17" s="1"/>
  <c r="Y44" i="16"/>
  <c r="V47" i="17" s="1"/>
  <c r="BH62" i="16"/>
  <c r="L65" i="17" s="1"/>
  <c r="AY55" i="16"/>
  <c r="Y58" i="17" s="1"/>
  <c r="BC41" i="16"/>
  <c r="AM44" i="17" s="1"/>
  <c r="AY40" i="16"/>
  <c r="Y43" i="17" s="1"/>
  <c r="AY53" i="16"/>
  <c r="Y56" i="17" s="1"/>
  <c r="BC43" i="16"/>
  <c r="AM46" i="17" s="1"/>
  <c r="AU51" i="16"/>
  <c r="K54" i="17" s="1"/>
  <c r="AU63" i="16"/>
  <c r="K66" i="17" s="1"/>
  <c r="AP44" i="16"/>
  <c r="AK47" i="17" s="1"/>
  <c r="AL51" i="16"/>
  <c r="W54" i="17" s="1"/>
  <c r="AL42" i="16"/>
  <c r="W45" i="17" s="1"/>
  <c r="AL61" i="16"/>
  <c r="W64" i="17" s="1"/>
  <c r="AP50" i="16"/>
  <c r="AK53" i="17" s="1"/>
  <c r="AH40" i="16"/>
  <c r="I43" i="17" s="1"/>
  <c r="Y55" i="16"/>
  <c r="V58" i="17" s="1"/>
  <c r="U42" i="16"/>
  <c r="H45" i="17" s="1"/>
  <c r="U60" i="16"/>
  <c r="H63" i="17" s="1"/>
  <c r="U63" i="16"/>
  <c r="H66" i="17" s="1"/>
  <c r="U44" i="16"/>
  <c r="H47" i="17" s="1"/>
  <c r="Y53" i="16"/>
  <c r="V56" i="17" s="1"/>
  <c r="AC43" i="16"/>
  <c r="AJ46" i="17" s="1"/>
  <c r="AC55" i="16"/>
  <c r="AJ58" i="17" s="1"/>
  <c r="P51" i="16"/>
  <c r="L56" i="16"/>
  <c r="P62" i="16"/>
  <c r="L46" i="16"/>
  <c r="L42" i="16"/>
  <c r="L54" i="16"/>
  <c r="L60" i="16"/>
  <c r="P41" i="16"/>
  <c r="L48" i="16"/>
  <c r="H54" i="16"/>
  <c r="P48" i="16"/>
  <c r="P59" i="16"/>
  <c r="P47" i="16"/>
  <c r="H59" i="16"/>
  <c r="H47" i="16"/>
  <c r="P57" i="16"/>
  <c r="H44" i="16"/>
  <c r="H40" i="16"/>
  <c r="H56" i="16"/>
  <c r="L49" i="16"/>
  <c r="L52" i="16"/>
  <c r="L50" i="16"/>
  <c r="H42" i="16"/>
  <c r="P45" i="16"/>
  <c r="H53" i="16"/>
  <c r="AF64" i="4"/>
  <c r="P64" i="16"/>
  <c r="P52" i="16"/>
  <c r="P50" i="16"/>
  <c r="P43" i="16"/>
  <c r="P67" i="16"/>
  <c r="P44" i="16"/>
  <c r="L66" i="16"/>
  <c r="H62" i="16"/>
  <c r="H41" i="16"/>
  <c r="P61" i="16"/>
  <c r="H64" i="16"/>
  <c r="P49" i="16"/>
  <c r="L61" i="16"/>
  <c r="L44" i="16"/>
  <c r="L40" i="16"/>
  <c r="H46" i="16"/>
  <c r="L55" i="16"/>
  <c r="L58" i="16"/>
  <c r="L43" i="16"/>
  <c r="L63" i="16"/>
  <c r="L62" i="16"/>
  <c r="H67" i="16"/>
  <c r="L57" i="16"/>
  <c r="L53" i="16"/>
  <c r="L51" i="16"/>
  <c r="P58" i="16"/>
  <c r="H49" i="16"/>
  <c r="H48" i="16"/>
  <c r="H63" i="16"/>
  <c r="H68" i="16"/>
  <c r="H55" i="16"/>
  <c r="H52" i="16"/>
  <c r="H58" i="16"/>
  <c r="H61" i="16"/>
  <c r="H65" i="16"/>
  <c r="H57" i="16"/>
  <c r="H51" i="16"/>
  <c r="AA121" i="17" l="1"/>
  <c r="V114" i="17"/>
  <c r="AA127" i="17"/>
  <c r="AA195" i="17" s="1"/>
  <c r="AN119" i="17"/>
  <c r="AN187" i="17" s="1"/>
  <c r="AN122" i="17"/>
  <c r="M126" i="17"/>
  <c r="AM136" i="17"/>
  <c r="AJ128" i="17"/>
  <c r="H114" i="17"/>
  <c r="AL45" i="17"/>
  <c r="J69" i="17"/>
  <c r="J137" i="17" s="1"/>
  <c r="AO126" i="17"/>
  <c r="AG62" i="4"/>
  <c r="AM172" i="17"/>
  <c r="AN120" i="17"/>
  <c r="AG42" i="4"/>
  <c r="W114" i="17"/>
  <c r="AG49" i="4"/>
  <c r="V130" i="17"/>
  <c r="AM14" i="17"/>
  <c r="AM169" i="17"/>
  <c r="AM90" i="17"/>
  <c r="AM155" i="17"/>
  <c r="AM166" i="17"/>
  <c r="AM147" i="17"/>
  <c r="AM98" i="17"/>
  <c r="AM167" i="17"/>
  <c r="AM38" i="17"/>
  <c r="AM18" i="17"/>
  <c r="AM154" i="17"/>
  <c r="AM28" i="17"/>
  <c r="AM13" i="17"/>
  <c r="V133" i="17"/>
  <c r="AM36" i="17"/>
  <c r="AM80" i="17"/>
  <c r="AM33" i="17"/>
  <c r="AM17" i="17"/>
  <c r="V120" i="17"/>
  <c r="AM87" i="17"/>
  <c r="AM11" i="17"/>
  <c r="AM35" i="17"/>
  <c r="AM102" i="17"/>
  <c r="I118" i="17"/>
  <c r="AM24" i="17"/>
  <c r="AM22" i="17"/>
  <c r="AM30" i="17"/>
  <c r="AM110" i="17"/>
  <c r="AM163" i="17"/>
  <c r="AM111" i="17"/>
  <c r="AM165" i="17"/>
  <c r="AM101" i="17"/>
  <c r="AM175" i="17"/>
  <c r="AM94" i="17"/>
  <c r="AM27" i="17"/>
  <c r="AM23" i="17"/>
  <c r="AA136" i="17"/>
  <c r="AM39" i="17"/>
  <c r="AM152" i="17"/>
  <c r="AM31" i="17"/>
  <c r="AM150" i="17"/>
  <c r="AM83" i="17"/>
  <c r="AM153" i="17"/>
  <c r="AM16" i="17"/>
  <c r="AM86" i="17"/>
  <c r="AM12" i="17"/>
  <c r="AM42" i="17"/>
  <c r="AM107" i="17"/>
  <c r="AM168" i="17"/>
  <c r="AM34" i="17"/>
  <c r="AM171" i="17"/>
  <c r="AM88" i="17"/>
  <c r="AM157" i="17"/>
  <c r="AM93" i="17"/>
  <c r="AM100" i="17"/>
  <c r="AM20" i="17"/>
  <c r="AK118" i="17"/>
  <c r="AK186" i="17" s="1"/>
  <c r="AG52" i="4"/>
  <c r="I134" i="17"/>
  <c r="I202" i="17" s="1"/>
  <c r="AK119" i="17"/>
  <c r="AK187" i="17" s="1"/>
  <c r="AM139" i="17"/>
  <c r="AM207" i="17" s="1"/>
  <c r="K126" i="17"/>
  <c r="AM116" i="17"/>
  <c r="L127" i="17"/>
  <c r="L195" i="17" s="1"/>
  <c r="AG56" i="4"/>
  <c r="AL58" i="17"/>
  <c r="AM121" i="17"/>
  <c r="AE48" i="4"/>
  <c r="J55" i="17"/>
  <c r="AG45" i="4"/>
  <c r="AL52" i="17"/>
  <c r="H119" i="17"/>
  <c r="W118" i="17"/>
  <c r="AJ139" i="17"/>
  <c r="AO121" i="17"/>
  <c r="AF58" i="4"/>
  <c r="X65" i="17"/>
  <c r="H115" i="17"/>
  <c r="AO131" i="17"/>
  <c r="AO123" i="17"/>
  <c r="M139" i="17"/>
  <c r="W126" i="17"/>
  <c r="K197" i="17"/>
  <c r="AF59" i="4"/>
  <c r="X66" i="17"/>
  <c r="K134" i="17"/>
  <c r="AN113" i="17"/>
  <c r="AA131" i="17"/>
  <c r="AM138" i="17"/>
  <c r="AF39" i="4"/>
  <c r="X46" i="17"/>
  <c r="H131" i="17"/>
  <c r="L122" i="17"/>
  <c r="AM128" i="17"/>
  <c r="AK132" i="17"/>
  <c r="AJ123" i="17"/>
  <c r="AE58" i="4"/>
  <c r="J65" i="17"/>
  <c r="AE55" i="4"/>
  <c r="J62" i="17"/>
  <c r="AA129" i="17"/>
  <c r="AK112" i="17"/>
  <c r="W134" i="17"/>
  <c r="I115" i="17"/>
  <c r="L129" i="17"/>
  <c r="AF51" i="4"/>
  <c r="X58" i="17"/>
  <c r="AG43" i="4"/>
  <c r="AL50" i="17"/>
  <c r="Z137" i="17"/>
  <c r="Z118" i="17"/>
  <c r="AJ119" i="17"/>
  <c r="AA128" i="17"/>
  <c r="L136" i="17"/>
  <c r="L115" i="17"/>
  <c r="M26" i="17"/>
  <c r="M21" i="17"/>
  <c r="M164" i="17"/>
  <c r="M152" i="17"/>
  <c r="M108" i="17"/>
  <c r="M169" i="17"/>
  <c r="M89" i="17"/>
  <c r="M94" i="17"/>
  <c r="M28" i="17"/>
  <c r="M35" i="17"/>
  <c r="M19" i="17"/>
  <c r="M160" i="17"/>
  <c r="M103" i="17"/>
  <c r="M177" i="17"/>
  <c r="M178" i="17"/>
  <c r="M83" i="17"/>
  <c r="M93" i="17"/>
  <c r="M33" i="17"/>
  <c r="M40" i="17"/>
  <c r="M24" i="17"/>
  <c r="M150" i="17"/>
  <c r="M100" i="17"/>
  <c r="M167" i="17"/>
  <c r="M104" i="17"/>
  <c r="M91" i="17"/>
  <c r="M85" i="17"/>
  <c r="M38" i="17"/>
  <c r="M12" i="17"/>
  <c r="M29" i="17"/>
  <c r="M165" i="17"/>
  <c r="M162" i="17"/>
  <c r="M110" i="17"/>
  <c r="M158" i="17"/>
  <c r="M92" i="17"/>
  <c r="M105" i="17"/>
  <c r="M23" i="17"/>
  <c r="M30" i="17"/>
  <c r="M14" i="17"/>
  <c r="M166" i="17"/>
  <c r="M163" i="17"/>
  <c r="M90" i="17"/>
  <c r="M109" i="17"/>
  <c r="M17" i="17"/>
  <c r="M36" i="17"/>
  <c r="M156" i="17"/>
  <c r="M172" i="17"/>
  <c r="M106" i="17"/>
  <c r="M80" i="17"/>
  <c r="M22" i="17"/>
  <c r="M155" i="17"/>
  <c r="M161" i="17"/>
  <c r="M102" i="17"/>
  <c r="M13" i="17"/>
  <c r="M27" i="17"/>
  <c r="M151" i="17"/>
  <c r="M171" i="17"/>
  <c r="M96" i="17"/>
  <c r="M18" i="17"/>
  <c r="M32" i="17"/>
  <c r="M41" i="17"/>
  <c r="M174" i="17"/>
  <c r="M99" i="17"/>
  <c r="M149" i="17"/>
  <c r="M101" i="17"/>
  <c r="M98" i="17"/>
  <c r="M37" i="17"/>
  <c r="M16" i="17"/>
  <c r="M170" i="17"/>
  <c r="M157" i="17"/>
  <c r="M159" i="17"/>
  <c r="M86" i="17"/>
  <c r="M82" i="17"/>
  <c r="M42" i="17"/>
  <c r="M176" i="17"/>
  <c r="M154" i="17"/>
  <c r="M147" i="17"/>
  <c r="M84" i="17"/>
  <c r="M88" i="17"/>
  <c r="M34" i="17"/>
  <c r="M173" i="17"/>
  <c r="M153" i="17"/>
  <c r="M111" i="17"/>
  <c r="M79" i="17"/>
  <c r="M15" i="17"/>
  <c r="M39" i="17"/>
  <c r="M20" i="17"/>
  <c r="M25" i="17"/>
  <c r="M175" i="17"/>
  <c r="M11" i="17"/>
  <c r="M31" i="17"/>
  <c r="M168" i="17"/>
  <c r="M107" i="17"/>
  <c r="M148" i="17"/>
  <c r="M97" i="17"/>
  <c r="M95" i="17"/>
  <c r="M81" i="17"/>
  <c r="M87" i="17"/>
  <c r="V203" i="17"/>
  <c r="AE54" i="4"/>
  <c r="J61" i="17"/>
  <c r="AF53" i="4"/>
  <c r="X60" i="17"/>
  <c r="AF57" i="4"/>
  <c r="X64" i="17"/>
  <c r="AG46" i="4"/>
  <c r="AL53" i="17"/>
  <c r="AE52" i="4"/>
  <c r="J59" i="17"/>
  <c r="AF44" i="4"/>
  <c r="X51" i="17"/>
  <c r="AJ114" i="17"/>
  <c r="W113" i="17"/>
  <c r="L133" i="17"/>
  <c r="I122" i="17"/>
  <c r="AJ137" i="17"/>
  <c r="Y116" i="17"/>
  <c r="V136" i="17"/>
  <c r="Y122" i="17"/>
  <c r="V119" i="17"/>
  <c r="AK124" i="17"/>
  <c r="I129" i="17"/>
  <c r="Y118" i="17"/>
  <c r="K112" i="17"/>
  <c r="H123" i="17"/>
  <c r="AN117" i="17"/>
  <c r="AO127" i="17"/>
  <c r="AJ25" i="17"/>
  <c r="AJ101" i="17"/>
  <c r="AJ21" i="17"/>
  <c r="AJ24" i="17"/>
  <c r="AJ40" i="17"/>
  <c r="AJ171" i="17"/>
  <c r="AJ169" i="17"/>
  <c r="AJ170" i="17"/>
  <c r="AJ157" i="17"/>
  <c r="AJ152" i="17"/>
  <c r="AJ150" i="17"/>
  <c r="AJ92" i="17"/>
  <c r="AJ82" i="17"/>
  <c r="AJ23" i="17"/>
  <c r="AJ34" i="17"/>
  <c r="AJ174" i="17"/>
  <c r="AJ173" i="17"/>
  <c r="AJ102" i="17"/>
  <c r="AJ159" i="17"/>
  <c r="AJ83" i="17"/>
  <c r="AJ108" i="17"/>
  <c r="AJ18" i="17"/>
  <c r="AJ29" i="17"/>
  <c r="AJ16" i="17"/>
  <c r="AJ15" i="17"/>
  <c r="AJ172" i="17"/>
  <c r="AJ176" i="17"/>
  <c r="AJ147" i="17"/>
  <c r="AJ107" i="17"/>
  <c r="AJ94" i="17"/>
  <c r="AJ90" i="17"/>
  <c r="AJ13" i="17"/>
  <c r="AJ81" i="17"/>
  <c r="AJ19" i="17"/>
  <c r="AJ35" i="17"/>
  <c r="AJ160" i="17"/>
  <c r="AJ168" i="17"/>
  <c r="AJ162" i="17"/>
  <c r="AJ99" i="17"/>
  <c r="AJ89" i="17"/>
  <c r="AJ93" i="17"/>
  <c r="AJ104" i="17"/>
  <c r="AJ42" i="17"/>
  <c r="AJ156" i="17"/>
  <c r="AJ110" i="17"/>
  <c r="AJ155" i="17"/>
  <c r="AJ151" i="17"/>
  <c r="AJ106" i="17"/>
  <c r="AJ84" i="17"/>
  <c r="AJ87" i="17"/>
  <c r="AJ37" i="17"/>
  <c r="AJ103" i="17"/>
  <c r="AJ166" i="17"/>
  <c r="AJ96" i="17"/>
  <c r="AJ163" i="17"/>
  <c r="AJ111" i="17"/>
  <c r="AJ95" i="17"/>
  <c r="AJ80" i="17"/>
  <c r="AJ79" i="17"/>
  <c r="AJ32" i="17"/>
  <c r="AJ164" i="17"/>
  <c r="AJ98" i="17"/>
  <c r="AJ165" i="17"/>
  <c r="AJ105" i="17"/>
  <c r="AJ88" i="17"/>
  <c r="AJ161" i="17"/>
  <c r="AJ97" i="17"/>
  <c r="AJ149" i="17"/>
  <c r="AJ158" i="17"/>
  <c r="AJ100" i="17"/>
  <c r="AJ91" i="17"/>
  <c r="AJ27" i="17"/>
  <c r="AJ177" i="17"/>
  <c r="AJ86" i="17"/>
  <c r="AJ22" i="17"/>
  <c r="AJ30" i="17"/>
  <c r="AJ153" i="17"/>
  <c r="AJ11" i="17"/>
  <c r="AJ17" i="17"/>
  <c r="AJ167" i="17"/>
  <c r="AJ38" i="17"/>
  <c r="AJ12" i="17"/>
  <c r="AJ175" i="17"/>
  <c r="AJ33" i="17"/>
  <c r="AJ154" i="17"/>
  <c r="AJ28" i="17"/>
  <c r="AJ26" i="17"/>
  <c r="AJ148" i="17"/>
  <c r="AJ41" i="17"/>
  <c r="AJ20" i="17"/>
  <c r="AJ178" i="17"/>
  <c r="AJ36" i="17"/>
  <c r="AJ109" i="17"/>
  <c r="AJ31" i="17"/>
  <c r="AJ85" i="17"/>
  <c r="AJ39" i="17"/>
  <c r="AJ14" i="17"/>
  <c r="I119" i="17"/>
  <c r="W135" i="17"/>
  <c r="M116" i="17"/>
  <c r="Y134" i="17"/>
  <c r="Y117" i="17"/>
  <c r="AK129" i="17"/>
  <c r="Y133" i="17"/>
  <c r="M131" i="17"/>
  <c r="L124" i="17"/>
  <c r="AM197" i="17"/>
  <c r="W196" i="17"/>
  <c r="I205" i="17"/>
  <c r="Y182" i="17"/>
  <c r="W182" i="17"/>
  <c r="AA112" i="17"/>
  <c r="AJ130" i="17"/>
  <c r="L132" i="17"/>
  <c r="H195" i="17"/>
  <c r="AN118" i="17"/>
  <c r="AM201" i="17"/>
  <c r="AK182" i="17"/>
  <c r="Z181" i="17"/>
  <c r="K185" i="17"/>
  <c r="AO113" i="17"/>
  <c r="M186" i="17"/>
  <c r="AO202" i="17"/>
  <c r="AL127" i="17"/>
  <c r="AO204" i="17"/>
  <c r="AL124" i="17"/>
  <c r="AK194" i="17"/>
  <c r="AO193" i="17"/>
  <c r="X135" i="17"/>
  <c r="L117" i="17"/>
  <c r="L191" i="17"/>
  <c r="H182" i="17"/>
  <c r="I184" i="17"/>
  <c r="Y199" i="17"/>
  <c r="AO198" i="17"/>
  <c r="AK188" i="17"/>
  <c r="H200" i="17"/>
  <c r="V188" i="17"/>
  <c r="AM198" i="17"/>
  <c r="AA122" i="17"/>
  <c r="I186" i="17"/>
  <c r="AN206" i="17"/>
  <c r="M187" i="17"/>
  <c r="AM191" i="17"/>
  <c r="V185" i="17"/>
  <c r="AA202" i="17"/>
  <c r="Z189" i="17"/>
  <c r="AJ196" i="17"/>
  <c r="AO185" i="17"/>
  <c r="AK137" i="17"/>
  <c r="J121" i="17"/>
  <c r="Z206" i="17"/>
  <c r="AN205" i="17"/>
  <c r="AM195" i="17"/>
  <c r="X130" i="17"/>
  <c r="V115" i="17"/>
  <c r="K123" i="17"/>
  <c r="M117" i="17"/>
  <c r="AF56" i="4"/>
  <c r="X63" i="17"/>
  <c r="Z117" i="17"/>
  <c r="AO128" i="17"/>
  <c r="AO116" i="17"/>
  <c r="AK136" i="17"/>
  <c r="W120" i="17"/>
  <c r="I133" i="17"/>
  <c r="AN92" i="17"/>
  <c r="AN37" i="17"/>
  <c r="AN32" i="17"/>
  <c r="AN22" i="17"/>
  <c r="AN42" i="17"/>
  <c r="AN20" i="17"/>
  <c r="AN21" i="17"/>
  <c r="AN26" i="17"/>
  <c r="AN16" i="17"/>
  <c r="AN31" i="17"/>
  <c r="AN27" i="17"/>
  <c r="AN11" i="17"/>
  <c r="AN36" i="17"/>
  <c r="AN41" i="17"/>
  <c r="AN12" i="17"/>
  <c r="AN90" i="17"/>
  <c r="AN25" i="17"/>
  <c r="AN17" i="17"/>
  <c r="AN30" i="17"/>
  <c r="AN35" i="17"/>
  <c r="AN15" i="17"/>
  <c r="AN40" i="17"/>
  <c r="AN13" i="17"/>
  <c r="AN169" i="17"/>
  <c r="AN108" i="17"/>
  <c r="AN150" i="17"/>
  <c r="AN147" i="17"/>
  <c r="AN82" i="17"/>
  <c r="AN81" i="17"/>
  <c r="AN173" i="17"/>
  <c r="AN160" i="17"/>
  <c r="AN178" i="17"/>
  <c r="AN111" i="17"/>
  <c r="AN105" i="17"/>
  <c r="AN110" i="17"/>
  <c r="AN29" i="17"/>
  <c r="AN18" i="17"/>
  <c r="AN172" i="17"/>
  <c r="AN107" i="17"/>
  <c r="AN167" i="17"/>
  <c r="AN104" i="17"/>
  <c r="AN103" i="17"/>
  <c r="AN99" i="17"/>
  <c r="AN34" i="17"/>
  <c r="AN23" i="17"/>
  <c r="AN163" i="17"/>
  <c r="AN170" i="17"/>
  <c r="AN165" i="17"/>
  <c r="AN106" i="17"/>
  <c r="AN96" i="17"/>
  <c r="AN98" i="17"/>
  <c r="AN39" i="17"/>
  <c r="AN28" i="17"/>
  <c r="AN159" i="17"/>
  <c r="AN109" i="17"/>
  <c r="AN156" i="17"/>
  <c r="AN152" i="17"/>
  <c r="AN93" i="17"/>
  <c r="AN89" i="17"/>
  <c r="AN79" i="17"/>
  <c r="AN33" i="17"/>
  <c r="AN149" i="17"/>
  <c r="AN177" i="17"/>
  <c r="AN168" i="17"/>
  <c r="AN88" i="17"/>
  <c r="AN84" i="17"/>
  <c r="AN83" i="17"/>
  <c r="AN38" i="17"/>
  <c r="AN176" i="17"/>
  <c r="AN101" i="17"/>
  <c r="AN164" i="17"/>
  <c r="AN95" i="17"/>
  <c r="AN102" i="17"/>
  <c r="AN154" i="17"/>
  <c r="AN157" i="17"/>
  <c r="AN161" i="17"/>
  <c r="AN91" i="17"/>
  <c r="AN85" i="17"/>
  <c r="AN100" i="17"/>
  <c r="AN175" i="17"/>
  <c r="AN155" i="17"/>
  <c r="AN174" i="17"/>
  <c r="AN86" i="17"/>
  <c r="AN94" i="17"/>
  <c r="AN14" i="17"/>
  <c r="AN153" i="17"/>
  <c r="AN171" i="17"/>
  <c r="AN19" i="17"/>
  <c r="AN162" i="17"/>
  <c r="AN24" i="17"/>
  <c r="AN148" i="17"/>
  <c r="AN158" i="17"/>
  <c r="AN166" i="17"/>
  <c r="AN151" i="17"/>
  <c r="AN97" i="17"/>
  <c r="AN87" i="17"/>
  <c r="AN80" i="17"/>
  <c r="AO137" i="17"/>
  <c r="AK128" i="17"/>
  <c r="W121" i="17"/>
  <c r="H184" i="17"/>
  <c r="AM187" i="17"/>
  <c r="AN200" i="17"/>
  <c r="X118" i="17"/>
  <c r="Z197" i="17"/>
  <c r="L206" i="17"/>
  <c r="AL125" i="17"/>
  <c r="AA124" i="17"/>
  <c r="X136" i="17"/>
  <c r="K138" i="17"/>
  <c r="AM179" i="17"/>
  <c r="AA184" i="17"/>
  <c r="K187" i="17"/>
  <c r="H185" i="17"/>
  <c r="W204" i="17"/>
  <c r="Y205" i="17"/>
  <c r="M206" i="17"/>
  <c r="I194" i="17"/>
  <c r="AK191" i="17"/>
  <c r="AJ193" i="17"/>
  <c r="H190" i="17"/>
  <c r="W187" i="17"/>
  <c r="I189" i="17"/>
  <c r="AN190" i="17"/>
  <c r="AJ201" i="17"/>
  <c r="K184" i="17"/>
  <c r="I120" i="17"/>
  <c r="K28" i="17"/>
  <c r="K13" i="17"/>
  <c r="K161" i="17"/>
  <c r="K160" i="17"/>
  <c r="K154" i="17"/>
  <c r="K169" i="17"/>
  <c r="K105" i="17"/>
  <c r="K89" i="17"/>
  <c r="K79" i="17"/>
  <c r="K22" i="17"/>
  <c r="K39" i="17"/>
  <c r="K38" i="17"/>
  <c r="K171" i="17"/>
  <c r="K164" i="17"/>
  <c r="K165" i="17"/>
  <c r="K153" i="17"/>
  <c r="K149" i="17"/>
  <c r="K81" i="17"/>
  <c r="K87" i="17"/>
  <c r="K30" i="17"/>
  <c r="K19" i="17"/>
  <c r="K18" i="17"/>
  <c r="K176" i="17"/>
  <c r="K150" i="17"/>
  <c r="K155" i="17"/>
  <c r="K111" i="17"/>
  <c r="K108" i="17"/>
  <c r="K80" i="17"/>
  <c r="K35" i="17"/>
  <c r="K24" i="17"/>
  <c r="K178" i="17"/>
  <c r="K175" i="17"/>
  <c r="K148" i="17"/>
  <c r="K151" i="17"/>
  <c r="K106" i="17"/>
  <c r="K102" i="17"/>
  <c r="K40" i="17"/>
  <c r="K29" i="17"/>
  <c r="K152" i="17"/>
  <c r="K168" i="17"/>
  <c r="K177" i="17"/>
  <c r="K107" i="17"/>
  <c r="K95" i="17"/>
  <c r="K96" i="17"/>
  <c r="K12" i="17"/>
  <c r="K34" i="17"/>
  <c r="K147" i="17"/>
  <c r="K97" i="17"/>
  <c r="K163" i="17"/>
  <c r="K101" i="17"/>
  <c r="K90" i="17"/>
  <c r="K85" i="17"/>
  <c r="K17" i="17"/>
  <c r="K16" i="17"/>
  <c r="K167" i="17"/>
  <c r="K174" i="17"/>
  <c r="K172" i="17"/>
  <c r="K93" i="17"/>
  <c r="K110" i="17"/>
  <c r="K82" i="17"/>
  <c r="K27" i="17"/>
  <c r="K21" i="17"/>
  <c r="K158" i="17"/>
  <c r="K98" i="17"/>
  <c r="K156" i="17"/>
  <c r="K86" i="17"/>
  <c r="K92" i="17"/>
  <c r="K91" i="17"/>
  <c r="K32" i="17"/>
  <c r="K26" i="17"/>
  <c r="K170" i="17"/>
  <c r="K100" i="17"/>
  <c r="K159" i="17"/>
  <c r="K94" i="17"/>
  <c r="K88" i="17"/>
  <c r="K25" i="17"/>
  <c r="K14" i="17"/>
  <c r="K41" i="17"/>
  <c r="K173" i="17"/>
  <c r="K20" i="17"/>
  <c r="K162" i="17"/>
  <c r="K37" i="17"/>
  <c r="K103" i="17"/>
  <c r="K42" i="17"/>
  <c r="K166" i="17"/>
  <c r="K31" i="17"/>
  <c r="K109" i="17"/>
  <c r="K36" i="17"/>
  <c r="K84" i="17"/>
  <c r="K104" i="17"/>
  <c r="K11" i="17"/>
  <c r="K83" i="17"/>
  <c r="K157" i="17"/>
  <c r="K33" i="17"/>
  <c r="K99" i="17"/>
  <c r="K23" i="17"/>
  <c r="K15" i="17"/>
  <c r="AJ135" i="17"/>
  <c r="AO42" i="17"/>
  <c r="AO36" i="17"/>
  <c r="AO26" i="17"/>
  <c r="AO23" i="17"/>
  <c r="AO21" i="17"/>
  <c r="AO41" i="17"/>
  <c r="AO38" i="17"/>
  <c r="AO18" i="17"/>
  <c r="AO33" i="17"/>
  <c r="AO28" i="17"/>
  <c r="AO15" i="17"/>
  <c r="AO25" i="17"/>
  <c r="AO13" i="17"/>
  <c r="AO20" i="17"/>
  <c r="AO30" i="17"/>
  <c r="AO31" i="17"/>
  <c r="AO35" i="17"/>
  <c r="AO16" i="17"/>
  <c r="AO40" i="17"/>
  <c r="AO150" i="17"/>
  <c r="AO104" i="17"/>
  <c r="AO174" i="17"/>
  <c r="AO98" i="17"/>
  <c r="AO97" i="17"/>
  <c r="AO89" i="17"/>
  <c r="AO84" i="17"/>
  <c r="AO17" i="17"/>
  <c r="AO154" i="17"/>
  <c r="AO157" i="17"/>
  <c r="AO164" i="17"/>
  <c r="AO106" i="17"/>
  <c r="AO87" i="17"/>
  <c r="AO11" i="17"/>
  <c r="AO96" i="17"/>
  <c r="AO175" i="17"/>
  <c r="AO155" i="17"/>
  <c r="AO161" i="17"/>
  <c r="AO110" i="17"/>
  <c r="AO100" i="17"/>
  <c r="AO19" i="17"/>
  <c r="AO79" i="17"/>
  <c r="AO22" i="17"/>
  <c r="AO158" i="17"/>
  <c r="AO148" i="17"/>
  <c r="AO166" i="17"/>
  <c r="AO162" i="17"/>
  <c r="AO90" i="17"/>
  <c r="AO27" i="17"/>
  <c r="AO152" i="17"/>
  <c r="AO163" i="17"/>
  <c r="AO159" i="17"/>
  <c r="AO108" i="17"/>
  <c r="AO85" i="17"/>
  <c r="AO24" i="17"/>
  <c r="AO105" i="17"/>
  <c r="AO178" i="17"/>
  <c r="AO167" i="17"/>
  <c r="AO153" i="17"/>
  <c r="AO102" i="17"/>
  <c r="AO81" i="17"/>
  <c r="AO32" i="17"/>
  <c r="AO170" i="17"/>
  <c r="AO165" i="17"/>
  <c r="AO151" i="17"/>
  <c r="AO88" i="17"/>
  <c r="AO107" i="17"/>
  <c r="AO29" i="17"/>
  <c r="AO80" i="17"/>
  <c r="AO109" i="17"/>
  <c r="AO156" i="17"/>
  <c r="AO171" i="17"/>
  <c r="AO95" i="17"/>
  <c r="AO92" i="17"/>
  <c r="AO93" i="17"/>
  <c r="AO37" i="17"/>
  <c r="AO173" i="17"/>
  <c r="AO177" i="17"/>
  <c r="AO149" i="17"/>
  <c r="AO147" i="17"/>
  <c r="AO91" i="17"/>
  <c r="AO83" i="17"/>
  <c r="AO34" i="17"/>
  <c r="AO111" i="17"/>
  <c r="AO86" i="17"/>
  <c r="AO82" i="17"/>
  <c r="AO172" i="17"/>
  <c r="AO99" i="17"/>
  <c r="AO176" i="17"/>
  <c r="AO14" i="17"/>
  <c r="AO103" i="17"/>
  <c r="AO101" i="17"/>
  <c r="AO39" i="17"/>
  <c r="AO94" i="17"/>
  <c r="AO12" i="17"/>
  <c r="AO168" i="17"/>
  <c r="AO169" i="17"/>
  <c r="AO160" i="17"/>
  <c r="M136" i="17"/>
  <c r="I130" i="17"/>
  <c r="M122" i="17"/>
  <c r="Y139" i="17"/>
  <c r="Y119" i="17"/>
  <c r="Y203" i="17"/>
  <c r="I185" i="17"/>
  <c r="AA179" i="17"/>
  <c r="AN125" i="17"/>
  <c r="I199" i="17"/>
  <c r="Z191" i="17"/>
  <c r="AK206" i="17"/>
  <c r="M193" i="17"/>
  <c r="L114" i="17"/>
  <c r="Y189" i="17"/>
  <c r="AO186" i="17"/>
  <c r="V198" i="17"/>
  <c r="H180" i="17"/>
  <c r="AF37" i="4"/>
  <c r="X44" i="17"/>
  <c r="AA126" i="17"/>
  <c r="AN188" i="17"/>
  <c r="AO182" i="17"/>
  <c r="AJ183" i="17"/>
  <c r="K182" i="17"/>
  <c r="AL139" i="17"/>
  <c r="AA138" i="17"/>
  <c r="AL113" i="17"/>
  <c r="AG37" i="4"/>
  <c r="AL44" i="17"/>
  <c r="H139" i="17"/>
  <c r="H129" i="17"/>
  <c r="M130" i="17"/>
  <c r="Z133" i="17"/>
  <c r="AJ112" i="17"/>
  <c r="Z199" i="17"/>
  <c r="AM115" i="17"/>
  <c r="AN202" i="17"/>
  <c r="AM118" i="17"/>
  <c r="AN127" i="17"/>
  <c r="K200" i="17"/>
  <c r="V201" i="17"/>
  <c r="Y181" i="17"/>
  <c r="AM203" i="17"/>
  <c r="AO207" i="17"/>
  <c r="AO194" i="17"/>
  <c r="H203" i="17"/>
  <c r="V191" i="17"/>
  <c r="V186" i="17"/>
  <c r="I180" i="17"/>
  <c r="AN207" i="17"/>
  <c r="AO180" i="17"/>
  <c r="AE36" i="4"/>
  <c r="J43" i="17"/>
  <c r="AK25" i="17"/>
  <c r="AK12" i="17"/>
  <c r="AK15" i="17"/>
  <c r="AK35" i="17"/>
  <c r="AK170" i="17"/>
  <c r="AK169" i="17"/>
  <c r="AK22" i="17"/>
  <c r="AK177" i="17"/>
  <c r="AK154" i="17"/>
  <c r="AK148" i="17"/>
  <c r="AK104" i="17"/>
  <c r="AK100" i="17"/>
  <c r="AK90" i="17"/>
  <c r="AK31" i="17"/>
  <c r="AK14" i="17"/>
  <c r="AK174" i="17"/>
  <c r="AK173" i="17"/>
  <c r="AK152" i="17"/>
  <c r="AK178" i="17"/>
  <c r="AK99" i="17"/>
  <c r="AK91" i="17"/>
  <c r="AK38" i="17"/>
  <c r="AK26" i="17"/>
  <c r="AK108" i="17"/>
  <c r="AK40" i="17"/>
  <c r="AK95" i="17"/>
  <c r="AK165" i="17"/>
  <c r="AK106" i="17"/>
  <c r="AK105" i="17"/>
  <c r="AK101" i="17"/>
  <c r="AK33" i="17"/>
  <c r="AK88" i="17"/>
  <c r="AK27" i="17"/>
  <c r="AK20" i="17"/>
  <c r="AK155" i="17"/>
  <c r="AK171" i="17"/>
  <c r="AK103" i="17"/>
  <c r="AK156" i="17"/>
  <c r="AK28" i="17"/>
  <c r="AK39" i="17"/>
  <c r="AK107" i="17"/>
  <c r="AK151" i="17"/>
  <c r="AK162" i="17"/>
  <c r="AK109" i="17"/>
  <c r="AK86" i="17"/>
  <c r="AK23" i="17"/>
  <c r="AK34" i="17"/>
  <c r="AK176" i="17"/>
  <c r="AK160" i="17"/>
  <c r="AK168" i="17"/>
  <c r="AK82" i="17"/>
  <c r="AK18" i="17"/>
  <c r="AK29" i="17"/>
  <c r="AK166" i="17"/>
  <c r="AK98" i="17"/>
  <c r="AK163" i="17"/>
  <c r="AK92" i="17"/>
  <c r="AK87" i="17"/>
  <c r="AK13" i="17"/>
  <c r="AK24" i="17"/>
  <c r="AK164" i="17"/>
  <c r="AK97" i="17"/>
  <c r="AK149" i="17"/>
  <c r="AK83" i="17"/>
  <c r="AK79" i="17"/>
  <c r="AK11" i="17"/>
  <c r="AK19" i="17"/>
  <c r="AK161" i="17"/>
  <c r="AK175" i="17"/>
  <c r="AK158" i="17"/>
  <c r="AK110" i="17"/>
  <c r="AK96" i="17"/>
  <c r="AK41" i="17"/>
  <c r="AK81" i="17"/>
  <c r="AK30" i="17"/>
  <c r="AK153" i="17"/>
  <c r="AK172" i="17"/>
  <c r="AK150" i="17"/>
  <c r="AK94" i="17"/>
  <c r="AK93" i="17"/>
  <c r="AK36" i="17"/>
  <c r="AK42" i="17"/>
  <c r="AK167" i="17"/>
  <c r="AK102" i="17"/>
  <c r="AK159" i="17"/>
  <c r="AK157" i="17"/>
  <c r="AK147" i="17"/>
  <c r="AK111" i="17"/>
  <c r="AK89" i="17"/>
  <c r="AK84" i="17"/>
  <c r="AK85" i="17"/>
  <c r="AK17" i="17"/>
  <c r="AK21" i="17"/>
  <c r="AK16" i="17"/>
  <c r="AK37" i="17"/>
  <c r="AK32" i="17"/>
  <c r="AK80" i="17"/>
  <c r="Z116" i="17"/>
  <c r="AE51" i="4"/>
  <c r="J58" i="17"/>
  <c r="H126" i="17"/>
  <c r="Z112" i="17"/>
  <c r="W207" i="17"/>
  <c r="W206" i="17"/>
  <c r="Z196" i="17"/>
  <c r="V195" i="17"/>
  <c r="V200" i="17"/>
  <c r="M180" i="17"/>
  <c r="M182" i="17"/>
  <c r="Z193" i="17"/>
  <c r="AJ200" i="17"/>
  <c r="AO188" i="17"/>
  <c r="K195" i="17"/>
  <c r="AN203" i="17"/>
  <c r="H138" i="17"/>
  <c r="AA189" i="17"/>
  <c r="M183" i="17"/>
  <c r="AK195" i="17"/>
  <c r="L186" i="17"/>
  <c r="V180" i="17"/>
  <c r="AK181" i="17"/>
  <c r="K196" i="17"/>
  <c r="M189" i="17"/>
  <c r="AL137" i="17"/>
  <c r="AL131" i="17"/>
  <c r="AE63" i="4"/>
  <c r="J70" i="17"/>
  <c r="V124" i="17"/>
  <c r="AO122" i="17"/>
  <c r="Y125" i="17"/>
  <c r="AK135" i="17"/>
  <c r="Y200" i="17"/>
  <c r="AG60" i="4"/>
  <c r="AL67" i="17"/>
  <c r="AK115" i="17"/>
  <c r="AJ117" i="17"/>
  <c r="Y138" i="17"/>
  <c r="AN123" i="17"/>
  <c r="W193" i="17"/>
  <c r="AG57" i="4"/>
  <c r="AL64" i="17"/>
  <c r="H134" i="17"/>
  <c r="H128" i="17"/>
  <c r="K113" i="17"/>
  <c r="I113" i="17"/>
  <c r="AE37" i="4"/>
  <c r="J44" i="17"/>
  <c r="AF38" i="4"/>
  <c r="X45" i="17"/>
  <c r="L116" i="17"/>
  <c r="AA113" i="17"/>
  <c r="K130" i="17"/>
  <c r="AN129" i="17"/>
  <c r="AF54" i="4"/>
  <c r="X61" i="17"/>
  <c r="AF42" i="4"/>
  <c r="X49" i="17"/>
  <c r="AK134" i="17"/>
  <c r="V131" i="17"/>
  <c r="M133" i="17"/>
  <c r="W112" i="17"/>
  <c r="AG36" i="4"/>
  <c r="AL43" i="17"/>
  <c r="AE38" i="4"/>
  <c r="J45" i="17"/>
  <c r="Y124" i="17"/>
  <c r="W137" i="17"/>
  <c r="AJ122" i="17"/>
  <c r="Z130" i="17"/>
  <c r="I124" i="17"/>
  <c r="AE42" i="4"/>
  <c r="J49" i="17"/>
  <c r="AF52" i="4"/>
  <c r="X59" i="17"/>
  <c r="Z139" i="17"/>
  <c r="W129" i="17"/>
  <c r="K124" i="17"/>
  <c r="AK117" i="17"/>
  <c r="H133" i="17"/>
  <c r="H125" i="17"/>
  <c r="AM126" i="17"/>
  <c r="M123" i="17"/>
  <c r="AN130" i="17"/>
  <c r="L112" i="17"/>
  <c r="W116" i="17"/>
  <c r="AO119" i="17"/>
  <c r="W133" i="17"/>
  <c r="Z136" i="17"/>
  <c r="AO124" i="17"/>
  <c r="AO115" i="17"/>
  <c r="H198" i="17"/>
  <c r="M113" i="17"/>
  <c r="Z126" i="17"/>
  <c r="V179" i="17"/>
  <c r="Y196" i="17"/>
  <c r="AL134" i="17"/>
  <c r="AL136" i="17"/>
  <c r="L130" i="17"/>
  <c r="X207" i="17"/>
  <c r="L207" i="17"/>
  <c r="V181" i="17"/>
  <c r="AJ136" i="17"/>
  <c r="AO132" i="17"/>
  <c r="Z13" i="17"/>
  <c r="Z36" i="17"/>
  <c r="Z27" i="17"/>
  <c r="Z169" i="17"/>
  <c r="Z174" i="17"/>
  <c r="Z168" i="17"/>
  <c r="Z163" i="17"/>
  <c r="Z93" i="17"/>
  <c r="Z103" i="17"/>
  <c r="Z12" i="17"/>
  <c r="Z31" i="17"/>
  <c r="Z106" i="17"/>
  <c r="Z177" i="17"/>
  <c r="Z173" i="17"/>
  <c r="Z151" i="17"/>
  <c r="Z110" i="17"/>
  <c r="Z85" i="17"/>
  <c r="Z91" i="17"/>
  <c r="Z17" i="17"/>
  <c r="Z19" i="17"/>
  <c r="Z170" i="17"/>
  <c r="Z164" i="17"/>
  <c r="Z166" i="17"/>
  <c r="Z107" i="17"/>
  <c r="Z98" i="17"/>
  <c r="Z86" i="17"/>
  <c r="Z22" i="17"/>
  <c r="Z33" i="17"/>
  <c r="Z175" i="17"/>
  <c r="Z156" i="17"/>
  <c r="Z172" i="17"/>
  <c r="Z165" i="17"/>
  <c r="Z79" i="17"/>
  <c r="Z178" i="17"/>
  <c r="Z171" i="17"/>
  <c r="Z99" i="17"/>
  <c r="Z87" i="17"/>
  <c r="Z88" i="17"/>
  <c r="Z32" i="17"/>
  <c r="Z150" i="17"/>
  <c r="Z152" i="17"/>
  <c r="Z84" i="17"/>
  <c r="Z15" i="17"/>
  <c r="Z14" i="17"/>
  <c r="Z41" i="17"/>
  <c r="Z147" i="17"/>
  <c r="Z154" i="17"/>
  <c r="Z97" i="17"/>
  <c r="Z20" i="17"/>
  <c r="Z21" i="17"/>
  <c r="Z95" i="17"/>
  <c r="Z160" i="17"/>
  <c r="Z157" i="17"/>
  <c r="Z90" i="17"/>
  <c r="Z25" i="17"/>
  <c r="Z42" i="17"/>
  <c r="Z34" i="17"/>
  <c r="Z161" i="17"/>
  <c r="Z155" i="17"/>
  <c r="Z89" i="17"/>
  <c r="Z30" i="17"/>
  <c r="Z37" i="17"/>
  <c r="Z11" i="17"/>
  <c r="Z158" i="17"/>
  <c r="Z167" i="17"/>
  <c r="Z104" i="17"/>
  <c r="Z35" i="17"/>
  <c r="Z81" i="17"/>
  <c r="Z16" i="17"/>
  <c r="Z111" i="17"/>
  <c r="Z108" i="17"/>
  <c r="Z101" i="17"/>
  <c r="Z94" i="17"/>
  <c r="Z24" i="17"/>
  <c r="Z23" i="17"/>
  <c r="Z176" i="17"/>
  <c r="Z105" i="17"/>
  <c r="Z102" i="17"/>
  <c r="Z83" i="17"/>
  <c r="Z82" i="17"/>
  <c r="Z26" i="17"/>
  <c r="Z29" i="17"/>
  <c r="Z149" i="17"/>
  <c r="Z96" i="17"/>
  <c r="Z80" i="17"/>
  <c r="Z92" i="17"/>
  <c r="Z162" i="17"/>
  <c r="Z39" i="17"/>
  <c r="Z148" i="17"/>
  <c r="Z28" i="17"/>
  <c r="Z38" i="17"/>
  <c r="Z159" i="17"/>
  <c r="Z40" i="17"/>
  <c r="Z153" i="17"/>
  <c r="Z18" i="17"/>
  <c r="Z100" i="17"/>
  <c r="Z109" i="17"/>
  <c r="AO206" i="17"/>
  <c r="AM199" i="17"/>
  <c r="L189" i="17"/>
  <c r="AM189" i="17"/>
  <c r="K194" i="17"/>
  <c r="AA182" i="17"/>
  <c r="AM184" i="17"/>
  <c r="AJ206" i="17"/>
  <c r="AM204" i="17"/>
  <c r="AJ199" i="17"/>
  <c r="AK201" i="17"/>
  <c r="L199" i="17"/>
  <c r="W122" i="17"/>
  <c r="Y130" i="17"/>
  <c r="AN133" i="17"/>
  <c r="W117" i="17"/>
  <c r="AE60" i="4"/>
  <c r="J67" i="17"/>
  <c r="AO129" i="17"/>
  <c r="AM124" i="17"/>
  <c r="AJ116" i="17"/>
  <c r="I195" i="17"/>
  <c r="AF50" i="4"/>
  <c r="X57" i="17"/>
  <c r="AN124" i="17"/>
  <c r="AJ134" i="17"/>
  <c r="K136" i="17"/>
  <c r="AE49" i="4"/>
  <c r="J56" i="17"/>
  <c r="K122" i="17"/>
  <c r="L137" i="17"/>
  <c r="V139" i="17"/>
  <c r="AA137" i="17"/>
  <c r="K115" i="17"/>
  <c r="AE44" i="4"/>
  <c r="J51" i="17"/>
  <c r="AG41" i="4"/>
  <c r="AL48" i="17"/>
  <c r="AM114" i="17"/>
  <c r="L134" i="17"/>
  <c r="K139" i="17"/>
  <c r="AM125" i="17"/>
  <c r="M134" i="17"/>
  <c r="AJ113" i="17"/>
  <c r="AJ195" i="17"/>
  <c r="AE47" i="4"/>
  <c r="J54" i="17"/>
  <c r="AF62" i="4"/>
  <c r="X69" i="17"/>
  <c r="AG58" i="4"/>
  <c r="AL65" i="17"/>
  <c r="AM134" i="17"/>
  <c r="L36" i="17"/>
  <c r="L21" i="17"/>
  <c r="L169" i="17"/>
  <c r="L150" i="17"/>
  <c r="L103" i="17"/>
  <c r="L172" i="17"/>
  <c r="L105" i="17"/>
  <c r="L91" i="17"/>
  <c r="L102" i="17"/>
  <c r="L17" i="17"/>
  <c r="L29" i="17"/>
  <c r="L167" i="17"/>
  <c r="L175" i="17"/>
  <c r="L100" i="17"/>
  <c r="L161" i="17"/>
  <c r="L104" i="17"/>
  <c r="L85" i="17"/>
  <c r="L96" i="17"/>
  <c r="L22" i="17"/>
  <c r="L34" i="17"/>
  <c r="L158" i="17"/>
  <c r="L168" i="17"/>
  <c r="L99" i="17"/>
  <c r="L171" i="17"/>
  <c r="L94" i="17"/>
  <c r="L82" i="17"/>
  <c r="L84" i="17"/>
  <c r="L27" i="17"/>
  <c r="L39" i="17"/>
  <c r="L157" i="17"/>
  <c r="L166" i="17"/>
  <c r="L154" i="17"/>
  <c r="L151" i="17"/>
  <c r="L97" i="17"/>
  <c r="L111" i="17"/>
  <c r="L15" i="17"/>
  <c r="L32" i="17"/>
  <c r="L13" i="17"/>
  <c r="L176" i="17"/>
  <c r="L156" i="17"/>
  <c r="L153" i="17"/>
  <c r="L149" i="17"/>
  <c r="L95" i="17"/>
  <c r="L101" i="17"/>
  <c r="L20" i="17"/>
  <c r="L37" i="17"/>
  <c r="L18" i="17"/>
  <c r="L173" i="17"/>
  <c r="L174" i="17"/>
  <c r="L107" i="17"/>
  <c r="L159" i="17"/>
  <c r="L90" i="17"/>
  <c r="L86" i="17"/>
  <c r="L25" i="17"/>
  <c r="L42" i="17"/>
  <c r="L23" i="17"/>
  <c r="L170" i="17"/>
  <c r="L147" i="17"/>
  <c r="L155" i="17"/>
  <c r="L93" i="17"/>
  <c r="L109" i="17"/>
  <c r="L92" i="17"/>
  <c r="L30" i="17"/>
  <c r="L83" i="17"/>
  <c r="L28" i="17"/>
  <c r="L178" i="17"/>
  <c r="L160" i="17"/>
  <c r="L152" i="17"/>
  <c r="L163" i="17"/>
  <c r="L106" i="17"/>
  <c r="L80" i="17"/>
  <c r="L81" i="17"/>
  <c r="L12" i="17"/>
  <c r="L24" i="17"/>
  <c r="L98" i="17"/>
  <c r="L35" i="17"/>
  <c r="L16" i="17"/>
  <c r="L162" i="17"/>
  <c r="L40" i="17"/>
  <c r="L148" i="17"/>
  <c r="L14" i="17"/>
  <c r="L177" i="17"/>
  <c r="L19" i="17"/>
  <c r="L108" i="17"/>
  <c r="L33" i="17"/>
  <c r="L110" i="17"/>
  <c r="L38" i="17"/>
  <c r="L88" i="17"/>
  <c r="L87" i="17"/>
  <c r="L11" i="17"/>
  <c r="L26" i="17"/>
  <c r="L41" i="17"/>
  <c r="L31" i="17"/>
  <c r="L165" i="17"/>
  <c r="L164" i="17"/>
  <c r="L89" i="17"/>
  <c r="L79" i="17"/>
  <c r="I123" i="17"/>
  <c r="V134" i="17"/>
  <c r="AA139" i="17"/>
  <c r="AA120" i="17"/>
  <c r="Z124" i="17"/>
  <c r="AE53" i="4"/>
  <c r="J60" i="17"/>
  <c r="AG40" i="4"/>
  <c r="AL47" i="17"/>
  <c r="AG55" i="4"/>
  <c r="AL62" i="17"/>
  <c r="Y25" i="17"/>
  <c r="Y40" i="17"/>
  <c r="Y27" i="17"/>
  <c r="Y16" i="17"/>
  <c r="Y178" i="17"/>
  <c r="Y105" i="17"/>
  <c r="Y157" i="17"/>
  <c r="Y111" i="17"/>
  <c r="Y93" i="17"/>
  <c r="Y91" i="17"/>
  <c r="Y19" i="17"/>
  <c r="Y32" i="17"/>
  <c r="Y31" i="17"/>
  <c r="Y170" i="17"/>
  <c r="Y159" i="17"/>
  <c r="Y155" i="17"/>
  <c r="Y110" i="17"/>
  <c r="Y85" i="17"/>
  <c r="Y86" i="17"/>
  <c r="Y33" i="17"/>
  <c r="Y41" i="17"/>
  <c r="Y172" i="17"/>
  <c r="Y150" i="17"/>
  <c r="Y153" i="17"/>
  <c r="Y156" i="17"/>
  <c r="Y103" i="17"/>
  <c r="Y81" i="17"/>
  <c r="Y12" i="17"/>
  <c r="Y42" i="17"/>
  <c r="Y15" i="17"/>
  <c r="Y148" i="17"/>
  <c r="Y161" i="17"/>
  <c r="Y154" i="17"/>
  <c r="Y165" i="17"/>
  <c r="Y84" i="17"/>
  <c r="Y88" i="17"/>
  <c r="Y98" i="17"/>
  <c r="Y30" i="17"/>
  <c r="Y21" i="17"/>
  <c r="Y177" i="17"/>
  <c r="Y168" i="17"/>
  <c r="Y95" i="17"/>
  <c r="Y90" i="17"/>
  <c r="Y35" i="17"/>
  <c r="Y36" i="17"/>
  <c r="Y158" i="17"/>
  <c r="Y151" i="17"/>
  <c r="Y94" i="17"/>
  <c r="Y89" i="17"/>
  <c r="Y37" i="17"/>
  <c r="Y14" i="17"/>
  <c r="Y152" i="17"/>
  <c r="Y173" i="17"/>
  <c r="Y96" i="17"/>
  <c r="Y107" i="17"/>
  <c r="Y24" i="17"/>
  <c r="Y162" i="17"/>
  <c r="Y166" i="17"/>
  <c r="Y87" i="17"/>
  <c r="Y106" i="17"/>
  <c r="Y26" i="17"/>
  <c r="Y147" i="17"/>
  <c r="Y160" i="17"/>
  <c r="Y108" i="17"/>
  <c r="Y17" i="17"/>
  <c r="Y39" i="17"/>
  <c r="Y174" i="17"/>
  <c r="Y171" i="17"/>
  <c r="Y100" i="17"/>
  <c r="Y22" i="17"/>
  <c r="Y28" i="17"/>
  <c r="Y163" i="17"/>
  <c r="Y149" i="17"/>
  <c r="Y109" i="17"/>
  <c r="Y83" i="17"/>
  <c r="Y34" i="17"/>
  <c r="Y104" i="17"/>
  <c r="Y167" i="17"/>
  <c r="Y99" i="17"/>
  <c r="Y82" i="17"/>
  <c r="Y11" i="17"/>
  <c r="Y92" i="17"/>
  <c r="Y97" i="17"/>
  <c r="Y80" i="17"/>
  <c r="Y79" i="17"/>
  <c r="Y176" i="17"/>
  <c r="Y13" i="17"/>
  <c r="Y175" i="17"/>
  <c r="Y20" i="17"/>
  <c r="Y169" i="17"/>
  <c r="Y23" i="17"/>
  <c r="Y29" i="17"/>
  <c r="Y38" i="17"/>
  <c r="Y164" i="17"/>
  <c r="Y102" i="17"/>
  <c r="Y101" i="17"/>
  <c r="Y18" i="17"/>
  <c r="W177" i="17"/>
  <c r="W104" i="17"/>
  <c r="W166" i="17"/>
  <c r="W106" i="17"/>
  <c r="W93" i="17"/>
  <c r="W19" i="17"/>
  <c r="W12" i="17"/>
  <c r="W34" i="17"/>
  <c r="W27" i="17"/>
  <c r="W174" i="17"/>
  <c r="W110" i="17"/>
  <c r="W173" i="17"/>
  <c r="W109" i="17"/>
  <c r="W164" i="17"/>
  <c r="W160" i="17"/>
  <c r="W88" i="17"/>
  <c r="W81" i="17"/>
  <c r="W83" i="17"/>
  <c r="W28" i="17"/>
  <c r="W13" i="17"/>
  <c r="W40" i="17"/>
  <c r="W172" i="17"/>
  <c r="W167" i="17"/>
  <c r="W161" i="17"/>
  <c r="W176" i="17"/>
  <c r="W155" i="17"/>
  <c r="W98" i="17"/>
  <c r="W82" i="17"/>
  <c r="W79" i="17"/>
  <c r="W171" i="17"/>
  <c r="W165" i="17"/>
  <c r="W170" i="17"/>
  <c r="W111" i="17"/>
  <c r="W102" i="17"/>
  <c r="W97" i="17"/>
  <c r="W80" i="17"/>
  <c r="W17" i="17"/>
  <c r="W36" i="17"/>
  <c r="W178" i="17"/>
  <c r="W150" i="17"/>
  <c r="W147" i="17"/>
  <c r="W105" i="17"/>
  <c r="W94" i="17"/>
  <c r="W14" i="17"/>
  <c r="W39" i="17"/>
  <c r="W32" i="17"/>
  <c r="W25" i="17"/>
  <c r="W149" i="17"/>
  <c r="W96" i="17"/>
  <c r="W90" i="17"/>
  <c r="W41" i="17"/>
  <c r="W35" i="17"/>
  <c r="W101" i="17"/>
  <c r="W108" i="17"/>
  <c r="W89" i="17"/>
  <c r="W15" i="17"/>
  <c r="W42" i="17"/>
  <c r="W169" i="17"/>
  <c r="W157" i="17"/>
  <c r="W107" i="17"/>
  <c r="W22" i="17"/>
  <c r="W33" i="17"/>
  <c r="W175" i="17"/>
  <c r="W103" i="17"/>
  <c r="W92" i="17"/>
  <c r="W11" i="17"/>
  <c r="W159" i="17"/>
  <c r="W91" i="17"/>
  <c r="W99" i="17"/>
  <c r="W20" i="17"/>
  <c r="W163" i="17"/>
  <c r="W153" i="17"/>
  <c r="W86" i="17"/>
  <c r="W84" i="17"/>
  <c r="W18" i="17"/>
  <c r="W154" i="17"/>
  <c r="W168" i="17"/>
  <c r="W87" i="17"/>
  <c r="W26" i="17"/>
  <c r="W38" i="17"/>
  <c r="W156" i="17"/>
  <c r="W100" i="17"/>
  <c r="W95" i="17"/>
  <c r="W30" i="17"/>
  <c r="W29" i="17"/>
  <c r="W23" i="17"/>
  <c r="W158" i="17"/>
  <c r="W152" i="17"/>
  <c r="W31" i="17"/>
  <c r="W151" i="17"/>
  <c r="W21" i="17"/>
  <c r="W162" i="17"/>
  <c r="W148" i="17"/>
  <c r="W85" i="17"/>
  <c r="W37" i="17"/>
  <c r="W16" i="17"/>
  <c r="W24" i="17"/>
  <c r="M129" i="17"/>
  <c r="AE61" i="4"/>
  <c r="J68" i="17"/>
  <c r="AG63" i="4"/>
  <c r="AL70" i="17"/>
  <c r="AG47" i="4"/>
  <c r="AL54" i="17"/>
  <c r="AM112" i="17"/>
  <c r="AM120" i="17"/>
  <c r="L119" i="17"/>
  <c r="K118" i="17"/>
  <c r="V121" i="17"/>
  <c r="AM122" i="17"/>
  <c r="W115" i="17"/>
  <c r="AK139" i="17"/>
  <c r="Z122" i="17"/>
  <c r="AK190" i="17"/>
  <c r="Z202" i="17"/>
  <c r="M194" i="17"/>
  <c r="I196" i="17"/>
  <c r="M196" i="17"/>
  <c r="AN182" i="17"/>
  <c r="I182" i="17"/>
  <c r="AE41" i="4"/>
  <c r="J48" i="17"/>
  <c r="W192" i="17"/>
  <c r="I204" i="17"/>
  <c r="H186" i="17"/>
  <c r="H189" i="17"/>
  <c r="I207" i="17"/>
  <c r="X138" i="17"/>
  <c r="AA204" i="17"/>
  <c r="AL117" i="17"/>
  <c r="AL126" i="17"/>
  <c r="AG48" i="4"/>
  <c r="AL55" i="17"/>
  <c r="V138" i="17"/>
  <c r="Z132" i="17"/>
  <c r="AO135" i="17"/>
  <c r="L194" i="17"/>
  <c r="AE40" i="4"/>
  <c r="J47" i="17"/>
  <c r="V125" i="17"/>
  <c r="AJ118" i="17"/>
  <c r="H35" i="17"/>
  <c r="H30" i="17"/>
  <c r="H162" i="17"/>
  <c r="H106" i="17"/>
  <c r="H167" i="17"/>
  <c r="H96" i="17"/>
  <c r="H100" i="17"/>
  <c r="H87" i="17"/>
  <c r="H24" i="17"/>
  <c r="H13" i="17"/>
  <c r="H32" i="17"/>
  <c r="H20" i="17"/>
  <c r="H176" i="17"/>
  <c r="H105" i="17"/>
  <c r="H168" i="17"/>
  <c r="H97" i="17"/>
  <c r="H84" i="17"/>
  <c r="H103" i="17"/>
  <c r="H34" i="17"/>
  <c r="H28" i="17"/>
  <c r="H174" i="17"/>
  <c r="H101" i="17"/>
  <c r="H160" i="17"/>
  <c r="H158" i="17"/>
  <c r="H95" i="17"/>
  <c r="H82" i="17"/>
  <c r="H39" i="17"/>
  <c r="H33" i="17"/>
  <c r="H149" i="17"/>
  <c r="H151" i="17"/>
  <c r="H157" i="17"/>
  <c r="H94" i="17"/>
  <c r="H90" i="17"/>
  <c r="H79" i="17"/>
  <c r="H16" i="17"/>
  <c r="H38" i="17"/>
  <c r="H163" i="17"/>
  <c r="H147" i="17"/>
  <c r="H165" i="17"/>
  <c r="H111" i="17"/>
  <c r="H109" i="17"/>
  <c r="H81" i="17"/>
  <c r="H21" i="17"/>
  <c r="H12" i="17"/>
  <c r="H148" i="17"/>
  <c r="H104" i="17"/>
  <c r="H153" i="17"/>
  <c r="H98" i="17"/>
  <c r="H110" i="17"/>
  <c r="H108" i="17"/>
  <c r="H26" i="17"/>
  <c r="H17" i="17"/>
  <c r="H154" i="17"/>
  <c r="H169" i="17"/>
  <c r="H161" i="17"/>
  <c r="H91" i="17"/>
  <c r="H92" i="17"/>
  <c r="H80" i="17"/>
  <c r="H31" i="17"/>
  <c r="H22" i="17"/>
  <c r="H173" i="17"/>
  <c r="H166" i="17"/>
  <c r="H155" i="17"/>
  <c r="H85" i="17"/>
  <c r="H89" i="17"/>
  <c r="H11" i="17"/>
  <c r="H36" i="17"/>
  <c r="H27" i="17"/>
  <c r="H172" i="17"/>
  <c r="H178" i="17"/>
  <c r="H159" i="17"/>
  <c r="H171" i="17"/>
  <c r="H107" i="17"/>
  <c r="H83" i="17"/>
  <c r="H14" i="17"/>
  <c r="H41" i="17"/>
  <c r="H37" i="17"/>
  <c r="H93" i="17"/>
  <c r="H86" i="17"/>
  <c r="H177" i="17"/>
  <c r="H102" i="17"/>
  <c r="H40" i="17"/>
  <c r="H175" i="17"/>
  <c r="H88" i="17"/>
  <c r="H156" i="17"/>
  <c r="H19" i="17"/>
  <c r="H25" i="17"/>
  <c r="H150" i="17"/>
  <c r="H29" i="17"/>
  <c r="H15" i="17"/>
  <c r="H152" i="17"/>
  <c r="H18" i="17"/>
  <c r="H170" i="17"/>
  <c r="H23" i="17"/>
  <c r="H164" i="17"/>
  <c r="H99" i="17"/>
  <c r="H42" i="17"/>
  <c r="AA125" i="17"/>
  <c r="K203" i="17"/>
  <c r="AE64" i="4"/>
  <c r="J71" i="17"/>
  <c r="AG53" i="4"/>
  <c r="AL60" i="17"/>
  <c r="AO133" i="17"/>
  <c r="V128" i="17"/>
  <c r="AJ124" i="17"/>
  <c r="AE59" i="4"/>
  <c r="J66" i="17"/>
  <c r="AE43" i="4"/>
  <c r="J50" i="17"/>
  <c r="AA133" i="17"/>
  <c r="H120" i="17"/>
  <c r="W130" i="17"/>
  <c r="K121" i="17"/>
  <c r="AA123" i="17"/>
  <c r="H113" i="17"/>
  <c r="AA119" i="17"/>
  <c r="AN112" i="17"/>
  <c r="AM117" i="17"/>
  <c r="H137" i="17"/>
  <c r="AA135" i="17"/>
  <c r="AK193" i="17"/>
  <c r="AE45" i="4"/>
  <c r="J52" i="17"/>
  <c r="V126" i="17"/>
  <c r="W131" i="17"/>
  <c r="AM137" i="17"/>
  <c r="K131" i="17"/>
  <c r="W123" i="17"/>
  <c r="M132" i="17"/>
  <c r="AG54" i="4"/>
  <c r="AL61" i="17"/>
  <c r="AF46" i="4"/>
  <c r="X53" i="17"/>
  <c r="I25" i="17"/>
  <c r="I178" i="17"/>
  <c r="I173" i="17"/>
  <c r="I168" i="17"/>
  <c r="I105" i="17"/>
  <c r="I107" i="17"/>
  <c r="I87" i="17"/>
  <c r="I79" i="17"/>
  <c r="I24" i="17"/>
  <c r="I11" i="17"/>
  <c r="I171" i="17"/>
  <c r="I151" i="17"/>
  <c r="I160" i="17"/>
  <c r="I96" i="17"/>
  <c r="I101" i="17"/>
  <c r="I80" i="17"/>
  <c r="I12" i="17"/>
  <c r="I29" i="17"/>
  <c r="I83" i="17"/>
  <c r="I172" i="17"/>
  <c r="I149" i="17"/>
  <c r="I157" i="17"/>
  <c r="I94" i="17"/>
  <c r="I97" i="17"/>
  <c r="I98" i="17"/>
  <c r="I17" i="17"/>
  <c r="I34" i="17"/>
  <c r="I13" i="17"/>
  <c r="I163" i="17"/>
  <c r="I106" i="17"/>
  <c r="I174" i="17"/>
  <c r="I103" i="17"/>
  <c r="I93" i="17"/>
  <c r="I91" i="17"/>
  <c r="I22" i="17"/>
  <c r="I39" i="17"/>
  <c r="I18" i="17"/>
  <c r="I30" i="17"/>
  <c r="I148" i="17"/>
  <c r="I104" i="17"/>
  <c r="I167" i="17"/>
  <c r="I102" i="17"/>
  <c r="I86" i="17"/>
  <c r="I95" i="17"/>
  <c r="I27" i="17"/>
  <c r="I16" i="17"/>
  <c r="I23" i="17"/>
  <c r="I162" i="17"/>
  <c r="I169" i="17"/>
  <c r="I165" i="17"/>
  <c r="I156" i="17"/>
  <c r="I84" i="17"/>
  <c r="I92" i="17"/>
  <c r="I32" i="17"/>
  <c r="I21" i="17"/>
  <c r="I28" i="17"/>
  <c r="I154" i="17"/>
  <c r="I166" i="17"/>
  <c r="I153" i="17"/>
  <c r="I109" i="17"/>
  <c r="I108" i="17"/>
  <c r="I110" i="17"/>
  <c r="I37" i="17"/>
  <c r="I26" i="17"/>
  <c r="I33" i="17"/>
  <c r="I176" i="17"/>
  <c r="I147" i="17"/>
  <c r="I170" i="17"/>
  <c r="I158" i="17"/>
  <c r="I82" i="17"/>
  <c r="I88" i="17"/>
  <c r="I90" i="17"/>
  <c r="I19" i="17"/>
  <c r="I41" i="17"/>
  <c r="I152" i="17"/>
  <c r="I100" i="17"/>
  <c r="I159" i="17"/>
  <c r="I42" i="17"/>
  <c r="I111" i="17"/>
  <c r="I14" i="17"/>
  <c r="I155" i="17"/>
  <c r="I31" i="17"/>
  <c r="I164" i="17"/>
  <c r="I36" i="17"/>
  <c r="I150" i="17"/>
  <c r="I38" i="17"/>
  <c r="I85" i="17"/>
  <c r="I177" i="17"/>
  <c r="I81" i="17"/>
  <c r="I175" i="17"/>
  <c r="I99" i="17"/>
  <c r="I161" i="17"/>
  <c r="I89" i="17"/>
  <c r="I35" i="17"/>
  <c r="I40" i="17"/>
  <c r="I20" i="17"/>
  <c r="I15" i="17"/>
  <c r="Y129" i="17"/>
  <c r="K125" i="17"/>
  <c r="Y115" i="17"/>
  <c r="AF47" i="4"/>
  <c r="X54" i="17"/>
  <c r="AF36" i="4"/>
  <c r="X43" i="17"/>
  <c r="AF48" i="4"/>
  <c r="X55" i="17"/>
  <c r="AG44" i="4"/>
  <c r="AL51" i="17"/>
  <c r="AK121" i="17"/>
  <c r="L120" i="17"/>
  <c r="AJ120" i="17"/>
  <c r="K133" i="17"/>
  <c r="Y127" i="17"/>
  <c r="Z120" i="17"/>
  <c r="AA130" i="17"/>
  <c r="V122" i="17"/>
  <c r="M120" i="17"/>
  <c r="AA118" i="17"/>
  <c r="AN128" i="17"/>
  <c r="M127" i="17"/>
  <c r="Z119" i="17"/>
  <c r="Z115" i="17"/>
  <c r="L181" i="17"/>
  <c r="AE57" i="4"/>
  <c r="J64" i="17"/>
  <c r="AF49" i="4"/>
  <c r="X56" i="17"/>
  <c r="AF40" i="4"/>
  <c r="X47" i="17"/>
  <c r="AG39" i="4"/>
  <c r="AL46" i="17"/>
  <c r="AF45" i="4"/>
  <c r="X52" i="17"/>
  <c r="AE50" i="4"/>
  <c r="J57" i="17"/>
  <c r="AJ126" i="17"/>
  <c r="W132" i="17"/>
  <c r="Y126" i="17"/>
  <c r="M135" i="17"/>
  <c r="V137" i="17"/>
  <c r="Y136" i="17"/>
  <c r="V116" i="17"/>
  <c r="K137" i="17"/>
  <c r="M124" i="17"/>
  <c r="I132" i="17"/>
  <c r="L135" i="17"/>
  <c r="K120" i="17"/>
  <c r="I138" i="17"/>
  <c r="AJ121" i="17"/>
  <c r="AN121" i="17"/>
  <c r="AM113" i="17"/>
  <c r="H124" i="17"/>
  <c r="AN126" i="17"/>
  <c r="I135" i="17"/>
  <c r="Z114" i="17"/>
  <c r="W127" i="17"/>
  <c r="AM132" i="17"/>
  <c r="AN131" i="17"/>
  <c r="AF41" i="4"/>
  <c r="X48" i="17"/>
  <c r="Z203" i="17"/>
  <c r="AA200" i="17"/>
  <c r="L196" i="17"/>
  <c r="Y188" i="17"/>
  <c r="M137" i="17"/>
  <c r="AN183" i="17"/>
  <c r="H136" i="17"/>
  <c r="J114" i="17"/>
  <c r="Z195" i="17"/>
  <c r="J131" i="17"/>
  <c r="V182" i="17"/>
  <c r="AA185" i="17"/>
  <c r="L193" i="17"/>
  <c r="AA115" i="17"/>
  <c r="AJ197" i="17"/>
  <c r="AK184" i="17"/>
  <c r="I193" i="17"/>
  <c r="AN184" i="17"/>
  <c r="AN204" i="17"/>
  <c r="V197" i="17"/>
  <c r="AK199" i="17"/>
  <c r="AK198" i="17"/>
  <c r="Y191" i="17"/>
  <c r="Y180" i="17"/>
  <c r="O45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46" i="15"/>
  <c r="P45" i="15"/>
  <c r="Q45" i="15" s="1"/>
  <c r="R45" i="15" s="1"/>
  <c r="S45" i="15" s="1"/>
  <c r="T45" i="15" s="1"/>
  <c r="U45" i="15" s="1"/>
  <c r="V45" i="15" s="1"/>
  <c r="W45" i="15" s="1"/>
  <c r="X45" i="15" s="1"/>
  <c r="Y45" i="15" s="1"/>
  <c r="Z45" i="15" s="1"/>
  <c r="AA45" i="15" s="1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H42" i="15"/>
  <c r="H28" i="15" s="1"/>
  <c r="A48" i="15"/>
  <c r="G49" i="7"/>
  <c r="I200" i="17" l="1"/>
  <c r="AN196" i="17"/>
  <c r="M197" i="17"/>
  <c r="K204" i="17"/>
  <c r="M181" i="17"/>
  <c r="X116" i="17"/>
  <c r="J128" i="17"/>
  <c r="J199" i="17"/>
  <c r="K193" i="17"/>
  <c r="K199" i="17"/>
  <c r="V196" i="17"/>
  <c r="AJ186" i="17"/>
  <c r="AL114" i="17"/>
  <c r="I179" i="17"/>
  <c r="X121" i="17"/>
  <c r="AN194" i="17"/>
  <c r="M188" i="17"/>
  <c r="AM205" i="17"/>
  <c r="H181" i="17"/>
  <c r="V193" i="17"/>
  <c r="Z192" i="17"/>
  <c r="AL129" i="17"/>
  <c r="AL128" i="17"/>
  <c r="J135" i="17"/>
  <c r="J125" i="17"/>
  <c r="J132" i="17"/>
  <c r="J120" i="17"/>
  <c r="J116" i="17"/>
  <c r="Y179" i="17"/>
  <c r="AL115" i="17"/>
  <c r="J113" i="17"/>
  <c r="J138" i="17"/>
  <c r="AL112" i="17"/>
  <c r="X112" i="17"/>
  <c r="AN179" i="17"/>
  <c r="X119" i="17"/>
  <c r="J129" i="17"/>
  <c r="M179" i="17"/>
  <c r="J133" i="17"/>
  <c r="W201" i="17"/>
  <c r="K192" i="17"/>
  <c r="I192" i="17"/>
  <c r="AK202" i="17"/>
  <c r="AA181" i="17"/>
  <c r="K181" i="17"/>
  <c r="AN191" i="17"/>
  <c r="H194" i="17"/>
  <c r="AN195" i="17"/>
  <c r="AJ180" i="17"/>
  <c r="L182" i="17"/>
  <c r="AN193" i="17"/>
  <c r="Y207" i="17"/>
  <c r="K206" i="17"/>
  <c r="W189" i="17"/>
  <c r="AO184" i="17"/>
  <c r="K191" i="17"/>
  <c r="X203" i="17"/>
  <c r="AL195" i="17"/>
  <c r="Y185" i="17"/>
  <c r="AJ179" i="17"/>
  <c r="AN185" i="17"/>
  <c r="AK192" i="17"/>
  <c r="AJ205" i="17"/>
  <c r="Z186" i="17"/>
  <c r="I183" i="17"/>
  <c r="H199" i="17"/>
  <c r="K202" i="17"/>
  <c r="AO191" i="17"/>
  <c r="AJ207" i="17"/>
  <c r="AO179" i="17"/>
  <c r="J127" i="17"/>
  <c r="X114" i="17"/>
  <c r="X134" i="17"/>
  <c r="AA193" i="17"/>
  <c r="AM190" i="17"/>
  <c r="AM180" i="17"/>
  <c r="I191" i="17"/>
  <c r="AM202" i="17"/>
  <c r="AJ181" i="17"/>
  <c r="AM182" i="17"/>
  <c r="V207" i="17"/>
  <c r="AJ202" i="17"/>
  <c r="AM192" i="17"/>
  <c r="Y198" i="17"/>
  <c r="AL202" i="17"/>
  <c r="AO187" i="17"/>
  <c r="AM194" i="17"/>
  <c r="W197" i="17"/>
  <c r="Z198" i="17"/>
  <c r="L184" i="17"/>
  <c r="H196" i="17"/>
  <c r="Y206" i="17"/>
  <c r="AK203" i="17"/>
  <c r="AL199" i="17"/>
  <c r="H206" i="17"/>
  <c r="AM186" i="17"/>
  <c r="Z201" i="17"/>
  <c r="AL181" i="17"/>
  <c r="M190" i="17"/>
  <c r="X204" i="17"/>
  <c r="X186" i="17"/>
  <c r="AK196" i="17"/>
  <c r="AO196" i="17"/>
  <c r="V183" i="17"/>
  <c r="L200" i="17"/>
  <c r="L192" i="17"/>
  <c r="Y202" i="17"/>
  <c r="H191" i="17"/>
  <c r="V187" i="17"/>
  <c r="I190" i="17"/>
  <c r="L183" i="17"/>
  <c r="Z205" i="17"/>
  <c r="W202" i="17"/>
  <c r="AJ191" i="17"/>
  <c r="AO199" i="17"/>
  <c r="W186" i="17"/>
  <c r="AL122" i="17"/>
  <c r="AL133" i="17"/>
  <c r="AL116" i="17"/>
  <c r="Z207" i="17"/>
  <c r="X129" i="17"/>
  <c r="X113" i="17"/>
  <c r="J13" i="17"/>
  <c r="J176" i="17"/>
  <c r="J157" i="17"/>
  <c r="J111" i="17"/>
  <c r="J156" i="17"/>
  <c r="J93" i="17"/>
  <c r="J110" i="17"/>
  <c r="J99" i="17"/>
  <c r="J14" i="17"/>
  <c r="J36" i="17"/>
  <c r="J178" i="17"/>
  <c r="J173" i="17"/>
  <c r="J165" i="17"/>
  <c r="J109" i="17"/>
  <c r="J86" i="17"/>
  <c r="J92" i="17"/>
  <c r="J80" i="17"/>
  <c r="J19" i="17"/>
  <c r="J41" i="17"/>
  <c r="J171" i="17"/>
  <c r="J169" i="17"/>
  <c r="J153" i="17"/>
  <c r="J150" i="17"/>
  <c r="J84" i="17"/>
  <c r="J89" i="17"/>
  <c r="J12" i="17"/>
  <c r="J24" i="17"/>
  <c r="J11" i="17"/>
  <c r="J162" i="17"/>
  <c r="J166" i="17"/>
  <c r="J155" i="17"/>
  <c r="J149" i="17"/>
  <c r="J79" i="17"/>
  <c r="J83" i="17"/>
  <c r="J17" i="17"/>
  <c r="J29" i="17"/>
  <c r="J15" i="17"/>
  <c r="J154" i="17"/>
  <c r="J159" i="17"/>
  <c r="J148" i="17"/>
  <c r="J151" i="17"/>
  <c r="J105" i="17"/>
  <c r="J98" i="17"/>
  <c r="J22" i="17"/>
  <c r="J34" i="17"/>
  <c r="J20" i="17"/>
  <c r="J161" i="17"/>
  <c r="J170" i="17"/>
  <c r="J164" i="17"/>
  <c r="J108" i="17"/>
  <c r="J94" i="17"/>
  <c r="J91" i="17"/>
  <c r="J27" i="17"/>
  <c r="J39" i="17"/>
  <c r="J25" i="17"/>
  <c r="J152" i="17"/>
  <c r="J168" i="17"/>
  <c r="J163" i="17"/>
  <c r="J104" i="17"/>
  <c r="J38" i="17"/>
  <c r="J175" i="17"/>
  <c r="J158" i="17"/>
  <c r="J174" i="17"/>
  <c r="J102" i="17"/>
  <c r="J101" i="17"/>
  <c r="J90" i="17"/>
  <c r="J81" i="17"/>
  <c r="J88" i="17"/>
  <c r="J31" i="17"/>
  <c r="J177" i="17"/>
  <c r="J100" i="17"/>
  <c r="J26" i="17"/>
  <c r="J18" i="17"/>
  <c r="J33" i="17"/>
  <c r="J147" i="17"/>
  <c r="J95" i="17"/>
  <c r="J30" i="17"/>
  <c r="J167" i="17"/>
  <c r="J96" i="17"/>
  <c r="J35" i="17"/>
  <c r="J160" i="17"/>
  <c r="J82" i="17"/>
  <c r="J40" i="17"/>
  <c r="J97" i="17"/>
  <c r="J87" i="17"/>
  <c r="J172" i="17"/>
  <c r="J32" i="17"/>
  <c r="J103" i="17"/>
  <c r="J37" i="17"/>
  <c r="J106" i="17"/>
  <c r="J21" i="17"/>
  <c r="J85" i="17"/>
  <c r="J107" i="17"/>
  <c r="J42" i="17"/>
  <c r="J16" i="17"/>
  <c r="J28" i="17"/>
  <c r="J23" i="17"/>
  <c r="AL121" i="17"/>
  <c r="AL118" i="17"/>
  <c r="M202" i="17"/>
  <c r="L205" i="17"/>
  <c r="AN192" i="17"/>
  <c r="AO197" i="17"/>
  <c r="W190" i="17"/>
  <c r="AO183" i="17"/>
  <c r="W184" i="17"/>
  <c r="H193" i="17"/>
  <c r="AJ190" i="17"/>
  <c r="W180" i="17"/>
  <c r="H202" i="17"/>
  <c r="AJ185" i="17"/>
  <c r="Y193" i="17"/>
  <c r="AL205" i="17"/>
  <c r="Z184" i="17"/>
  <c r="AK179" i="17"/>
  <c r="M198" i="17"/>
  <c r="AA206" i="17"/>
  <c r="I198" i="17"/>
  <c r="AA192" i="17"/>
  <c r="AO205" i="17"/>
  <c r="I201" i="17"/>
  <c r="Z185" i="17"/>
  <c r="X198" i="17"/>
  <c r="J189" i="17"/>
  <c r="AJ198" i="17"/>
  <c r="M199" i="17"/>
  <c r="M184" i="17"/>
  <c r="K180" i="17"/>
  <c r="Y190" i="17"/>
  <c r="L201" i="17"/>
  <c r="L204" i="17"/>
  <c r="AK180" i="17"/>
  <c r="AK200" i="17"/>
  <c r="AM206" i="17"/>
  <c r="H183" i="17"/>
  <c r="H187" i="17"/>
  <c r="X127" i="17"/>
  <c r="J112" i="17"/>
  <c r="AL132" i="17"/>
  <c r="X131" i="17"/>
  <c r="X132" i="17"/>
  <c r="X126" i="17"/>
  <c r="X133" i="17"/>
  <c r="AL120" i="17"/>
  <c r="AN189" i="17"/>
  <c r="Z188" i="17"/>
  <c r="AM188" i="17"/>
  <c r="V202" i="17"/>
  <c r="L202" i="17"/>
  <c r="AJ204" i="17"/>
  <c r="AL22" i="17"/>
  <c r="AL18" i="17"/>
  <c r="AL27" i="17"/>
  <c r="AL12" i="17"/>
  <c r="AL13" i="17"/>
  <c r="AL80" i="17"/>
  <c r="AL28" i="17"/>
  <c r="AL178" i="17"/>
  <c r="AL151" i="17"/>
  <c r="AL152" i="17"/>
  <c r="AL148" i="17"/>
  <c r="AL109" i="17"/>
  <c r="AL88" i="17"/>
  <c r="AL36" i="17"/>
  <c r="AL96" i="17"/>
  <c r="AL20" i="17"/>
  <c r="AL93" i="17"/>
  <c r="AL174" i="17"/>
  <c r="AL163" i="17"/>
  <c r="AL102" i="17"/>
  <c r="AL24" i="17"/>
  <c r="AL165" i="17"/>
  <c r="AL147" i="17"/>
  <c r="AL156" i="17"/>
  <c r="AL94" i="17"/>
  <c r="AL81" i="17"/>
  <c r="AL91" i="17"/>
  <c r="AL35" i="17"/>
  <c r="AL155" i="17"/>
  <c r="AL106" i="17"/>
  <c r="AL168" i="17"/>
  <c r="AL98" i="17"/>
  <c r="AL92" i="17"/>
  <c r="AL39" i="17"/>
  <c r="AL30" i="17"/>
  <c r="AL19" i="17"/>
  <c r="AL159" i="17"/>
  <c r="AL99" i="17"/>
  <c r="AL111" i="17"/>
  <c r="AL89" i="17"/>
  <c r="AL11" i="17"/>
  <c r="AL34" i="17"/>
  <c r="AL25" i="17"/>
  <c r="AL14" i="17"/>
  <c r="AL149" i="17"/>
  <c r="AL171" i="17"/>
  <c r="AL161" i="17"/>
  <c r="AL101" i="17"/>
  <c r="AL82" i="17"/>
  <c r="AL29" i="17"/>
  <c r="AL15" i="17"/>
  <c r="AL17" i="17"/>
  <c r="AL173" i="17"/>
  <c r="AL176" i="17"/>
  <c r="AL162" i="17"/>
  <c r="AL105" i="17"/>
  <c r="AL104" i="17"/>
  <c r="AL41" i="17"/>
  <c r="AL86" i="17"/>
  <c r="AL23" i="17"/>
  <c r="AL170" i="17"/>
  <c r="AL175" i="17"/>
  <c r="AL160" i="17"/>
  <c r="AL103" i="17"/>
  <c r="AL95" i="17"/>
  <c r="AL31" i="17"/>
  <c r="AL84" i="17"/>
  <c r="AL169" i="17"/>
  <c r="AL172" i="17"/>
  <c r="AL108" i="17"/>
  <c r="AL97" i="17"/>
  <c r="AL87" i="17"/>
  <c r="AL26" i="17"/>
  <c r="AL42" i="17"/>
  <c r="AL167" i="17"/>
  <c r="AL166" i="17"/>
  <c r="AL107" i="17"/>
  <c r="AL100" i="17"/>
  <c r="AL79" i="17"/>
  <c r="AL21" i="17"/>
  <c r="AL37" i="17"/>
  <c r="AL33" i="17"/>
  <c r="AL38" i="17"/>
  <c r="AL153" i="17"/>
  <c r="AL40" i="17"/>
  <c r="AL158" i="17"/>
  <c r="AL150" i="17"/>
  <c r="AL164" i="17"/>
  <c r="AL110" i="17"/>
  <c r="AL90" i="17"/>
  <c r="AL85" i="17"/>
  <c r="AL157" i="17"/>
  <c r="AL16" i="17"/>
  <c r="AL177" i="17"/>
  <c r="AL83" i="17"/>
  <c r="AL154" i="17"/>
  <c r="AL32" i="17"/>
  <c r="J126" i="17"/>
  <c r="M205" i="17"/>
  <c r="AJ189" i="17"/>
  <c r="M203" i="17"/>
  <c r="AA187" i="17"/>
  <c r="AA183" i="17"/>
  <c r="Y194" i="17"/>
  <c r="K201" i="17"/>
  <c r="AA203" i="17"/>
  <c r="X16" i="17"/>
  <c r="X21" i="17"/>
  <c r="X31" i="17"/>
  <c r="X152" i="17"/>
  <c r="X101" i="17"/>
  <c r="X158" i="17"/>
  <c r="X150" i="17"/>
  <c r="X147" i="17"/>
  <c r="X155" i="17"/>
  <c r="X99" i="17"/>
  <c r="X17" i="17"/>
  <c r="X24" i="17"/>
  <c r="X81" i="17"/>
  <c r="X42" i="17"/>
  <c r="X162" i="17"/>
  <c r="X104" i="17"/>
  <c r="X173" i="17"/>
  <c r="X107" i="17"/>
  <c r="X84" i="17"/>
  <c r="X22" i="17"/>
  <c r="X89" i="17"/>
  <c r="X15" i="17"/>
  <c r="X25" i="17"/>
  <c r="X148" i="17"/>
  <c r="X164" i="17"/>
  <c r="X166" i="17"/>
  <c r="X91" i="17"/>
  <c r="X110" i="17"/>
  <c r="X27" i="17"/>
  <c r="X79" i="17"/>
  <c r="X34" i="17"/>
  <c r="X172" i="17"/>
  <c r="X178" i="17"/>
  <c r="X161" i="17"/>
  <c r="X160" i="17"/>
  <c r="X86" i="17"/>
  <c r="X98" i="17"/>
  <c r="X32" i="17"/>
  <c r="X35" i="17"/>
  <c r="X11" i="17"/>
  <c r="X176" i="17"/>
  <c r="X177" i="17"/>
  <c r="X105" i="17"/>
  <c r="X108" i="17"/>
  <c r="X96" i="17"/>
  <c r="X92" i="17"/>
  <c r="X37" i="17"/>
  <c r="X26" i="17"/>
  <c r="X13" i="17"/>
  <c r="X175" i="17"/>
  <c r="X174" i="17"/>
  <c r="X170" i="17"/>
  <c r="X111" i="17"/>
  <c r="X87" i="17"/>
  <c r="X83" i="17"/>
  <c r="X85" i="17"/>
  <c r="X39" i="17"/>
  <c r="X20" i="17"/>
  <c r="X169" i="17"/>
  <c r="X167" i="17"/>
  <c r="X159" i="17"/>
  <c r="X102" i="17"/>
  <c r="X82" i="17"/>
  <c r="X106" i="17"/>
  <c r="X97" i="17"/>
  <c r="X93" i="17"/>
  <c r="X36" i="17"/>
  <c r="X154" i="17"/>
  <c r="X149" i="17"/>
  <c r="X151" i="17"/>
  <c r="X157" i="17"/>
  <c r="X109" i="17"/>
  <c r="X12" i="17"/>
  <c r="X19" i="17"/>
  <c r="X41" i="17"/>
  <c r="X33" i="17"/>
  <c r="X171" i="17"/>
  <c r="X103" i="17"/>
  <c r="X163" i="17"/>
  <c r="X88" i="17"/>
  <c r="X40" i="17"/>
  <c r="X165" i="17"/>
  <c r="X90" i="17"/>
  <c r="X156" i="17"/>
  <c r="X14" i="17"/>
  <c r="X153" i="17"/>
  <c r="X28" i="17"/>
  <c r="X168" i="17"/>
  <c r="X30" i="17"/>
  <c r="X95" i="17"/>
  <c r="X18" i="17"/>
  <c r="X94" i="17"/>
  <c r="X38" i="17"/>
  <c r="X80" i="17"/>
  <c r="X100" i="17"/>
  <c r="X29" i="17"/>
  <c r="X23" i="17"/>
  <c r="J119" i="17"/>
  <c r="J182" i="17"/>
  <c r="AM200" i="17"/>
  <c r="H192" i="17"/>
  <c r="K188" i="17"/>
  <c r="V184" i="17"/>
  <c r="W200" i="17"/>
  <c r="Z187" i="17"/>
  <c r="V190" i="17"/>
  <c r="AJ188" i="17"/>
  <c r="W199" i="17"/>
  <c r="H205" i="17"/>
  <c r="AA191" i="17"/>
  <c r="Z190" i="17"/>
  <c r="K186" i="17"/>
  <c r="W179" i="17"/>
  <c r="AA188" i="17"/>
  <c r="AM193" i="17"/>
  <c r="K190" i="17"/>
  <c r="Z179" i="17"/>
  <c r="AO192" i="17"/>
  <c r="L180" i="17"/>
  <c r="H201" i="17"/>
  <c r="W205" i="17"/>
  <c r="M201" i="17"/>
  <c r="AN197" i="17"/>
  <c r="AK183" i="17"/>
  <c r="AO190" i="17"/>
  <c r="AM183" i="17"/>
  <c r="H197" i="17"/>
  <c r="AL207" i="17"/>
  <c r="M204" i="17"/>
  <c r="AJ203" i="17"/>
  <c r="I188" i="17"/>
  <c r="AL193" i="17"/>
  <c r="W188" i="17"/>
  <c r="AK205" i="17"/>
  <c r="AA190" i="17"/>
  <c r="AL192" i="17"/>
  <c r="J205" i="17"/>
  <c r="Y201" i="17"/>
  <c r="W203" i="17"/>
  <c r="Y186" i="17"/>
  <c r="V204" i="17"/>
  <c r="W181" i="17"/>
  <c r="AA196" i="17"/>
  <c r="AA197" i="17"/>
  <c r="AM196" i="17"/>
  <c r="AA199" i="17"/>
  <c r="W194" i="17"/>
  <c r="Y183" i="17"/>
  <c r="W198" i="17"/>
  <c r="AJ184" i="17"/>
  <c r="AN201" i="17"/>
  <c r="M191" i="17"/>
  <c r="X120" i="17"/>
  <c r="AL119" i="17"/>
  <c r="H179" i="17"/>
  <c r="M192" i="17"/>
  <c r="AA186" i="17"/>
  <c r="H188" i="17"/>
  <c r="AN199" i="17"/>
  <c r="I206" i="17"/>
  <c r="Z183" i="17"/>
  <c r="Y197" i="17"/>
  <c r="AO201" i="17"/>
  <c r="V206" i="17"/>
  <c r="X206" i="17"/>
  <c r="J118" i="17"/>
  <c r="AL123" i="17"/>
  <c r="AL138" i="17"/>
  <c r="X125" i="17"/>
  <c r="X124" i="17"/>
  <c r="X122" i="17"/>
  <c r="J134" i="17"/>
  <c r="J139" i="17"/>
  <c r="J136" i="17"/>
  <c r="AL130" i="17"/>
  <c r="AA207" i="17"/>
  <c r="J122" i="17"/>
  <c r="J124" i="17"/>
  <c r="J117" i="17"/>
  <c r="AL135" i="17"/>
  <c r="X128" i="17"/>
  <c r="J130" i="17"/>
  <c r="J123" i="17"/>
  <c r="Z182" i="17"/>
  <c r="V205" i="17"/>
  <c r="AK189" i="17"/>
  <c r="W191" i="17"/>
  <c r="AN180" i="17"/>
  <c r="AJ192" i="17"/>
  <c r="AO203" i="17"/>
  <c r="AL185" i="17"/>
  <c r="W183" i="17"/>
  <c r="AA205" i="17"/>
  <c r="AL204" i="17"/>
  <c r="X117" i="17"/>
  <c r="I203" i="17"/>
  <c r="Y195" i="17"/>
  <c r="Z200" i="17"/>
  <c r="X123" i="17"/>
  <c r="K205" i="17"/>
  <c r="AA201" i="17"/>
  <c r="V189" i="17"/>
  <c r="X115" i="17"/>
  <c r="J115" i="17"/>
  <c r="L179" i="17"/>
  <c r="X137" i="17"/>
  <c r="H204" i="17"/>
  <c r="W195" i="17"/>
  <c r="AM181" i="17"/>
  <c r="L203" i="17"/>
  <c r="Y204" i="17"/>
  <c r="AJ194" i="17"/>
  <c r="M195" i="17"/>
  <c r="AA198" i="17"/>
  <c r="L188" i="17"/>
  <c r="M200" i="17"/>
  <c r="V194" i="17"/>
  <c r="AM185" i="17"/>
  <c r="K189" i="17"/>
  <c r="AL194" i="17"/>
  <c r="AK207" i="17"/>
  <c r="L187" i="17"/>
  <c r="K207" i="17"/>
  <c r="K183" i="17"/>
  <c r="W185" i="17"/>
  <c r="AO200" i="17"/>
  <c r="L198" i="17"/>
  <c r="Z194" i="17"/>
  <c r="Z204" i="17"/>
  <c r="AN198" i="17"/>
  <c r="AK185" i="17"/>
  <c r="Y192" i="17"/>
  <c r="V199" i="17"/>
  <c r="K198" i="17"/>
  <c r="I181" i="17"/>
  <c r="V192" i="17"/>
  <c r="Z180" i="17"/>
  <c r="H207" i="17"/>
  <c r="AA194" i="17"/>
  <c r="Y187" i="17"/>
  <c r="K179" i="17"/>
  <c r="AK204" i="17"/>
  <c r="M185" i="17"/>
  <c r="L185" i="17"/>
  <c r="AO181" i="17"/>
  <c r="AN186" i="17"/>
  <c r="AA180" i="17"/>
  <c r="AK197" i="17"/>
  <c r="I187" i="17"/>
  <c r="AO195" i="17"/>
  <c r="I197" i="17"/>
  <c r="Y184" i="17"/>
  <c r="AJ182" i="17"/>
  <c r="AJ187" i="17"/>
  <c r="L197" i="17"/>
  <c r="L190" i="17"/>
  <c r="AN181" i="17"/>
  <c r="M207" i="17"/>
  <c r="AO189" i="17"/>
  <c r="H29" i="15"/>
  <c r="O24" i="15"/>
  <c r="P24" i="15" s="1"/>
  <c r="Q24" i="15" s="1"/>
  <c r="R24" i="15" s="1"/>
  <c r="S24" i="15" s="1"/>
  <c r="T24" i="15" s="1"/>
  <c r="U24" i="15" s="1"/>
  <c r="V24" i="15" s="1"/>
  <c r="W24" i="15" s="1"/>
  <c r="X24" i="15" s="1"/>
  <c r="Y24" i="15" s="1"/>
  <c r="Z24" i="15" s="1"/>
  <c r="AA24" i="15" s="1"/>
  <c r="AI6" i="7"/>
  <c r="E18" i="5"/>
  <c r="E13" i="5"/>
  <c r="D4" i="1"/>
  <c r="G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A19" i="15" s="1"/>
  <c r="F34" i="1"/>
  <c r="H34" i="1" s="1"/>
  <c r="F35" i="1"/>
  <c r="F4" i="1"/>
  <c r="H4" i="1" s="1"/>
  <c r="D3" i="15"/>
  <c r="E3" i="15"/>
  <c r="F3" i="15"/>
  <c r="G3" i="15"/>
  <c r="H3" i="15"/>
  <c r="I3" i="15"/>
  <c r="J3" i="15"/>
  <c r="D4" i="15"/>
  <c r="E4" i="15"/>
  <c r="F4" i="15"/>
  <c r="G4" i="15"/>
  <c r="H4" i="15"/>
  <c r="I4" i="15"/>
  <c r="J4" i="15"/>
  <c r="D5" i="15"/>
  <c r="E5" i="15"/>
  <c r="F5" i="15"/>
  <c r="G5" i="15"/>
  <c r="H5" i="15"/>
  <c r="I5" i="15"/>
  <c r="J5" i="15"/>
  <c r="D6" i="15"/>
  <c r="E6" i="15"/>
  <c r="F6" i="15"/>
  <c r="G6" i="15"/>
  <c r="H6" i="15"/>
  <c r="I6" i="15"/>
  <c r="J6" i="15"/>
  <c r="D7" i="15"/>
  <c r="E7" i="15"/>
  <c r="F7" i="15"/>
  <c r="G7" i="15"/>
  <c r="H7" i="15"/>
  <c r="I7" i="15"/>
  <c r="J7" i="15"/>
  <c r="D8" i="15"/>
  <c r="E8" i="15"/>
  <c r="F8" i="15"/>
  <c r="G8" i="15"/>
  <c r="H8" i="15"/>
  <c r="I8" i="15"/>
  <c r="J8" i="15"/>
  <c r="D9" i="15"/>
  <c r="E9" i="15"/>
  <c r="F9" i="15"/>
  <c r="G9" i="15"/>
  <c r="H9" i="15"/>
  <c r="I9" i="15"/>
  <c r="J9" i="15"/>
  <c r="D10" i="15"/>
  <c r="E10" i="15"/>
  <c r="F10" i="15"/>
  <c r="G10" i="15"/>
  <c r="H10" i="15"/>
  <c r="I10" i="15"/>
  <c r="J10" i="15"/>
  <c r="D11" i="15"/>
  <c r="E11" i="15"/>
  <c r="F11" i="15"/>
  <c r="G11" i="15"/>
  <c r="H11" i="15"/>
  <c r="I11" i="15"/>
  <c r="J11" i="15"/>
  <c r="C4" i="15"/>
  <c r="C5" i="15"/>
  <c r="C6" i="15"/>
  <c r="C7" i="15"/>
  <c r="C8" i="15"/>
  <c r="C9" i="15"/>
  <c r="C10" i="15"/>
  <c r="C11" i="15"/>
  <c r="C3" i="15"/>
  <c r="X192" i="17" l="1"/>
  <c r="AL187" i="17"/>
  <c r="J207" i="17"/>
  <c r="J202" i="17"/>
  <c r="AL203" i="17"/>
  <c r="X193" i="17"/>
  <c r="X188" i="17"/>
  <c r="J187" i="17"/>
  <c r="X205" i="17"/>
  <c r="X196" i="17"/>
  <c r="X190" i="17"/>
  <c r="J186" i="17"/>
  <c r="X200" i="17"/>
  <c r="AL183" i="17"/>
  <c r="J193" i="17"/>
  <c r="X189" i="17"/>
  <c r="AL179" i="17"/>
  <c r="J179" i="17"/>
  <c r="AL184" i="17"/>
  <c r="J201" i="17"/>
  <c r="X180" i="17"/>
  <c r="J203" i="17"/>
  <c r="AL198" i="17"/>
  <c r="J185" i="17"/>
  <c r="AL188" i="17"/>
  <c r="AL200" i="17"/>
  <c r="AL186" i="17"/>
  <c r="AL201" i="17"/>
  <c r="X202" i="17"/>
  <c r="AL180" i="17"/>
  <c r="J184" i="17"/>
  <c r="AL196" i="17"/>
  <c r="AL182" i="17"/>
  <c r="X179" i="17"/>
  <c r="X185" i="17"/>
  <c r="X199" i="17"/>
  <c r="X201" i="17"/>
  <c r="J180" i="17"/>
  <c r="AL189" i="17"/>
  <c r="X181" i="17"/>
  <c r="AL190" i="17"/>
  <c r="X182" i="17"/>
  <c r="J197" i="17"/>
  <c r="J206" i="17"/>
  <c r="J188" i="17"/>
  <c r="AL197" i="17"/>
  <c r="J196" i="17"/>
  <c r="J204" i="17"/>
  <c r="X183" i="17"/>
  <c r="J192" i="17"/>
  <c r="J194" i="17"/>
  <c r="J183" i="17"/>
  <c r="X191" i="17"/>
  <c r="J191" i="17"/>
  <c r="AL206" i="17"/>
  <c r="J198" i="17"/>
  <c r="J190" i="17"/>
  <c r="AL191" i="17"/>
  <c r="X194" i="17"/>
  <c r="X195" i="17"/>
  <c r="X197" i="17"/>
  <c r="J195" i="17"/>
  <c r="X187" i="17"/>
  <c r="J181" i="17"/>
  <c r="J200" i="17"/>
  <c r="X184" i="17"/>
  <c r="H30" i="15"/>
  <c r="H31" i="15" l="1"/>
  <c r="H32" i="15" l="1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N91" i="2" s="1"/>
  <c r="I24" i="2"/>
  <c r="O24" i="2" s="1"/>
  <c r="I25" i="2"/>
  <c r="N25" i="2" s="1"/>
  <c r="I26" i="2"/>
  <c r="L26" i="2" s="1"/>
  <c r="I27" i="2"/>
  <c r="O27" i="2" s="1"/>
  <c r="I28" i="2"/>
  <c r="J28" i="2" s="1"/>
  <c r="I29" i="2"/>
  <c r="K29" i="2" s="1"/>
  <c r="I30" i="2"/>
  <c r="I31" i="2"/>
  <c r="I32" i="2"/>
  <c r="I33" i="2"/>
  <c r="I34" i="2"/>
  <c r="I35" i="2"/>
  <c r="I36" i="2"/>
  <c r="L36" i="2" s="1"/>
  <c r="I23" i="2"/>
  <c r="M23" i="2" s="1"/>
  <c r="I4" i="2"/>
  <c r="M4" i="2" s="1"/>
  <c r="I5" i="2"/>
  <c r="O5" i="2" s="1"/>
  <c r="I6" i="2"/>
  <c r="I7" i="2"/>
  <c r="I8" i="2"/>
  <c r="I9" i="2"/>
  <c r="I10" i="2"/>
  <c r="N10" i="2" s="1"/>
  <c r="I11" i="2"/>
  <c r="N11" i="2" s="1"/>
  <c r="I12" i="2"/>
  <c r="N12" i="2" s="1"/>
  <c r="I13" i="2"/>
  <c r="J13" i="2" s="1"/>
  <c r="I14" i="2"/>
  <c r="M14" i="2" s="1"/>
  <c r="I15" i="2"/>
  <c r="O15" i="2" s="1"/>
  <c r="I16" i="2"/>
  <c r="L16" i="2" s="1"/>
  <c r="I3" i="2"/>
  <c r="C51" i="1"/>
  <c r="C50" i="1"/>
  <c r="D5" i="1"/>
  <c r="G5" i="1" s="1"/>
  <c r="C41" i="13" s="1"/>
  <c r="D6" i="1"/>
  <c r="G6" i="1" s="1"/>
  <c r="C42" i="13" s="1"/>
  <c r="D7" i="1"/>
  <c r="G7" i="1" s="1"/>
  <c r="C43" i="13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C49" i="13" s="1"/>
  <c r="D14" i="1"/>
  <c r="G14" i="1" s="1"/>
  <c r="D15" i="1"/>
  <c r="G15" i="1" s="1"/>
  <c r="C51" i="13" s="1"/>
  <c r="D16" i="1"/>
  <c r="G16" i="1" s="1"/>
  <c r="D17" i="1"/>
  <c r="G17" i="1" s="1"/>
  <c r="C53" i="13" s="1"/>
  <c r="D18" i="1"/>
  <c r="G18" i="1" s="1"/>
  <c r="C54" i="13" s="1"/>
  <c r="D19" i="1"/>
  <c r="G19" i="1" s="1"/>
  <c r="D20" i="1"/>
  <c r="G20" i="1" s="1"/>
  <c r="D21" i="1"/>
  <c r="G21" i="1" s="1"/>
  <c r="D22" i="1"/>
  <c r="G22" i="1" s="1"/>
  <c r="D23" i="1"/>
  <c r="G23" i="1" s="1"/>
  <c r="C59" i="13" s="1"/>
  <c r="D24" i="1"/>
  <c r="G24" i="1" s="1"/>
  <c r="D25" i="1"/>
  <c r="G25" i="1" s="1"/>
  <c r="C61" i="13" s="1"/>
  <c r="D26" i="1"/>
  <c r="G26" i="1" s="1"/>
  <c r="C62" i="13" s="1"/>
  <c r="D27" i="1"/>
  <c r="G27" i="1" s="1"/>
  <c r="C63" i="13" s="1"/>
  <c r="D28" i="1"/>
  <c r="G28" i="1" s="1"/>
  <c r="C64" i="13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C70" i="13" s="1"/>
  <c r="D78" i="10"/>
  <c r="E78" i="10"/>
  <c r="F78" i="10"/>
  <c r="G78" i="10"/>
  <c r="H78" i="10"/>
  <c r="I78" i="10"/>
  <c r="J78" i="10"/>
  <c r="D79" i="10"/>
  <c r="E79" i="10"/>
  <c r="F79" i="10"/>
  <c r="G79" i="10"/>
  <c r="H79" i="10"/>
  <c r="I79" i="10"/>
  <c r="J79" i="10"/>
  <c r="D80" i="10"/>
  <c r="E80" i="10"/>
  <c r="F80" i="10"/>
  <c r="G80" i="10"/>
  <c r="H80" i="10"/>
  <c r="I80" i="10"/>
  <c r="J80" i="10"/>
  <c r="D81" i="10"/>
  <c r="E81" i="10"/>
  <c r="F81" i="10"/>
  <c r="G81" i="10"/>
  <c r="H81" i="10"/>
  <c r="I81" i="10"/>
  <c r="J81" i="10"/>
  <c r="D82" i="10"/>
  <c r="E82" i="10"/>
  <c r="F82" i="10"/>
  <c r="G82" i="10"/>
  <c r="H82" i="10"/>
  <c r="I82" i="10"/>
  <c r="J82" i="10"/>
  <c r="D83" i="10"/>
  <c r="E83" i="10"/>
  <c r="F83" i="10"/>
  <c r="G83" i="10"/>
  <c r="H83" i="10"/>
  <c r="I83" i="10"/>
  <c r="J83" i="10"/>
  <c r="D84" i="10"/>
  <c r="E84" i="10"/>
  <c r="F84" i="10"/>
  <c r="G84" i="10"/>
  <c r="H84" i="10"/>
  <c r="I84" i="10"/>
  <c r="J84" i="10"/>
  <c r="D85" i="10"/>
  <c r="E85" i="10"/>
  <c r="F85" i="10"/>
  <c r="G85" i="10"/>
  <c r="H85" i="10"/>
  <c r="I85" i="10"/>
  <c r="J85" i="10"/>
  <c r="D86" i="10"/>
  <c r="E86" i="10"/>
  <c r="F86" i="10"/>
  <c r="G86" i="10"/>
  <c r="H86" i="10"/>
  <c r="I86" i="10"/>
  <c r="J86" i="10"/>
  <c r="D87" i="10"/>
  <c r="E87" i="10"/>
  <c r="F87" i="10"/>
  <c r="G87" i="10"/>
  <c r="H87" i="10"/>
  <c r="I87" i="10"/>
  <c r="J87" i="10"/>
  <c r="C79" i="10"/>
  <c r="C80" i="10"/>
  <c r="C81" i="10"/>
  <c r="C82" i="10"/>
  <c r="C83" i="10"/>
  <c r="C84" i="10"/>
  <c r="C85" i="10"/>
  <c r="C86" i="10"/>
  <c r="C87" i="10"/>
  <c r="C78" i="10"/>
  <c r="U39" i="10"/>
  <c r="T41" i="10"/>
  <c r="T42" i="10"/>
  <c r="T43" i="10"/>
  <c r="T44" i="10"/>
  <c r="T45" i="10"/>
  <c r="T46" i="10"/>
  <c r="T47" i="10"/>
  <c r="T48" i="10"/>
  <c r="T49" i="10"/>
  <c r="T40" i="10"/>
  <c r="N41" i="10"/>
  <c r="O41" i="10" s="1"/>
  <c r="N42" i="10"/>
  <c r="O42" i="10" s="1"/>
  <c r="N43" i="10"/>
  <c r="O43" i="10" s="1"/>
  <c r="N44" i="10"/>
  <c r="O44" i="10" s="1"/>
  <c r="N45" i="10"/>
  <c r="O45" i="10" s="1"/>
  <c r="N46" i="10"/>
  <c r="O46" i="10" s="1"/>
  <c r="N47" i="10"/>
  <c r="O47" i="10" s="1"/>
  <c r="N48" i="10"/>
  <c r="O48" i="10" s="1"/>
  <c r="N49" i="10"/>
  <c r="O49" i="10" s="1"/>
  <c r="N40" i="10"/>
  <c r="O40" i="10" s="1"/>
  <c r="C42" i="10"/>
  <c r="D42" i="10"/>
  <c r="E42" i="10"/>
  <c r="F42" i="10"/>
  <c r="G42" i="10"/>
  <c r="H42" i="10"/>
  <c r="I42" i="10"/>
  <c r="J42" i="10"/>
  <c r="K42" i="10"/>
  <c r="C43" i="10"/>
  <c r="D43" i="10"/>
  <c r="E43" i="10"/>
  <c r="F43" i="10"/>
  <c r="G43" i="10"/>
  <c r="H43" i="10"/>
  <c r="I43" i="10"/>
  <c r="J43" i="10"/>
  <c r="K43" i="10"/>
  <c r="C44" i="10"/>
  <c r="D44" i="10"/>
  <c r="E44" i="10"/>
  <c r="F44" i="10"/>
  <c r="G44" i="10"/>
  <c r="H44" i="10"/>
  <c r="I44" i="10"/>
  <c r="J44" i="10"/>
  <c r="K44" i="10"/>
  <c r="C45" i="10"/>
  <c r="D45" i="10"/>
  <c r="E45" i="10"/>
  <c r="F45" i="10"/>
  <c r="G45" i="10"/>
  <c r="H45" i="10"/>
  <c r="I45" i="10"/>
  <c r="J45" i="10"/>
  <c r="K45" i="10"/>
  <c r="C46" i="10"/>
  <c r="D46" i="10"/>
  <c r="E46" i="10"/>
  <c r="F46" i="10"/>
  <c r="G46" i="10"/>
  <c r="H46" i="10"/>
  <c r="I46" i="10"/>
  <c r="J46" i="10"/>
  <c r="K46" i="10"/>
  <c r="C47" i="10"/>
  <c r="D47" i="10"/>
  <c r="E47" i="10"/>
  <c r="F47" i="10"/>
  <c r="G47" i="10"/>
  <c r="H47" i="10"/>
  <c r="I47" i="10"/>
  <c r="J47" i="10"/>
  <c r="K47" i="10"/>
  <c r="C48" i="10"/>
  <c r="D48" i="10"/>
  <c r="E48" i="10"/>
  <c r="F48" i="10"/>
  <c r="G48" i="10"/>
  <c r="H48" i="10"/>
  <c r="I48" i="10"/>
  <c r="J48" i="10"/>
  <c r="K48" i="10"/>
  <c r="C49" i="10"/>
  <c r="D49" i="10"/>
  <c r="E49" i="10"/>
  <c r="F49" i="10"/>
  <c r="G49" i="10"/>
  <c r="H49" i="10"/>
  <c r="I49" i="10"/>
  <c r="J49" i="10"/>
  <c r="K49" i="10"/>
  <c r="C50" i="10"/>
  <c r="D50" i="10"/>
  <c r="E50" i="10"/>
  <c r="F50" i="10"/>
  <c r="G50" i="10"/>
  <c r="H50" i="10"/>
  <c r="I50" i="10"/>
  <c r="J50" i="10"/>
  <c r="K50" i="10"/>
  <c r="D41" i="10"/>
  <c r="E41" i="10"/>
  <c r="F41" i="10"/>
  <c r="G41" i="10"/>
  <c r="H41" i="10"/>
  <c r="I41" i="10"/>
  <c r="J41" i="10"/>
  <c r="K41" i="10"/>
  <c r="C41" i="10"/>
  <c r="M8" i="10"/>
  <c r="O8" i="10" s="1"/>
  <c r="M9" i="10"/>
  <c r="N9" i="10" s="1"/>
  <c r="O9" i="10" s="1"/>
  <c r="M10" i="10"/>
  <c r="N10" i="10" s="1"/>
  <c r="O10" i="10" s="1"/>
  <c r="M11" i="10"/>
  <c r="N11" i="10" s="1"/>
  <c r="O11" i="10" s="1"/>
  <c r="M12" i="10"/>
  <c r="N12" i="10" s="1"/>
  <c r="O12" i="10" s="1"/>
  <c r="M13" i="10"/>
  <c r="N13" i="10" s="1"/>
  <c r="O13" i="10" s="1"/>
  <c r="M14" i="10"/>
  <c r="N14" i="10" s="1"/>
  <c r="M7" i="10"/>
  <c r="N7" i="10" s="1"/>
  <c r="O7" i="10" s="1"/>
  <c r="A129" i="10"/>
  <c r="C9" i="10"/>
  <c r="D9" i="10"/>
  <c r="E9" i="10"/>
  <c r="F9" i="10"/>
  <c r="G9" i="10"/>
  <c r="H9" i="10"/>
  <c r="I9" i="10"/>
  <c r="J9" i="10"/>
  <c r="C10" i="10"/>
  <c r="D10" i="10"/>
  <c r="E10" i="10"/>
  <c r="F10" i="10"/>
  <c r="G10" i="10"/>
  <c r="H10" i="10"/>
  <c r="I10" i="10"/>
  <c r="J10" i="10"/>
  <c r="C11" i="10"/>
  <c r="D11" i="10"/>
  <c r="E11" i="10"/>
  <c r="F11" i="10"/>
  <c r="G11" i="10"/>
  <c r="H11" i="10"/>
  <c r="I11" i="10"/>
  <c r="J11" i="10"/>
  <c r="C12" i="10"/>
  <c r="D12" i="10"/>
  <c r="E12" i="10"/>
  <c r="F12" i="10"/>
  <c r="G12" i="10"/>
  <c r="H12" i="10"/>
  <c r="I12" i="10"/>
  <c r="J12" i="10"/>
  <c r="C13" i="10"/>
  <c r="D13" i="10"/>
  <c r="E13" i="10"/>
  <c r="F13" i="10"/>
  <c r="G13" i="10"/>
  <c r="H13" i="10"/>
  <c r="I13" i="10"/>
  <c r="J13" i="10"/>
  <c r="C14" i="10"/>
  <c r="D14" i="10"/>
  <c r="E14" i="10"/>
  <c r="F14" i="10"/>
  <c r="G14" i="10"/>
  <c r="H14" i="10"/>
  <c r="I14" i="10"/>
  <c r="J14" i="10"/>
  <c r="C15" i="10"/>
  <c r="D15" i="10"/>
  <c r="E15" i="10"/>
  <c r="F15" i="10"/>
  <c r="G15" i="10"/>
  <c r="H15" i="10"/>
  <c r="I15" i="10"/>
  <c r="J15" i="10"/>
  <c r="D8" i="10"/>
  <c r="E8" i="10"/>
  <c r="F8" i="10"/>
  <c r="G8" i="10"/>
  <c r="H8" i="10"/>
  <c r="I8" i="10"/>
  <c r="J8" i="10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N25" i="4" s="1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J23" i="4" s="1"/>
  <c r="B30" i="17" s="1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P35" i="16"/>
  <c r="Q35" i="16" s="1"/>
  <c r="C43" i="8"/>
  <c r="C41" i="8"/>
  <c r="F41" i="8" s="1"/>
  <c r="B41" i="8"/>
  <c r="E41" i="8" s="1"/>
  <c r="F40" i="8"/>
  <c r="E40" i="8"/>
  <c r="F39" i="8"/>
  <c r="G39" i="8" s="1"/>
  <c r="E39" i="8"/>
  <c r="B1" i="8"/>
  <c r="A31" i="8"/>
  <c r="A32" i="8"/>
  <c r="A28" i="8"/>
  <c r="A29" i="8"/>
  <c r="A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4" i="8"/>
  <c r="G39" i="7"/>
  <c r="AI14" i="7" s="1"/>
  <c r="AJ14" i="7" s="1"/>
  <c r="AH12" i="7"/>
  <c r="AI11" i="7"/>
  <c r="AJ11" i="7" s="1"/>
  <c r="AI10" i="7"/>
  <c r="AI9" i="7"/>
  <c r="AJ9" i="7" s="1"/>
  <c r="AH7" i="7"/>
  <c r="AJ6" i="7"/>
  <c r="AI5" i="7"/>
  <c r="AI4" i="7"/>
  <c r="AJ4" i="7" s="1"/>
  <c r="C38" i="7"/>
  <c r="H79" i="7"/>
  <c r="H74" i="7"/>
  <c r="H69" i="7"/>
  <c r="H64" i="7"/>
  <c r="H59" i="7"/>
  <c r="H56" i="7"/>
  <c r="C40" i="6"/>
  <c r="H71" i="6"/>
  <c r="H66" i="6"/>
  <c r="H61" i="6"/>
  <c r="H56" i="6"/>
  <c r="H51" i="6"/>
  <c r="H48" i="6"/>
  <c r="B18" i="5"/>
  <c r="B13" i="5"/>
  <c r="B7" i="5"/>
  <c r="B8" i="5" s="1"/>
  <c r="C35" i="1"/>
  <c r="F34" i="4"/>
  <c r="G34" i="4"/>
  <c r="H34" i="4"/>
  <c r="F35" i="4"/>
  <c r="G35" i="4"/>
  <c r="H35" i="4"/>
  <c r="G33" i="4"/>
  <c r="H33" i="4"/>
  <c r="H64" i="4" s="1"/>
  <c r="F33" i="4"/>
  <c r="B33" i="4"/>
  <c r="C33" i="4"/>
  <c r="D33" i="4"/>
  <c r="D64" i="4" s="1"/>
  <c r="B34" i="4"/>
  <c r="C34" i="4"/>
  <c r="D34" i="4"/>
  <c r="I5" i="1"/>
  <c r="I8" i="1"/>
  <c r="I14" i="1"/>
  <c r="I15" i="1"/>
  <c r="I18" i="1"/>
  <c r="I19" i="1"/>
  <c r="K19" i="1" s="1"/>
  <c r="I24" i="1"/>
  <c r="I28" i="1"/>
  <c r="K28" i="1" s="1"/>
  <c r="I29" i="1"/>
  <c r="K29" i="1" s="1"/>
  <c r="I4" i="1"/>
  <c r="C23" i="3"/>
  <c r="G33" i="3"/>
  <c r="G32" i="3"/>
  <c r="G31" i="3"/>
  <c r="C31" i="3"/>
  <c r="D31" i="3" s="1"/>
  <c r="E31" i="3" s="1"/>
  <c r="I33" i="1" s="1"/>
  <c r="G30" i="3"/>
  <c r="C30" i="3"/>
  <c r="D30" i="3" s="1"/>
  <c r="E30" i="3" s="1"/>
  <c r="I32" i="1" s="1"/>
  <c r="K32" i="1" s="1"/>
  <c r="G29" i="3"/>
  <c r="C29" i="3"/>
  <c r="D29" i="3" s="1"/>
  <c r="E29" i="3" s="1"/>
  <c r="I31" i="1" s="1"/>
  <c r="G28" i="3"/>
  <c r="C28" i="3"/>
  <c r="D28" i="3" s="1"/>
  <c r="E28" i="3" s="1"/>
  <c r="G27" i="3"/>
  <c r="C27" i="3"/>
  <c r="D27" i="3" s="1"/>
  <c r="E27" i="3" s="1"/>
  <c r="G26" i="3"/>
  <c r="C26" i="3"/>
  <c r="D26" i="3" s="1"/>
  <c r="E26" i="3" s="1"/>
  <c r="G25" i="3"/>
  <c r="C25" i="3"/>
  <c r="D25" i="3" s="1"/>
  <c r="E25" i="3" s="1"/>
  <c r="G24" i="3"/>
  <c r="C24" i="3"/>
  <c r="D24" i="3" s="1"/>
  <c r="E24" i="3" s="1"/>
  <c r="I26" i="1" s="1"/>
  <c r="G23" i="3"/>
  <c r="G22" i="3"/>
  <c r="C22" i="3"/>
  <c r="D22" i="3" s="1"/>
  <c r="E22" i="3" s="1"/>
  <c r="H22" i="3" s="1"/>
  <c r="I22" i="3" s="1"/>
  <c r="G21" i="3"/>
  <c r="C21" i="3"/>
  <c r="D21" i="3" s="1"/>
  <c r="E21" i="3" s="1"/>
  <c r="I23" i="1" s="1"/>
  <c r="G20" i="3"/>
  <c r="C20" i="3"/>
  <c r="D20" i="3" s="1"/>
  <c r="E20" i="3" s="1"/>
  <c r="I22" i="1" s="1"/>
  <c r="G19" i="3"/>
  <c r="C19" i="3"/>
  <c r="D19" i="3" s="1"/>
  <c r="E19" i="3" s="1"/>
  <c r="I21" i="1" s="1"/>
  <c r="K21" i="1" s="1"/>
  <c r="G18" i="3"/>
  <c r="C18" i="3"/>
  <c r="D18" i="3" s="1"/>
  <c r="E18" i="3" s="1"/>
  <c r="G17" i="3"/>
  <c r="C17" i="3"/>
  <c r="D17" i="3" s="1"/>
  <c r="E17" i="3" s="1"/>
  <c r="G16" i="3"/>
  <c r="C16" i="3"/>
  <c r="D16" i="3" s="1"/>
  <c r="E16" i="3" s="1"/>
  <c r="G15" i="3"/>
  <c r="C15" i="3"/>
  <c r="D15" i="3" s="1"/>
  <c r="E15" i="3" s="1"/>
  <c r="G14" i="3"/>
  <c r="C14" i="3"/>
  <c r="D14" i="3" s="1"/>
  <c r="E14" i="3" s="1"/>
  <c r="G13" i="3"/>
  <c r="C13" i="3"/>
  <c r="D13" i="3" s="1"/>
  <c r="E13" i="3" s="1"/>
  <c r="G12" i="3"/>
  <c r="C12" i="3"/>
  <c r="D12" i="3" s="1"/>
  <c r="E12" i="3" s="1"/>
  <c r="H12" i="3" s="1"/>
  <c r="I12" i="3" s="1"/>
  <c r="G11" i="3"/>
  <c r="C11" i="3"/>
  <c r="D11" i="3" s="1"/>
  <c r="E11" i="3" s="1"/>
  <c r="I13" i="1" s="1"/>
  <c r="G10" i="3"/>
  <c r="C10" i="3"/>
  <c r="D10" i="3" s="1"/>
  <c r="G9" i="3"/>
  <c r="C9" i="3"/>
  <c r="D9" i="3" s="1"/>
  <c r="E9" i="3" s="1"/>
  <c r="I11" i="1" s="1"/>
  <c r="K11" i="1" s="1"/>
  <c r="G8" i="3"/>
  <c r="C8" i="3"/>
  <c r="D8" i="3" s="1"/>
  <c r="E8" i="3" s="1"/>
  <c r="G7" i="3"/>
  <c r="C7" i="3"/>
  <c r="G6" i="3"/>
  <c r="C6" i="3"/>
  <c r="D6" i="3" s="1"/>
  <c r="E6" i="3" s="1"/>
  <c r="G5" i="3"/>
  <c r="C5" i="3"/>
  <c r="D5" i="3" s="1"/>
  <c r="E5" i="3" s="1"/>
  <c r="G4" i="3"/>
  <c r="C4" i="3"/>
  <c r="D4" i="3" s="1"/>
  <c r="E4" i="3" s="1"/>
  <c r="G3" i="3"/>
  <c r="C3" i="3"/>
  <c r="D3" i="3" s="1"/>
  <c r="E3" i="3" s="1"/>
  <c r="G2" i="3"/>
  <c r="C2" i="3"/>
  <c r="D2" i="3" s="1"/>
  <c r="E2" i="3" s="1"/>
  <c r="C44" i="13"/>
  <c r="C45" i="13"/>
  <c r="C46" i="13"/>
  <c r="C47" i="13"/>
  <c r="C48" i="13"/>
  <c r="C52" i="13"/>
  <c r="C55" i="13"/>
  <c r="C56" i="13"/>
  <c r="C57" i="13"/>
  <c r="C58" i="13"/>
  <c r="C65" i="13"/>
  <c r="C66" i="13"/>
  <c r="C67" i="13"/>
  <c r="C68" i="13"/>
  <c r="O35" i="2"/>
  <c r="M34" i="2"/>
  <c r="M33" i="2"/>
  <c r="J32" i="2"/>
  <c r="N31" i="2"/>
  <c r="N30" i="2"/>
  <c r="O22" i="2"/>
  <c r="N22" i="2"/>
  <c r="M22" i="2"/>
  <c r="L22" i="2"/>
  <c r="K22" i="2"/>
  <c r="J22" i="2"/>
  <c r="G18" i="2"/>
  <c r="F18" i="2"/>
  <c r="E18" i="2"/>
  <c r="D18" i="2"/>
  <c r="C18" i="2"/>
  <c r="B18" i="2"/>
  <c r="M16" i="2"/>
  <c r="O10" i="2"/>
  <c r="N9" i="2"/>
  <c r="O8" i="2"/>
  <c r="L7" i="2"/>
  <c r="N6" i="2"/>
  <c r="J3" i="2"/>
  <c r="O2" i="2"/>
  <c r="N2" i="2"/>
  <c r="M2" i="2"/>
  <c r="L2" i="2"/>
  <c r="K2" i="2"/>
  <c r="J2" i="2"/>
  <c r="D25" i="10" l="1"/>
  <c r="F26" i="10"/>
  <c r="H27" i="10"/>
  <c r="J28" i="10"/>
  <c r="D30" i="10"/>
  <c r="H23" i="10"/>
  <c r="F30" i="10"/>
  <c r="I26" i="10"/>
  <c r="F24" i="10"/>
  <c r="D28" i="10"/>
  <c r="I30" i="10"/>
  <c r="H24" i="10"/>
  <c r="H28" i="10"/>
  <c r="C24" i="10"/>
  <c r="E25" i="10"/>
  <c r="G26" i="10"/>
  <c r="I27" i="10"/>
  <c r="C29" i="10"/>
  <c r="E30" i="10"/>
  <c r="I23" i="10"/>
  <c r="E24" i="10"/>
  <c r="G25" i="10"/>
  <c r="C28" i="10"/>
  <c r="G30" i="10"/>
  <c r="J26" i="10"/>
  <c r="H30" i="10"/>
  <c r="G29" i="10"/>
  <c r="D23" i="10"/>
  <c r="F27" i="10"/>
  <c r="D24" i="10"/>
  <c r="F25" i="10"/>
  <c r="H26" i="10"/>
  <c r="D29" i="10"/>
  <c r="J23" i="10"/>
  <c r="E29" i="10"/>
  <c r="H25" i="10"/>
  <c r="F29" i="10"/>
  <c r="C27" i="10"/>
  <c r="J24" i="10"/>
  <c r="G24" i="10"/>
  <c r="I24" i="10"/>
  <c r="I29" i="10"/>
  <c r="D27" i="10"/>
  <c r="G28" i="10"/>
  <c r="I25" i="10"/>
  <c r="J25" i="10"/>
  <c r="E27" i="10"/>
  <c r="E23" i="10"/>
  <c r="F23" i="10"/>
  <c r="F28" i="10"/>
  <c r="C26" i="10"/>
  <c r="J29" i="10"/>
  <c r="J30" i="10"/>
  <c r="C25" i="10"/>
  <c r="E26" i="10"/>
  <c r="G27" i="10"/>
  <c r="I28" i="10"/>
  <c r="C30" i="10"/>
  <c r="G23" i="10"/>
  <c r="E28" i="10"/>
  <c r="H29" i="10"/>
  <c r="D26" i="10"/>
  <c r="D113" i="10"/>
  <c r="H113" i="10" s="1"/>
  <c r="J113" i="10" s="1"/>
  <c r="D119" i="10"/>
  <c r="H119" i="10" s="1"/>
  <c r="D114" i="10"/>
  <c r="H114" i="10" s="1"/>
  <c r="M113" i="10"/>
  <c r="N113" i="10"/>
  <c r="D117" i="10"/>
  <c r="H117" i="10" s="1"/>
  <c r="D118" i="10"/>
  <c r="H118" i="10" s="1"/>
  <c r="D115" i="10"/>
  <c r="H115" i="10" s="1"/>
  <c r="D116" i="10"/>
  <c r="H116" i="10" s="1"/>
  <c r="K25" i="2"/>
  <c r="K10" i="2"/>
  <c r="AF35" i="4"/>
  <c r="AG35" i="4"/>
  <c r="AE35" i="4"/>
  <c r="K33" i="1"/>
  <c r="B19" i="15"/>
  <c r="C19" i="15" s="1"/>
  <c r="B22" i="15"/>
  <c r="C22" i="15" s="1"/>
  <c r="W19" i="4"/>
  <c r="Y19" i="4"/>
  <c r="X19" i="4"/>
  <c r="C47" i="1"/>
  <c r="A22" i="15"/>
  <c r="W29" i="4"/>
  <c r="X29" i="4"/>
  <c r="Y29" i="4"/>
  <c r="W28" i="4"/>
  <c r="X28" i="4"/>
  <c r="Y28" i="4"/>
  <c r="P9" i="16"/>
  <c r="Q9" i="16" s="1"/>
  <c r="W11" i="4"/>
  <c r="X11" i="4"/>
  <c r="Y11" i="4"/>
  <c r="W21" i="4"/>
  <c r="X21" i="4"/>
  <c r="Y21" i="4"/>
  <c r="W32" i="4"/>
  <c r="X32" i="4"/>
  <c r="Y32" i="4"/>
  <c r="B32" i="3"/>
  <c r="B33" i="3"/>
  <c r="H33" i="15"/>
  <c r="N23" i="4"/>
  <c r="P23" i="4"/>
  <c r="O23" i="4"/>
  <c r="O25" i="4"/>
  <c r="P25" i="4"/>
  <c r="N27" i="4"/>
  <c r="O27" i="4"/>
  <c r="P27" i="4"/>
  <c r="N17" i="4"/>
  <c r="O17" i="4"/>
  <c r="P17" i="4"/>
  <c r="O7" i="4"/>
  <c r="P7" i="4"/>
  <c r="N7" i="4"/>
  <c r="N20" i="4"/>
  <c r="P20" i="4"/>
  <c r="O20" i="4"/>
  <c r="O10" i="4"/>
  <c r="N10" i="4"/>
  <c r="P10" i="4"/>
  <c r="N13" i="4"/>
  <c r="O13" i="4"/>
  <c r="P13" i="4"/>
  <c r="O26" i="4"/>
  <c r="P26" i="4"/>
  <c r="N26" i="4"/>
  <c r="P16" i="4"/>
  <c r="N16" i="4"/>
  <c r="O16" i="4"/>
  <c r="P6" i="4"/>
  <c r="N6" i="4"/>
  <c r="O6" i="4"/>
  <c r="N29" i="4"/>
  <c r="O29" i="4"/>
  <c r="P29" i="4"/>
  <c r="O19" i="4"/>
  <c r="N19" i="4"/>
  <c r="P19" i="4"/>
  <c r="N9" i="4"/>
  <c r="P9" i="4"/>
  <c r="O9" i="4"/>
  <c r="N32" i="4"/>
  <c r="O32" i="4"/>
  <c r="P32" i="4"/>
  <c r="N22" i="4"/>
  <c r="O22" i="4"/>
  <c r="P22" i="4"/>
  <c r="N12" i="4"/>
  <c r="O12" i="4"/>
  <c r="P12" i="4"/>
  <c r="N33" i="4"/>
  <c r="P33" i="4"/>
  <c r="O33" i="4"/>
  <c r="P28" i="4"/>
  <c r="N28" i="4"/>
  <c r="O28" i="4"/>
  <c r="P18" i="4"/>
  <c r="N18" i="4"/>
  <c r="O18" i="4"/>
  <c r="P8" i="4"/>
  <c r="N8" i="4"/>
  <c r="O8" i="4"/>
  <c r="N30" i="4"/>
  <c r="P30" i="4"/>
  <c r="O30" i="4"/>
  <c r="O31" i="4"/>
  <c r="N31" i="4"/>
  <c r="P31" i="4"/>
  <c r="N21" i="4"/>
  <c r="O21" i="4"/>
  <c r="P21" i="4"/>
  <c r="N11" i="4"/>
  <c r="O11" i="4"/>
  <c r="P11" i="4"/>
  <c r="N34" i="4"/>
  <c r="O34" i="4"/>
  <c r="P34" i="4"/>
  <c r="H36" i="4"/>
  <c r="P64" i="4"/>
  <c r="O15" i="4"/>
  <c r="P15" i="4"/>
  <c r="N15" i="4"/>
  <c r="O5" i="4"/>
  <c r="N5" i="4"/>
  <c r="P5" i="4"/>
  <c r="F36" i="4"/>
  <c r="N24" i="4"/>
  <c r="O24" i="4"/>
  <c r="P24" i="4"/>
  <c r="N14" i="4"/>
  <c r="O14" i="4"/>
  <c r="P14" i="4"/>
  <c r="P4" i="4"/>
  <c r="O4" i="4"/>
  <c r="N4" i="4"/>
  <c r="K4" i="1"/>
  <c r="J4" i="1"/>
  <c r="L24" i="1"/>
  <c r="K24" i="1"/>
  <c r="L22" i="1"/>
  <c r="AA22" i="4" s="1"/>
  <c r="K22" i="1"/>
  <c r="L15" i="1"/>
  <c r="AA15" i="4" s="1"/>
  <c r="K15" i="1"/>
  <c r="L14" i="1"/>
  <c r="AC14" i="4" s="1"/>
  <c r="K14" i="1"/>
  <c r="L13" i="1"/>
  <c r="AB13" i="4" s="1"/>
  <c r="K13" i="1"/>
  <c r="L23" i="1"/>
  <c r="K23" i="1"/>
  <c r="L26" i="1"/>
  <c r="K26" i="1"/>
  <c r="L31" i="1"/>
  <c r="AA31" i="4" s="1"/>
  <c r="K31" i="1"/>
  <c r="L18" i="1"/>
  <c r="AB18" i="4" s="1"/>
  <c r="K18" i="1"/>
  <c r="L8" i="1"/>
  <c r="AB8" i="4" s="1"/>
  <c r="K8" i="1"/>
  <c r="L5" i="1"/>
  <c r="AB5" i="4" s="1"/>
  <c r="K5" i="1"/>
  <c r="C35" i="4"/>
  <c r="K35" i="4" s="1"/>
  <c r="B110" i="17" s="1"/>
  <c r="H35" i="1"/>
  <c r="O25" i="2"/>
  <c r="C40" i="13"/>
  <c r="J29" i="1"/>
  <c r="D65" i="13" s="1"/>
  <c r="J28" i="1"/>
  <c r="D64" i="13" s="1"/>
  <c r="H26" i="3"/>
  <c r="I26" i="3" s="1"/>
  <c r="J32" i="1"/>
  <c r="D68" i="13" s="1"/>
  <c r="J19" i="1"/>
  <c r="D55" i="13" s="1"/>
  <c r="J33" i="1"/>
  <c r="D69" i="13" s="1"/>
  <c r="H6" i="3"/>
  <c r="I6" i="3" s="1"/>
  <c r="H16" i="3"/>
  <c r="I16" i="3" s="1"/>
  <c r="B9" i="5"/>
  <c r="C8" i="5"/>
  <c r="J24" i="1"/>
  <c r="D60" i="13" s="1"/>
  <c r="C60" i="13"/>
  <c r="J14" i="1"/>
  <c r="D50" i="13" s="1"/>
  <c r="C50" i="13"/>
  <c r="D7" i="3"/>
  <c r="H8" i="3"/>
  <c r="I8" i="3" s="1"/>
  <c r="H18" i="3"/>
  <c r="I18" i="3" s="1"/>
  <c r="D23" i="3"/>
  <c r="H28" i="3"/>
  <c r="I28" i="3" s="1"/>
  <c r="I30" i="1"/>
  <c r="J30" i="1" s="1"/>
  <c r="D66" i="13" s="1"/>
  <c r="I20" i="1"/>
  <c r="K20" i="1" s="1"/>
  <c r="I10" i="1"/>
  <c r="J10" i="1" s="1"/>
  <c r="D46" i="13" s="1"/>
  <c r="L28" i="1"/>
  <c r="AB28" i="4" s="1"/>
  <c r="B14" i="5"/>
  <c r="AI12" i="7"/>
  <c r="AJ12" i="7" s="1"/>
  <c r="J97" i="2"/>
  <c r="C53" i="1"/>
  <c r="C69" i="13"/>
  <c r="I27" i="1"/>
  <c r="I17" i="1"/>
  <c r="K17" i="1" s="1"/>
  <c r="I7" i="1"/>
  <c r="C46" i="1"/>
  <c r="E10" i="3"/>
  <c r="D18" i="5"/>
  <c r="B19" i="5" s="1"/>
  <c r="G40" i="8"/>
  <c r="I6" i="1"/>
  <c r="K6" i="1" s="1"/>
  <c r="C32" i="3"/>
  <c r="C33" i="3"/>
  <c r="L29" i="1"/>
  <c r="AA29" i="4" s="1"/>
  <c r="G41" i="8"/>
  <c r="N92" i="2"/>
  <c r="N98" i="2" s="1"/>
  <c r="C98" i="2"/>
  <c r="I97" i="2"/>
  <c r="H97" i="2"/>
  <c r="G97" i="2"/>
  <c r="E97" i="2"/>
  <c r="K97" i="2"/>
  <c r="N97" i="2"/>
  <c r="M97" i="2"/>
  <c r="C97" i="2"/>
  <c r="L97" i="2"/>
  <c r="K98" i="2"/>
  <c r="D97" i="2"/>
  <c r="F98" i="2"/>
  <c r="E98" i="2"/>
  <c r="H98" i="2"/>
  <c r="L98" i="2"/>
  <c r="J98" i="2"/>
  <c r="F97" i="2"/>
  <c r="B97" i="2"/>
  <c r="N93" i="2"/>
  <c r="J13" i="1"/>
  <c r="J31" i="1"/>
  <c r="R31" i="4" s="1"/>
  <c r="C38" i="17" s="1"/>
  <c r="L32" i="1"/>
  <c r="AA32" i="4" s="1"/>
  <c r="J23" i="1"/>
  <c r="D59" i="13" s="1"/>
  <c r="D35" i="1"/>
  <c r="G35" i="1" s="1"/>
  <c r="J22" i="1"/>
  <c r="T22" i="4" s="1"/>
  <c r="C165" i="17" s="1"/>
  <c r="J8" i="1"/>
  <c r="T8" i="4" s="1"/>
  <c r="C151" i="17" s="1"/>
  <c r="J18" i="1"/>
  <c r="D54" i="13" s="1"/>
  <c r="J26" i="1"/>
  <c r="D62" i="13" s="1"/>
  <c r="L19" i="1"/>
  <c r="AB19" i="4" s="1"/>
  <c r="J15" i="1"/>
  <c r="D51" i="13" s="1"/>
  <c r="J5" i="1"/>
  <c r="D41" i="13" s="1"/>
  <c r="L33" i="1"/>
  <c r="J3" i="6" s="1"/>
  <c r="J17" i="4"/>
  <c r="B24" i="17" s="1"/>
  <c r="L27" i="4"/>
  <c r="B170" i="17" s="1"/>
  <c r="L17" i="4"/>
  <c r="B160" i="17" s="1"/>
  <c r="K14" i="4"/>
  <c r="B89" i="17" s="1"/>
  <c r="L7" i="4"/>
  <c r="B150" i="17" s="1"/>
  <c r="K17" i="4"/>
  <c r="B92" i="17" s="1"/>
  <c r="K7" i="4"/>
  <c r="B82" i="17" s="1"/>
  <c r="K32" i="4"/>
  <c r="B107" i="17" s="1"/>
  <c r="J29" i="4"/>
  <c r="B36" i="17" s="1"/>
  <c r="L25" i="4"/>
  <c r="B168" i="17" s="1"/>
  <c r="K22" i="4"/>
  <c r="B97" i="17" s="1"/>
  <c r="J19" i="4"/>
  <c r="B26" i="17" s="1"/>
  <c r="L15" i="4"/>
  <c r="B158" i="17" s="1"/>
  <c r="K12" i="4"/>
  <c r="B87" i="17" s="1"/>
  <c r="J9" i="4"/>
  <c r="B16" i="17" s="1"/>
  <c r="L5" i="4"/>
  <c r="B148" i="17" s="1"/>
  <c r="J32" i="4"/>
  <c r="B39" i="17" s="1"/>
  <c r="L28" i="4"/>
  <c r="B171" i="17" s="1"/>
  <c r="K25" i="4"/>
  <c r="B100" i="17" s="1"/>
  <c r="J22" i="4"/>
  <c r="B29" i="17" s="1"/>
  <c r="L18" i="4"/>
  <c r="B161" i="17" s="1"/>
  <c r="K15" i="4"/>
  <c r="B90" i="17" s="1"/>
  <c r="J12" i="4"/>
  <c r="B19" i="17" s="1"/>
  <c r="L8" i="4"/>
  <c r="B151" i="17" s="1"/>
  <c r="K5" i="4"/>
  <c r="B80" i="17" s="1"/>
  <c r="L23" i="4"/>
  <c r="B166" i="17" s="1"/>
  <c r="L13" i="4"/>
  <c r="B156" i="17" s="1"/>
  <c r="K10" i="4"/>
  <c r="B85" i="17" s="1"/>
  <c r="J7" i="4"/>
  <c r="B14" i="17" s="1"/>
  <c r="T32" i="4"/>
  <c r="C175" i="17" s="1"/>
  <c r="J21" i="1"/>
  <c r="D57" i="13" s="1"/>
  <c r="L21" i="1"/>
  <c r="J11" i="1"/>
  <c r="D47" i="13" s="1"/>
  <c r="L11" i="1"/>
  <c r="P34" i="16"/>
  <c r="Q34" i="16" s="1"/>
  <c r="P24" i="16"/>
  <c r="Q24" i="16" s="1"/>
  <c r="P14" i="16"/>
  <c r="Q14" i="16" s="1"/>
  <c r="AA5" i="4"/>
  <c r="AC5" i="4"/>
  <c r="P10" i="16"/>
  <c r="Q10" i="16" s="1"/>
  <c r="P23" i="16"/>
  <c r="Q23" i="16" s="1"/>
  <c r="P25" i="16"/>
  <c r="Q25" i="16" s="1"/>
  <c r="L4" i="1"/>
  <c r="AB24" i="4"/>
  <c r="AC24" i="4"/>
  <c r="AA24" i="4"/>
  <c r="B35" i="4"/>
  <c r="J35" i="4" s="1"/>
  <c r="B42" i="17" s="1"/>
  <c r="P27" i="16"/>
  <c r="Q27" i="16" s="1"/>
  <c r="AA23" i="4"/>
  <c r="AB23" i="4"/>
  <c r="AC23" i="4"/>
  <c r="D35" i="4"/>
  <c r="D36" i="4" s="1"/>
  <c r="D37" i="4" s="1"/>
  <c r="P16" i="16"/>
  <c r="Q16" i="16" s="1"/>
  <c r="P7" i="16"/>
  <c r="Q7" i="16" s="1"/>
  <c r="P18" i="16"/>
  <c r="Q18" i="16" s="1"/>
  <c r="P20" i="16"/>
  <c r="Q20" i="16" s="1"/>
  <c r="T19" i="4"/>
  <c r="C162" i="17" s="1"/>
  <c r="AA26" i="4"/>
  <c r="AB26" i="4"/>
  <c r="AC26" i="4"/>
  <c r="P22" i="16"/>
  <c r="Q22" i="16" s="1"/>
  <c r="P33" i="16"/>
  <c r="Q33" i="16" s="1"/>
  <c r="AC22" i="4"/>
  <c r="P13" i="16"/>
  <c r="Q13" i="16" s="1"/>
  <c r="P15" i="16"/>
  <c r="Q15" i="16" s="1"/>
  <c r="P26" i="16"/>
  <c r="Q26" i="16" s="1"/>
  <c r="K30" i="4"/>
  <c r="B105" i="17" s="1"/>
  <c r="J27" i="4"/>
  <c r="B34" i="17" s="1"/>
  <c r="K20" i="4"/>
  <c r="B95" i="17" s="1"/>
  <c r="L32" i="4"/>
  <c r="B175" i="17" s="1"/>
  <c r="K29" i="4"/>
  <c r="B104" i="17" s="1"/>
  <c r="J26" i="4"/>
  <c r="B33" i="17" s="1"/>
  <c r="K31" i="4"/>
  <c r="B106" i="17" s="1"/>
  <c r="J28" i="4"/>
  <c r="B35" i="17" s="1"/>
  <c r="L24" i="4"/>
  <c r="B167" i="17" s="1"/>
  <c r="K21" i="4"/>
  <c r="B96" i="17" s="1"/>
  <c r="J18" i="4"/>
  <c r="B25" i="17" s="1"/>
  <c r="L14" i="4"/>
  <c r="B157" i="17" s="1"/>
  <c r="K11" i="4"/>
  <c r="B86" i="17" s="1"/>
  <c r="J8" i="4"/>
  <c r="B15" i="17" s="1"/>
  <c r="L4" i="4"/>
  <c r="B147" i="17" s="1"/>
  <c r="J31" i="4"/>
  <c r="B38" i="17" s="1"/>
  <c r="K24" i="4"/>
  <c r="B99" i="17" s="1"/>
  <c r="J21" i="4"/>
  <c r="B28" i="17" s="1"/>
  <c r="J11" i="4"/>
  <c r="B18" i="17" s="1"/>
  <c r="K4" i="4"/>
  <c r="B79" i="17" s="1"/>
  <c r="L30" i="4"/>
  <c r="B173" i="17" s="1"/>
  <c r="K27" i="4"/>
  <c r="B102" i="17" s="1"/>
  <c r="J24" i="4"/>
  <c r="B31" i="17" s="1"/>
  <c r="L20" i="4"/>
  <c r="B163" i="17" s="1"/>
  <c r="J14" i="4"/>
  <c r="B21" i="17" s="1"/>
  <c r="L10" i="4"/>
  <c r="B153" i="17" s="1"/>
  <c r="J4" i="4"/>
  <c r="B11" i="17" s="1"/>
  <c r="J30" i="4"/>
  <c r="B37" i="17" s="1"/>
  <c r="L26" i="4"/>
  <c r="B169" i="17" s="1"/>
  <c r="K23" i="4"/>
  <c r="B98" i="17" s="1"/>
  <c r="J20" i="4"/>
  <c r="B27" i="17" s="1"/>
  <c r="L16" i="4"/>
  <c r="B159" i="17" s="1"/>
  <c r="K13" i="4"/>
  <c r="B88" i="17" s="1"/>
  <c r="J10" i="4"/>
  <c r="B17" i="17" s="1"/>
  <c r="L6" i="4"/>
  <c r="B149" i="17" s="1"/>
  <c r="L29" i="4"/>
  <c r="B172" i="17" s="1"/>
  <c r="K26" i="4"/>
  <c r="B101" i="17" s="1"/>
  <c r="L19" i="4"/>
  <c r="B162" i="17" s="1"/>
  <c r="K16" i="4"/>
  <c r="B91" i="17" s="1"/>
  <c r="J13" i="4"/>
  <c r="B20" i="17" s="1"/>
  <c r="L9" i="4"/>
  <c r="B152" i="17" s="1"/>
  <c r="K6" i="4"/>
  <c r="B81" i="17" s="1"/>
  <c r="L22" i="4"/>
  <c r="B165" i="17" s="1"/>
  <c r="K19" i="4"/>
  <c r="B94" i="17" s="1"/>
  <c r="J16" i="4"/>
  <c r="B23" i="17" s="1"/>
  <c r="L12" i="4"/>
  <c r="B155" i="17" s="1"/>
  <c r="K9" i="4"/>
  <c r="B84" i="17" s="1"/>
  <c r="J6" i="4"/>
  <c r="B13" i="17" s="1"/>
  <c r="L31" i="4"/>
  <c r="B174" i="17" s="1"/>
  <c r="K28" i="4"/>
  <c r="B103" i="17" s="1"/>
  <c r="J25" i="4"/>
  <c r="B32" i="17" s="1"/>
  <c r="P48" i="10"/>
  <c r="U48" i="10" s="1"/>
  <c r="AE48" i="10" s="1"/>
  <c r="P47" i="10"/>
  <c r="U47" i="10" s="1"/>
  <c r="AD47" i="10" s="1"/>
  <c r="P43" i="10"/>
  <c r="U43" i="10" s="1"/>
  <c r="W43" i="10" s="1"/>
  <c r="P42" i="10"/>
  <c r="U42" i="10" s="1"/>
  <c r="Y42" i="10" s="1"/>
  <c r="P46" i="10"/>
  <c r="U46" i="10" s="1"/>
  <c r="P45" i="10"/>
  <c r="U45" i="10" s="1"/>
  <c r="P44" i="10"/>
  <c r="U44" i="10" s="1"/>
  <c r="P40" i="10"/>
  <c r="U40" i="10" s="1"/>
  <c r="P41" i="10"/>
  <c r="U41" i="10" s="1"/>
  <c r="P49" i="10"/>
  <c r="U49" i="10" s="1"/>
  <c r="S10" i="10"/>
  <c r="U7" i="10"/>
  <c r="S13" i="10"/>
  <c r="U13" i="10" s="1"/>
  <c r="Z14" i="10"/>
  <c r="S9" i="10"/>
  <c r="T9" i="10" s="1"/>
  <c r="S8" i="10"/>
  <c r="Y8" i="10" s="1"/>
  <c r="S12" i="10"/>
  <c r="S11" i="10"/>
  <c r="L21" i="4"/>
  <c r="B164" i="17" s="1"/>
  <c r="K18" i="4"/>
  <c r="B93" i="17" s="1"/>
  <c r="J15" i="4"/>
  <c r="B22" i="17" s="1"/>
  <c r="L11" i="4"/>
  <c r="B154" i="17" s="1"/>
  <c r="K8" i="4"/>
  <c r="B83" i="17" s="1"/>
  <c r="J5" i="4"/>
  <c r="B12" i="17" s="1"/>
  <c r="J33" i="4"/>
  <c r="B40" i="17" s="1"/>
  <c r="K33" i="4"/>
  <c r="B108" i="17" s="1"/>
  <c r="K34" i="4"/>
  <c r="B109" i="17" s="1"/>
  <c r="L34" i="4"/>
  <c r="B177" i="17" s="1"/>
  <c r="J34" i="4"/>
  <c r="B41" i="17" s="1"/>
  <c r="AI7" i="7"/>
  <c r="AJ7" i="7" s="1"/>
  <c r="AJ10" i="7"/>
  <c r="AJ5" i="7"/>
  <c r="C38" i="4"/>
  <c r="C36" i="4" s="1"/>
  <c r="L64" i="4"/>
  <c r="B207" i="17" s="1"/>
  <c r="G36" i="4"/>
  <c r="L33" i="4"/>
  <c r="B176" i="17" s="1"/>
  <c r="B38" i="4"/>
  <c r="H24" i="3"/>
  <c r="I24" i="3" s="1"/>
  <c r="H25" i="3"/>
  <c r="I25" i="3" s="1"/>
  <c r="H2" i="3"/>
  <c r="I2" i="3" s="1"/>
  <c r="H15" i="3"/>
  <c r="I15" i="3" s="1"/>
  <c r="H4" i="3"/>
  <c r="I4" i="3" s="1"/>
  <c r="H21" i="3"/>
  <c r="I21" i="3" s="1"/>
  <c r="H30" i="3"/>
  <c r="I30" i="3" s="1"/>
  <c r="H5" i="3"/>
  <c r="I5" i="3" s="1"/>
  <c r="H31" i="3"/>
  <c r="I31" i="3" s="1"/>
  <c r="H10" i="3"/>
  <c r="I10" i="3" s="1"/>
  <c r="H27" i="3"/>
  <c r="I27" i="3" s="1"/>
  <c r="H19" i="3"/>
  <c r="I19" i="3" s="1"/>
  <c r="H17" i="3"/>
  <c r="I17" i="3" s="1"/>
  <c r="H13" i="3"/>
  <c r="I13" i="3" s="1"/>
  <c r="H9" i="3"/>
  <c r="I9" i="3" s="1"/>
  <c r="H14" i="3"/>
  <c r="I14" i="3" s="1"/>
  <c r="H11" i="3"/>
  <c r="I11" i="3" s="1"/>
  <c r="H20" i="3"/>
  <c r="I20" i="3" s="1"/>
  <c r="H3" i="3"/>
  <c r="I3" i="3" s="1"/>
  <c r="H29" i="3"/>
  <c r="I29" i="3" s="1"/>
  <c r="N16" i="2"/>
  <c r="O16" i="2"/>
  <c r="O33" i="2"/>
  <c r="L3" i="2"/>
  <c r="K9" i="2"/>
  <c r="N13" i="2"/>
  <c r="K28" i="2"/>
  <c r="O9" i="2"/>
  <c r="M28" i="2"/>
  <c r="O7" i="2"/>
  <c r="K3" i="2"/>
  <c r="J9" i="2"/>
  <c r="O13" i="2"/>
  <c r="L28" i="2"/>
  <c r="L10" i="2"/>
  <c r="O14" i="2"/>
  <c r="L25" i="2"/>
  <c r="N28" i="2"/>
  <c r="J35" i="2"/>
  <c r="K6" i="2"/>
  <c r="M10" i="2"/>
  <c r="M25" i="2"/>
  <c r="O28" i="2"/>
  <c r="J6" i="2"/>
  <c r="J31" i="2"/>
  <c r="K35" i="2"/>
  <c r="L35" i="2"/>
  <c r="M35" i="2"/>
  <c r="M38" i="2" s="1"/>
  <c r="L6" i="2"/>
  <c r="K32" i="2"/>
  <c r="M3" i="2"/>
  <c r="M6" i="2"/>
  <c r="L9" i="2"/>
  <c r="O23" i="2"/>
  <c r="O38" i="2" s="1"/>
  <c r="N26" i="2"/>
  <c r="L32" i="2"/>
  <c r="N3" i="2"/>
  <c r="M9" i="2"/>
  <c r="J16" i="2"/>
  <c r="O26" i="2"/>
  <c r="L29" i="2"/>
  <c r="M32" i="2"/>
  <c r="O3" i="2"/>
  <c r="O18" i="2" s="1"/>
  <c r="O6" i="2"/>
  <c r="K13" i="2"/>
  <c r="K16" i="2"/>
  <c r="M29" i="2"/>
  <c r="N32" i="2"/>
  <c r="N35" i="2"/>
  <c r="L13" i="2"/>
  <c r="J25" i="2"/>
  <c r="N29" i="2"/>
  <c r="O32" i="2"/>
  <c r="O4" i="2"/>
  <c r="N7" i="2"/>
  <c r="M13" i="2"/>
  <c r="O29" i="2"/>
  <c r="J5" i="2"/>
  <c r="L12" i="2"/>
  <c r="K24" i="2"/>
  <c r="M12" i="2"/>
  <c r="L24" i="2"/>
  <c r="L34" i="2"/>
  <c r="N4" i="2"/>
  <c r="M7" i="2"/>
  <c r="O11" i="2"/>
  <c r="N14" i="2"/>
  <c r="N23" i="2"/>
  <c r="M26" i="2"/>
  <c r="O30" i="2"/>
  <c r="N33" i="2"/>
  <c r="M36" i="2"/>
  <c r="N36" i="2"/>
  <c r="O36" i="2"/>
  <c r="K31" i="2"/>
  <c r="J34" i="2"/>
  <c r="I38" i="2"/>
  <c r="K34" i="2"/>
  <c r="J15" i="2"/>
  <c r="J18" i="2" s="1"/>
  <c r="K5" i="2"/>
  <c r="K15" i="2"/>
  <c r="K18" i="2" s="1"/>
  <c r="J4" i="2"/>
  <c r="K4" i="2"/>
  <c r="J7" i="2"/>
  <c r="M8" i="2"/>
  <c r="L11" i="2"/>
  <c r="O12" i="2"/>
  <c r="K14" i="2"/>
  <c r="N15" i="2"/>
  <c r="K23" i="2"/>
  <c r="N24" i="2"/>
  <c r="J26" i="2"/>
  <c r="M27" i="2"/>
  <c r="L30" i="2"/>
  <c r="O31" i="2"/>
  <c r="K33" i="2"/>
  <c r="N34" i="2"/>
  <c r="J36" i="2"/>
  <c r="J24" i="2"/>
  <c r="J8" i="2"/>
  <c r="J27" i="2"/>
  <c r="J11" i="2"/>
  <c r="L15" i="2"/>
  <c r="J30" i="2"/>
  <c r="J23" i="2"/>
  <c r="L33" i="2"/>
  <c r="O34" i="2"/>
  <c r="K36" i="2"/>
  <c r="J12" i="2"/>
  <c r="I18" i="2"/>
  <c r="K12" i="2"/>
  <c r="L31" i="2"/>
  <c r="L5" i="2"/>
  <c r="K8" i="2"/>
  <c r="K27" i="2"/>
  <c r="M31" i="2"/>
  <c r="M5" i="2"/>
  <c r="L8" i="2"/>
  <c r="K11" i="2"/>
  <c r="J14" i="2"/>
  <c r="M15" i="2"/>
  <c r="M24" i="2"/>
  <c r="L27" i="2"/>
  <c r="K30" i="2"/>
  <c r="J33" i="2"/>
  <c r="N5" i="2"/>
  <c r="L4" i="2"/>
  <c r="K7" i="2"/>
  <c r="N8" i="2"/>
  <c r="J10" i="2"/>
  <c r="M11" i="2"/>
  <c r="L14" i="2"/>
  <c r="L23" i="2"/>
  <c r="K26" i="2"/>
  <c r="N27" i="2"/>
  <c r="J29" i="2"/>
  <c r="M30" i="2"/>
  <c r="I113" i="10" l="1"/>
  <c r="O113" i="10"/>
  <c r="L113" i="10"/>
  <c r="K113" i="10"/>
  <c r="P113" i="10"/>
  <c r="J117" i="10"/>
  <c r="M117" i="10"/>
  <c r="I117" i="10"/>
  <c r="K117" i="10"/>
  <c r="L117" i="10"/>
  <c r="N117" i="10"/>
  <c r="O117" i="10"/>
  <c r="P117" i="10"/>
  <c r="M118" i="10"/>
  <c r="P118" i="10"/>
  <c r="N118" i="10"/>
  <c r="O118" i="10"/>
  <c r="L118" i="10"/>
  <c r="I118" i="10"/>
  <c r="J118" i="10"/>
  <c r="K118" i="10"/>
  <c r="K116" i="10"/>
  <c r="O116" i="10"/>
  <c r="P116" i="10"/>
  <c r="J116" i="10"/>
  <c r="I116" i="10"/>
  <c r="L116" i="10"/>
  <c r="M116" i="10"/>
  <c r="N116" i="10"/>
  <c r="N115" i="10"/>
  <c r="O115" i="10"/>
  <c r="L115" i="10"/>
  <c r="P115" i="10"/>
  <c r="I115" i="10"/>
  <c r="J115" i="10"/>
  <c r="K115" i="10"/>
  <c r="M115" i="10"/>
  <c r="K114" i="10"/>
  <c r="J114" i="10"/>
  <c r="L114" i="10"/>
  <c r="I114" i="10"/>
  <c r="N114" i="10"/>
  <c r="O114" i="10"/>
  <c r="M114" i="10"/>
  <c r="P114" i="10"/>
  <c r="I119" i="10"/>
  <c r="O119" i="10"/>
  <c r="P119" i="10"/>
  <c r="J119" i="10"/>
  <c r="K119" i="10"/>
  <c r="L119" i="10"/>
  <c r="M119" i="10"/>
  <c r="N119" i="10"/>
  <c r="AD105" i="17"/>
  <c r="AU173" i="17"/>
  <c r="AH103" i="17"/>
  <c r="AV103" i="17"/>
  <c r="AR103" i="17"/>
  <c r="AH79" i="17"/>
  <c r="AS79" i="17"/>
  <c r="AR80" i="17"/>
  <c r="AC148" i="17"/>
  <c r="AF148" i="17"/>
  <c r="AD148" i="17"/>
  <c r="AC167" i="17"/>
  <c r="AS167" i="17"/>
  <c r="R28" i="4"/>
  <c r="C35" i="17" s="1"/>
  <c r="AV35" i="17" s="1"/>
  <c r="AH151" i="17"/>
  <c r="AC151" i="17"/>
  <c r="AT151" i="17"/>
  <c r="AQ151" i="17"/>
  <c r="AG151" i="17"/>
  <c r="AU151" i="17"/>
  <c r="AD151" i="17"/>
  <c r="AR151" i="17"/>
  <c r="AF151" i="17"/>
  <c r="AV151" i="17"/>
  <c r="AS151" i="17"/>
  <c r="AE151" i="17"/>
  <c r="AH175" i="17"/>
  <c r="AC175" i="17"/>
  <c r="AR175" i="17"/>
  <c r="AG175" i="17"/>
  <c r="AD175" i="17"/>
  <c r="AQ175" i="17"/>
  <c r="AU175" i="17"/>
  <c r="AT175" i="17"/>
  <c r="AV175" i="17"/>
  <c r="AF175" i="17"/>
  <c r="AS175" i="17"/>
  <c r="AE175" i="17"/>
  <c r="AV154" i="17"/>
  <c r="AD154" i="17"/>
  <c r="AT154" i="17"/>
  <c r="AG86" i="17"/>
  <c r="AF86" i="17"/>
  <c r="AQ86" i="17"/>
  <c r="AF107" i="17"/>
  <c r="AR107" i="17"/>
  <c r="AH156" i="17"/>
  <c r="AR156" i="17"/>
  <c r="AU156" i="17"/>
  <c r="AS156" i="17"/>
  <c r="AT162" i="17"/>
  <c r="AH162" i="17"/>
  <c r="AC162" i="17"/>
  <c r="AG162" i="17"/>
  <c r="AR162" i="17"/>
  <c r="AV162" i="17"/>
  <c r="AQ162" i="17"/>
  <c r="AU162" i="17"/>
  <c r="AF162" i="17"/>
  <c r="AD162" i="17"/>
  <c r="AE162" i="17"/>
  <c r="AS162" i="17"/>
  <c r="AT37" i="17"/>
  <c r="AD37" i="17"/>
  <c r="AR37" i="17"/>
  <c r="AE37" i="17"/>
  <c r="AF35" i="17"/>
  <c r="AD35" i="17"/>
  <c r="AU35" i="17"/>
  <c r="AQ35" i="17"/>
  <c r="AT35" i="17"/>
  <c r="AR35" i="17"/>
  <c r="S28" i="4"/>
  <c r="C103" i="17" s="1"/>
  <c r="AD103" i="17" s="1"/>
  <c r="AB14" i="4"/>
  <c r="AH171" i="17"/>
  <c r="AU171" i="17"/>
  <c r="AF171" i="17"/>
  <c r="AR171" i="17"/>
  <c r="AT171" i="17"/>
  <c r="AQ171" i="17"/>
  <c r="AS171" i="17"/>
  <c r="AF166" i="17"/>
  <c r="AR176" i="17"/>
  <c r="AF176" i="17"/>
  <c r="AU176" i="17"/>
  <c r="AC11" i="17"/>
  <c r="AT11" i="17"/>
  <c r="AD11" i="17"/>
  <c r="AS11" i="17"/>
  <c r="AD106" i="17"/>
  <c r="AU106" i="17"/>
  <c r="AF106" i="17"/>
  <c r="T28" i="4"/>
  <c r="C171" i="17" s="1"/>
  <c r="AC171" i="17" s="1"/>
  <c r="AC25" i="17"/>
  <c r="AQ25" i="17"/>
  <c r="AD25" i="17"/>
  <c r="AG25" i="17"/>
  <c r="AF25" i="17"/>
  <c r="AT40" i="17"/>
  <c r="AH40" i="17"/>
  <c r="AC40" i="17"/>
  <c r="AF40" i="17"/>
  <c r="AU40" i="17"/>
  <c r="AV40" i="17"/>
  <c r="AQ40" i="17"/>
  <c r="AD40" i="17"/>
  <c r="AG40" i="17"/>
  <c r="AE40" i="17"/>
  <c r="AS40" i="17"/>
  <c r="AQ172" i="17"/>
  <c r="AG153" i="17"/>
  <c r="AH38" i="17"/>
  <c r="AC38" i="17"/>
  <c r="AT38" i="17"/>
  <c r="AF38" i="17"/>
  <c r="AD38" i="17"/>
  <c r="AG38" i="17"/>
  <c r="AR38" i="17"/>
  <c r="AQ38" i="17"/>
  <c r="AV38" i="17"/>
  <c r="AU38" i="17"/>
  <c r="AS38" i="17"/>
  <c r="AE38" i="17"/>
  <c r="AC161" i="17"/>
  <c r="AT161" i="17"/>
  <c r="AH161" i="17"/>
  <c r="AV161" i="17"/>
  <c r="AR161" i="17"/>
  <c r="AQ161" i="17"/>
  <c r="AD161" i="17"/>
  <c r="AE161" i="17"/>
  <c r="AS161" i="17"/>
  <c r="AT97" i="17"/>
  <c r="AH97" i="17"/>
  <c r="AV97" i="17"/>
  <c r="AD97" i="17"/>
  <c r="AG97" i="17"/>
  <c r="AR97" i="17"/>
  <c r="AF97" i="17"/>
  <c r="AS97" i="17"/>
  <c r="AE97" i="17"/>
  <c r="AH165" i="17"/>
  <c r="AC165" i="17"/>
  <c r="AV165" i="17"/>
  <c r="AF165" i="17"/>
  <c r="AG165" i="17"/>
  <c r="AD165" i="17"/>
  <c r="AT165" i="17"/>
  <c r="AR165" i="17"/>
  <c r="AU165" i="17"/>
  <c r="AQ165" i="17"/>
  <c r="AS165" i="17"/>
  <c r="AE165" i="17"/>
  <c r="AV147" i="17"/>
  <c r="AG147" i="17"/>
  <c r="AU147" i="17"/>
  <c r="AF147" i="17"/>
  <c r="AD147" i="17"/>
  <c r="AQ147" i="17"/>
  <c r="AC104" i="17"/>
  <c r="AT104" i="17"/>
  <c r="AH104" i="17"/>
  <c r="AU104" i="17"/>
  <c r="AD104" i="17"/>
  <c r="AR104" i="17"/>
  <c r="AF104" i="17"/>
  <c r="AS104" i="17"/>
  <c r="AE104" i="17"/>
  <c r="AC15" i="4"/>
  <c r="S19" i="4"/>
  <c r="C94" i="17" s="1"/>
  <c r="AR94" i="17" s="1"/>
  <c r="R33" i="4"/>
  <c r="C40" i="17" s="1"/>
  <c r="AR40" i="17" s="1"/>
  <c r="AG26" i="4"/>
  <c r="AE26" i="4"/>
  <c r="AF26" i="4"/>
  <c r="AG24" i="4"/>
  <c r="AE24" i="4"/>
  <c r="E60" i="13" s="1"/>
  <c r="AF24" i="4"/>
  <c r="AF18" i="4"/>
  <c r="AE18" i="4"/>
  <c r="AG18" i="4"/>
  <c r="AE25" i="4"/>
  <c r="AF25" i="4"/>
  <c r="AG25" i="4"/>
  <c r="W31" i="4"/>
  <c r="X31" i="4"/>
  <c r="Y31" i="4"/>
  <c r="Y15" i="4"/>
  <c r="W15" i="4"/>
  <c r="X15" i="4"/>
  <c r="AG27" i="4"/>
  <c r="AE27" i="4"/>
  <c r="E63" i="13" s="1"/>
  <c r="AF27" i="4"/>
  <c r="AK28" i="4"/>
  <c r="E35" i="17" s="1"/>
  <c r="AF23" i="4"/>
  <c r="AG23" i="4"/>
  <c r="AE23" i="4"/>
  <c r="E59" i="13" s="1"/>
  <c r="P12" i="16"/>
  <c r="Q12" i="16" s="1"/>
  <c r="P5" i="16"/>
  <c r="Q5" i="16" s="1"/>
  <c r="X6" i="4"/>
  <c r="Y6" i="4"/>
  <c r="W6" i="4"/>
  <c r="AG9" i="4"/>
  <c r="AE9" i="4"/>
  <c r="AF9" i="4"/>
  <c r="P30" i="16"/>
  <c r="Q30" i="16" s="1"/>
  <c r="X26" i="4"/>
  <c r="W26" i="4"/>
  <c r="Y26" i="4"/>
  <c r="P19" i="16"/>
  <c r="Q19" i="16" s="1"/>
  <c r="L66" i="4"/>
  <c r="P29" i="16"/>
  <c r="Q29" i="16" s="1"/>
  <c r="P11" i="16"/>
  <c r="Q11" i="16" s="1"/>
  <c r="P17" i="16"/>
  <c r="Q17" i="16" s="1"/>
  <c r="X22" i="4"/>
  <c r="W22" i="4"/>
  <c r="Y22" i="4"/>
  <c r="P28" i="16"/>
  <c r="Q28" i="16" s="1"/>
  <c r="W5" i="4"/>
  <c r="X5" i="4"/>
  <c r="Y5" i="4"/>
  <c r="Y23" i="4"/>
  <c r="X23" i="4"/>
  <c r="W23" i="4"/>
  <c r="I22" i="15"/>
  <c r="J22" i="15" s="1"/>
  <c r="J26" i="15" s="1"/>
  <c r="J33" i="15" s="1"/>
  <c r="D22" i="15"/>
  <c r="E22" i="15" s="1"/>
  <c r="F22" i="15" s="1"/>
  <c r="G22" i="15" s="1"/>
  <c r="P31" i="16"/>
  <c r="Q31" i="16" s="1"/>
  <c r="P8" i="16"/>
  <c r="Q8" i="16" s="1"/>
  <c r="W24" i="4"/>
  <c r="X24" i="4"/>
  <c r="Y24" i="4"/>
  <c r="D19" i="15"/>
  <c r="E19" i="15" s="1"/>
  <c r="I19" i="15"/>
  <c r="J19" i="15" s="1"/>
  <c r="I26" i="15" s="1"/>
  <c r="I33" i="15" s="1"/>
  <c r="AB22" i="4"/>
  <c r="AF10" i="4"/>
  <c r="AE10" i="4"/>
  <c r="E46" i="13" s="1"/>
  <c r="AG10" i="4"/>
  <c r="P4" i="16"/>
  <c r="Q4" i="16" s="1"/>
  <c r="AE4" i="4" s="1"/>
  <c r="W8" i="4"/>
  <c r="X8" i="4"/>
  <c r="Y8" i="4"/>
  <c r="Y13" i="4"/>
  <c r="X13" i="4"/>
  <c r="W13" i="4"/>
  <c r="Y33" i="4"/>
  <c r="X33" i="4"/>
  <c r="W33" i="4"/>
  <c r="AE7" i="4"/>
  <c r="AG7" i="4"/>
  <c r="AF7" i="4"/>
  <c r="AE33" i="4"/>
  <c r="AV33" i="4" s="1"/>
  <c r="B69" i="13" s="1"/>
  <c r="AF33" i="4"/>
  <c r="AW33" i="4" s="1"/>
  <c r="AG33" i="4"/>
  <c r="AX33" i="4" s="1"/>
  <c r="S8" i="4"/>
  <c r="C83" i="17" s="1"/>
  <c r="AG83" i="17" s="1"/>
  <c r="AF14" i="4"/>
  <c r="AE14" i="4"/>
  <c r="E50" i="13" s="1"/>
  <c r="AG14" i="4"/>
  <c r="AF34" i="4"/>
  <c r="AE34" i="4"/>
  <c r="AG34" i="4"/>
  <c r="P21" i="16"/>
  <c r="Q21" i="16" s="1"/>
  <c r="P32" i="16"/>
  <c r="Q32" i="16" s="1"/>
  <c r="P67" i="4"/>
  <c r="P66" i="4"/>
  <c r="AG15" i="4"/>
  <c r="AF15" i="4"/>
  <c r="AE15" i="4"/>
  <c r="AK18" i="4"/>
  <c r="E25" i="17" s="1"/>
  <c r="AG13" i="4"/>
  <c r="AE13" i="4"/>
  <c r="E49" i="13" s="1"/>
  <c r="AF13" i="4"/>
  <c r="AG16" i="4"/>
  <c r="AF16" i="4"/>
  <c r="AE16" i="4"/>
  <c r="P6" i="16"/>
  <c r="Q6" i="16" s="1"/>
  <c r="W17" i="4"/>
  <c r="X17" i="4"/>
  <c r="Y17" i="4"/>
  <c r="X20" i="4"/>
  <c r="Y20" i="4"/>
  <c r="W20" i="4"/>
  <c r="W18" i="4"/>
  <c r="X18" i="4"/>
  <c r="Y18" i="4"/>
  <c r="Y14" i="4"/>
  <c r="W14" i="4"/>
  <c r="X14" i="4"/>
  <c r="Y4" i="4"/>
  <c r="X4" i="4"/>
  <c r="W4" i="4"/>
  <c r="N35" i="4"/>
  <c r="AF22" i="4"/>
  <c r="BE22" i="4" s="1"/>
  <c r="AG22" i="4"/>
  <c r="BF22" i="4" s="1"/>
  <c r="AE22" i="4"/>
  <c r="E58" i="13" s="1"/>
  <c r="AG20" i="4"/>
  <c r="AE20" i="4"/>
  <c r="AF20" i="4"/>
  <c r="P35" i="4"/>
  <c r="H34" i="15"/>
  <c r="O35" i="4"/>
  <c r="P36" i="4"/>
  <c r="F37" i="4"/>
  <c r="G37" i="4"/>
  <c r="O36" i="4"/>
  <c r="AC31" i="4"/>
  <c r="AL31" i="4" s="1"/>
  <c r="F38" i="17" s="1"/>
  <c r="AB15" i="4"/>
  <c r="S22" i="4"/>
  <c r="C97" i="17" s="1"/>
  <c r="AC97" i="17" s="1"/>
  <c r="T18" i="4"/>
  <c r="C161" i="17" s="1"/>
  <c r="AG161" i="17" s="1"/>
  <c r="AA8" i="4"/>
  <c r="S24" i="4"/>
  <c r="C99" i="17" s="1"/>
  <c r="AC8" i="4"/>
  <c r="R24" i="4"/>
  <c r="AC13" i="4"/>
  <c r="T29" i="4"/>
  <c r="C172" i="17" s="1"/>
  <c r="AA13" i="4"/>
  <c r="AA14" i="4"/>
  <c r="S29" i="4"/>
  <c r="C104" i="17" s="1"/>
  <c r="AV104" i="17" s="1"/>
  <c r="S23" i="4"/>
  <c r="R29" i="4"/>
  <c r="T24" i="4"/>
  <c r="C167" i="17" s="1"/>
  <c r="L7" i="1"/>
  <c r="AA7" i="4" s="1"/>
  <c r="K7" i="1"/>
  <c r="F3" i="6"/>
  <c r="L27" i="1"/>
  <c r="K27" i="1"/>
  <c r="B3" i="6"/>
  <c r="AC33" i="4"/>
  <c r="AL33" i="4" s="1"/>
  <c r="F40" i="17" s="1"/>
  <c r="T5" i="4"/>
  <c r="C148" i="17" s="1"/>
  <c r="AQ148" i="17" s="1"/>
  <c r="S5" i="4"/>
  <c r="C80" i="17" s="1"/>
  <c r="AU80" i="17" s="1"/>
  <c r="L10" i="1"/>
  <c r="AB10" i="4" s="1"/>
  <c r="K10" i="1"/>
  <c r="AB33" i="4"/>
  <c r="AK33" i="4" s="1"/>
  <c r="E40" i="17" s="1"/>
  <c r="AC18" i="4"/>
  <c r="AA18" i="4"/>
  <c r="AB31" i="4"/>
  <c r="AK31" i="4" s="1"/>
  <c r="E38" i="17" s="1"/>
  <c r="L30" i="1"/>
  <c r="K30" i="1"/>
  <c r="L16" i="1"/>
  <c r="AB16" i="4" s="1"/>
  <c r="K16" i="1"/>
  <c r="AC32" i="4"/>
  <c r="AB32" i="4"/>
  <c r="R19" i="4"/>
  <c r="AB29" i="4"/>
  <c r="AC29" i="4"/>
  <c r="T14" i="4"/>
  <c r="T33" i="4"/>
  <c r="C176" i="17" s="1"/>
  <c r="AG176" i="17" s="1"/>
  <c r="R32" i="4"/>
  <c r="S31" i="4"/>
  <c r="C106" i="17" s="1"/>
  <c r="AG106" i="17" s="1"/>
  <c r="J16" i="1"/>
  <c r="S16" i="4" s="1"/>
  <c r="C91" i="17" s="1"/>
  <c r="S18" i="4"/>
  <c r="C93" i="17" s="1"/>
  <c r="AR93" i="17" s="1"/>
  <c r="T23" i="4"/>
  <c r="C166" i="17" s="1"/>
  <c r="S33" i="4"/>
  <c r="C108" i="17" s="1"/>
  <c r="T39" i="4"/>
  <c r="C182" i="17" s="1"/>
  <c r="S14" i="4"/>
  <c r="R14" i="4"/>
  <c r="R26" i="4"/>
  <c r="AA28" i="4"/>
  <c r="AC28" i="4"/>
  <c r="AL28" i="4" s="1"/>
  <c r="F35" i="17" s="1"/>
  <c r="S32" i="4"/>
  <c r="C107" i="17" s="1"/>
  <c r="AV107" i="17" s="1"/>
  <c r="R15" i="4"/>
  <c r="T15" i="4"/>
  <c r="C158" i="17" s="1"/>
  <c r="S15" i="4"/>
  <c r="C90" i="17" s="1"/>
  <c r="AU90" i="17" s="1"/>
  <c r="N38" i="2"/>
  <c r="T26" i="4"/>
  <c r="C169" i="17" s="1"/>
  <c r="S26" i="4"/>
  <c r="J7" i="1"/>
  <c r="R5" i="4"/>
  <c r="R18" i="4"/>
  <c r="C25" i="17" s="1"/>
  <c r="AU25" i="17" s="1"/>
  <c r="R23" i="4"/>
  <c r="C30" i="17" s="1"/>
  <c r="J27" i="1"/>
  <c r="D63" i="13" s="1"/>
  <c r="B20" i="5"/>
  <c r="C19" i="5"/>
  <c r="AD8" i="7"/>
  <c r="AD18" i="7"/>
  <c r="AD28" i="7"/>
  <c r="AD9" i="7"/>
  <c r="AD19" i="7"/>
  <c r="AD29" i="7"/>
  <c r="AD10" i="7"/>
  <c r="AD20" i="7"/>
  <c r="AD30" i="7"/>
  <c r="AD11" i="7"/>
  <c r="AD31" i="7"/>
  <c r="AD21" i="7"/>
  <c r="AD15" i="7"/>
  <c r="AD6" i="7"/>
  <c r="AD12" i="7"/>
  <c r="AD22" i="7"/>
  <c r="AD3" i="7"/>
  <c r="AT3" i="8"/>
  <c r="AU3" i="8" s="1"/>
  <c r="AD13" i="7"/>
  <c r="AD23" i="7"/>
  <c r="AD5" i="7"/>
  <c r="AD4" i="7"/>
  <c r="AD14" i="7"/>
  <c r="AD24" i="7"/>
  <c r="AD25" i="7"/>
  <c r="AD16" i="7"/>
  <c r="AD26" i="7"/>
  <c r="AD7" i="7"/>
  <c r="AD17" i="7"/>
  <c r="AD27" i="7"/>
  <c r="T31" i="4"/>
  <c r="C174" i="17" s="1"/>
  <c r="D67" i="13"/>
  <c r="M98" i="2"/>
  <c r="J6" i="1"/>
  <c r="L6" i="1"/>
  <c r="L17" i="1"/>
  <c r="J17" i="1"/>
  <c r="L20" i="1"/>
  <c r="J20" i="1"/>
  <c r="G98" i="2"/>
  <c r="R13" i="4"/>
  <c r="D49" i="13"/>
  <c r="R4" i="4"/>
  <c r="C11" i="17" s="1"/>
  <c r="AH11" i="17" s="1"/>
  <c r="D40" i="13"/>
  <c r="B98" i="2"/>
  <c r="I98" i="2"/>
  <c r="E23" i="3"/>
  <c r="R8" i="4"/>
  <c r="D44" i="13"/>
  <c r="P32" i="7"/>
  <c r="I150" i="13"/>
  <c r="I107" i="13"/>
  <c r="AC48" i="10"/>
  <c r="C71" i="13"/>
  <c r="AA33" i="4"/>
  <c r="D98" i="2"/>
  <c r="D33" i="3"/>
  <c r="R22" i="4"/>
  <c r="D58" i="13"/>
  <c r="D32" i="3"/>
  <c r="I12" i="1"/>
  <c r="K12" i="1" s="1"/>
  <c r="C14" i="5"/>
  <c r="B15" i="5"/>
  <c r="E7" i="3"/>
  <c r="B10" i="5"/>
  <c r="C9" i="5"/>
  <c r="N99" i="2"/>
  <c r="M99" i="2"/>
  <c r="C99" i="2"/>
  <c r="L99" i="2"/>
  <c r="B99" i="2"/>
  <c r="K99" i="2"/>
  <c r="I99" i="2"/>
  <c r="E99" i="2"/>
  <c r="J99" i="2"/>
  <c r="H99" i="2"/>
  <c r="G99" i="2"/>
  <c r="F99" i="2"/>
  <c r="D99" i="2"/>
  <c r="L18" i="2"/>
  <c r="AA19" i="4"/>
  <c r="T4" i="4"/>
  <c r="C147" i="17" s="1"/>
  <c r="AR147" i="17" s="1"/>
  <c r="T13" i="4"/>
  <c r="C156" i="17" s="1"/>
  <c r="AT156" i="17" s="1"/>
  <c r="AC19" i="4"/>
  <c r="S4" i="4"/>
  <c r="C79" i="17" s="1"/>
  <c r="AT79" i="17" s="1"/>
  <c r="S13" i="4"/>
  <c r="C88" i="17" s="1"/>
  <c r="L35" i="4"/>
  <c r="B178" i="17" s="1"/>
  <c r="R21" i="4"/>
  <c r="C28" i="17" s="1"/>
  <c r="S21" i="4"/>
  <c r="C96" i="17" s="1"/>
  <c r="T21" i="4"/>
  <c r="C164" i="17" s="1"/>
  <c r="R30" i="4"/>
  <c r="C37" i="17" s="1"/>
  <c r="AC37" i="17" s="1"/>
  <c r="S30" i="4"/>
  <c r="C105" i="17" s="1"/>
  <c r="AG105" i="17" s="1"/>
  <c r="T30" i="4"/>
  <c r="C173" i="17" s="1"/>
  <c r="AH173" i="17" s="1"/>
  <c r="AC11" i="4"/>
  <c r="AA11" i="4"/>
  <c r="AB11" i="4"/>
  <c r="T10" i="4"/>
  <c r="C153" i="17" s="1"/>
  <c r="R10" i="4"/>
  <c r="S10" i="4"/>
  <c r="R11" i="4"/>
  <c r="S11" i="4"/>
  <c r="C86" i="17" s="1"/>
  <c r="AD86" i="17" s="1"/>
  <c r="T11" i="4"/>
  <c r="C154" i="17" s="1"/>
  <c r="AR154" i="17" s="1"/>
  <c r="AB4" i="4"/>
  <c r="AC4" i="4"/>
  <c r="AA4" i="4"/>
  <c r="AC21" i="4"/>
  <c r="AB21" i="4"/>
  <c r="AA21" i="4"/>
  <c r="AA48" i="10"/>
  <c r="V48" i="10"/>
  <c r="AC47" i="10"/>
  <c r="AD48" i="10"/>
  <c r="X48" i="10"/>
  <c r="Y48" i="10"/>
  <c r="W47" i="10"/>
  <c r="Y47" i="10"/>
  <c r="W48" i="10"/>
  <c r="AB48" i="10"/>
  <c r="Z48" i="10"/>
  <c r="Z47" i="10"/>
  <c r="AA47" i="10"/>
  <c r="Y43" i="10"/>
  <c r="V47" i="10"/>
  <c r="X47" i="10"/>
  <c r="AE43" i="10"/>
  <c r="AD43" i="10"/>
  <c r="AB47" i="10"/>
  <c r="AC43" i="10"/>
  <c r="AE47" i="10"/>
  <c r="AC42" i="10"/>
  <c r="Z42" i="10"/>
  <c r="V43" i="10"/>
  <c r="V42" i="10"/>
  <c r="AB43" i="10"/>
  <c r="AE42" i="10"/>
  <c r="W42" i="10"/>
  <c r="W10" i="10"/>
  <c r="AB42" i="10"/>
  <c r="X42" i="10"/>
  <c r="AA43" i="10"/>
  <c r="Z43" i="10"/>
  <c r="V10" i="10"/>
  <c r="X43" i="10"/>
  <c r="AA10" i="10"/>
  <c r="T10" i="10"/>
  <c r="X10" i="10"/>
  <c r="AA42" i="10"/>
  <c r="AD42" i="10"/>
  <c r="AC46" i="10"/>
  <c r="AD46" i="10"/>
  <c r="AE46" i="10"/>
  <c r="W46" i="10"/>
  <c r="X46" i="10"/>
  <c r="V46" i="10"/>
  <c r="Y46" i="10"/>
  <c r="Z46" i="10"/>
  <c r="AA46" i="10"/>
  <c r="AB46" i="10"/>
  <c r="AA44" i="10"/>
  <c r="AB44" i="10"/>
  <c r="AC44" i="10"/>
  <c r="AD44" i="10"/>
  <c r="V44" i="10"/>
  <c r="AE44" i="10"/>
  <c r="W44" i="10"/>
  <c r="X44" i="10"/>
  <c r="Y44" i="10"/>
  <c r="Z44" i="10"/>
  <c r="W9" i="10"/>
  <c r="X41" i="10"/>
  <c r="V41" i="10"/>
  <c r="Y41" i="10"/>
  <c r="Z41" i="10"/>
  <c r="AA41" i="10"/>
  <c r="AB41" i="10"/>
  <c r="AC41" i="10"/>
  <c r="AD41" i="10"/>
  <c r="AE41" i="10"/>
  <c r="W41" i="10"/>
  <c r="W40" i="10"/>
  <c r="X40" i="10"/>
  <c r="Y40" i="10"/>
  <c r="Z40" i="10"/>
  <c r="AA40" i="10"/>
  <c r="AB40" i="10"/>
  <c r="AC40" i="10"/>
  <c r="AD40" i="10"/>
  <c r="AE40" i="10"/>
  <c r="V40" i="10"/>
  <c r="W49" i="10"/>
  <c r="X49" i="10"/>
  <c r="Y49" i="10"/>
  <c r="Z49" i="10"/>
  <c r="AA49" i="10"/>
  <c r="AB49" i="10"/>
  <c r="AC49" i="10"/>
  <c r="AD49" i="10"/>
  <c r="V49" i="10"/>
  <c r="AE49" i="10"/>
  <c r="Z10" i="10"/>
  <c r="Y10" i="10"/>
  <c r="AB45" i="10"/>
  <c r="AC45" i="10"/>
  <c r="AD45" i="10"/>
  <c r="AE45" i="10"/>
  <c r="V45" i="10"/>
  <c r="W45" i="10"/>
  <c r="X45" i="10"/>
  <c r="Y45" i="10"/>
  <c r="Z45" i="10"/>
  <c r="AA45" i="10"/>
  <c r="U10" i="10"/>
  <c r="Y14" i="10"/>
  <c r="T14" i="10"/>
  <c r="AA7" i="10"/>
  <c r="Y7" i="10"/>
  <c r="Z7" i="10"/>
  <c r="X7" i="10"/>
  <c r="Z13" i="10"/>
  <c r="Y13" i="10"/>
  <c r="T13" i="10"/>
  <c r="X14" i="10"/>
  <c r="V7" i="10"/>
  <c r="V14" i="10"/>
  <c r="V13" i="10"/>
  <c r="W14" i="10"/>
  <c r="W7" i="10"/>
  <c r="AA14" i="10"/>
  <c r="W13" i="10"/>
  <c r="X13" i="10"/>
  <c r="AA13" i="10"/>
  <c r="Y9" i="10"/>
  <c r="U8" i="10"/>
  <c r="T8" i="10"/>
  <c r="U14" i="10"/>
  <c r="X8" i="10"/>
  <c r="V8" i="10"/>
  <c r="U9" i="10"/>
  <c r="Z9" i="10"/>
  <c r="W8" i="10"/>
  <c r="X9" i="10"/>
  <c r="V9" i="10"/>
  <c r="AA8" i="10"/>
  <c r="Z8" i="10"/>
  <c r="AA9" i="10"/>
  <c r="Y11" i="10"/>
  <c r="Z11" i="10"/>
  <c r="AA11" i="10"/>
  <c r="T11" i="10"/>
  <c r="U11" i="10"/>
  <c r="X11" i="10"/>
  <c r="V11" i="10"/>
  <c r="W11" i="10"/>
  <c r="Z12" i="10"/>
  <c r="AA12" i="10"/>
  <c r="Y12" i="10"/>
  <c r="U12" i="10"/>
  <c r="V12" i="10"/>
  <c r="T12" i="10"/>
  <c r="W12" i="10"/>
  <c r="X12" i="10"/>
  <c r="C37" i="4"/>
  <c r="K36" i="4"/>
  <c r="B111" i="17" s="1"/>
  <c r="D38" i="4"/>
  <c r="B36" i="4"/>
  <c r="J36" i="4" s="1"/>
  <c r="B43" i="17" s="1"/>
  <c r="B39" i="4"/>
  <c r="J38" i="2"/>
  <c r="K38" i="2"/>
  <c r="N18" i="2"/>
  <c r="L38" i="2"/>
  <c r="M18" i="2"/>
  <c r="AL13" i="4" l="1"/>
  <c r="F20" i="17" s="1"/>
  <c r="C20" i="17"/>
  <c r="AQ174" i="17"/>
  <c r="AR174" i="17"/>
  <c r="AH174" i="17"/>
  <c r="AE174" i="17"/>
  <c r="AV174" i="17"/>
  <c r="AT174" i="17"/>
  <c r="AS174" i="17"/>
  <c r="AC174" i="17"/>
  <c r="AG174" i="17"/>
  <c r="AD174" i="17"/>
  <c r="AF174" i="17"/>
  <c r="AU174" i="17"/>
  <c r="AF169" i="17"/>
  <c r="AG169" i="17"/>
  <c r="AT169" i="17"/>
  <c r="AR169" i="17"/>
  <c r="AQ169" i="17"/>
  <c r="AH169" i="17"/>
  <c r="AS169" i="17"/>
  <c r="AV169" i="17"/>
  <c r="AC169" i="17"/>
  <c r="AE169" i="17"/>
  <c r="AU169" i="17"/>
  <c r="AD83" i="17"/>
  <c r="AR83" i="17"/>
  <c r="AV83" i="17"/>
  <c r="AE83" i="17"/>
  <c r="AU83" i="17"/>
  <c r="AQ83" i="17"/>
  <c r="AF83" i="17"/>
  <c r="AT83" i="17"/>
  <c r="AC83" i="17"/>
  <c r="AH83" i="17"/>
  <c r="AS83" i="17"/>
  <c r="AL11" i="4"/>
  <c r="F18" i="17" s="1"/>
  <c r="C18" i="17"/>
  <c r="AQ164" i="17"/>
  <c r="AD164" i="17"/>
  <c r="AT164" i="17"/>
  <c r="AE164" i="17"/>
  <c r="AH164" i="17"/>
  <c r="AS164" i="17"/>
  <c r="AC164" i="17"/>
  <c r="AR164" i="17"/>
  <c r="AV164" i="17"/>
  <c r="AG164" i="17"/>
  <c r="AF164" i="17"/>
  <c r="AD90" i="17"/>
  <c r="AQ90" i="17"/>
  <c r="AG90" i="17"/>
  <c r="AS90" i="17"/>
  <c r="AC90" i="17"/>
  <c r="AV90" i="17"/>
  <c r="AR90" i="17"/>
  <c r="AE90" i="17"/>
  <c r="AT90" i="17"/>
  <c r="AH90" i="17"/>
  <c r="AF90" i="17"/>
  <c r="AQ108" i="17"/>
  <c r="AD108" i="17"/>
  <c r="AU108" i="17"/>
  <c r="AR108" i="17"/>
  <c r="AH108" i="17"/>
  <c r="AS108" i="17"/>
  <c r="AT108" i="17"/>
  <c r="AE108" i="17"/>
  <c r="AF108" i="17"/>
  <c r="AC108" i="17"/>
  <c r="AG108" i="17"/>
  <c r="AK19" i="4"/>
  <c r="E26" i="17" s="1"/>
  <c r="C26" i="17"/>
  <c r="AL19" i="4"/>
  <c r="F26" i="17" s="1"/>
  <c r="AK24" i="4"/>
  <c r="E31" i="17" s="1"/>
  <c r="C31" i="17"/>
  <c r="AD94" i="17"/>
  <c r="AU94" i="17"/>
  <c r="AQ94" i="17"/>
  <c r="AV94" i="17"/>
  <c r="AG94" i="17"/>
  <c r="AH94" i="17"/>
  <c r="AS94" i="17"/>
  <c r="AC94" i="17"/>
  <c r="AE94" i="17"/>
  <c r="AT94" i="17"/>
  <c r="AF94" i="17"/>
  <c r="AH172" i="17"/>
  <c r="AE172" i="17"/>
  <c r="AC172" i="17"/>
  <c r="AS172" i="17"/>
  <c r="AR172" i="17"/>
  <c r="AD172" i="17"/>
  <c r="AG172" i="17"/>
  <c r="AU172" i="17"/>
  <c r="AV172" i="17"/>
  <c r="AT172" i="17"/>
  <c r="AF172" i="17"/>
  <c r="AT96" i="17"/>
  <c r="AE96" i="17"/>
  <c r="AC96" i="17"/>
  <c r="AS96" i="17"/>
  <c r="AH96" i="17"/>
  <c r="AQ96" i="17"/>
  <c r="AF96" i="17"/>
  <c r="AR96" i="17"/>
  <c r="AG96" i="17"/>
  <c r="AD96" i="17"/>
  <c r="AU96" i="17"/>
  <c r="AC158" i="17"/>
  <c r="AS158" i="17"/>
  <c r="AT158" i="17"/>
  <c r="AD158" i="17"/>
  <c r="AQ158" i="17"/>
  <c r="AV158" i="17"/>
  <c r="AF158" i="17"/>
  <c r="AR158" i="17"/>
  <c r="AU158" i="17"/>
  <c r="AG158" i="17"/>
  <c r="AT166" i="17"/>
  <c r="AG166" i="17"/>
  <c r="AV166" i="17"/>
  <c r="AR166" i="17"/>
  <c r="AD166" i="17"/>
  <c r="AU166" i="17"/>
  <c r="AS166" i="17"/>
  <c r="AQ166" i="17"/>
  <c r="AH166" i="17"/>
  <c r="AC166" i="17"/>
  <c r="AE166" i="17"/>
  <c r="AV108" i="17"/>
  <c r="AU164" i="17"/>
  <c r="AZ14" i="4"/>
  <c r="C89" i="17"/>
  <c r="AL8" i="4"/>
  <c r="F15" i="17" s="1"/>
  <c r="C15" i="17"/>
  <c r="AK15" i="4"/>
  <c r="E22" i="17" s="1"/>
  <c r="C22" i="17"/>
  <c r="AG167" i="17"/>
  <c r="AQ167" i="17"/>
  <c r="AD167" i="17"/>
  <c r="AU167" i="17"/>
  <c r="AV167" i="17"/>
  <c r="AR167" i="17"/>
  <c r="AT167" i="17"/>
  <c r="AF167" i="17"/>
  <c r="AH167" i="17"/>
  <c r="AE167" i="17"/>
  <c r="AF99" i="17"/>
  <c r="AC99" i="17"/>
  <c r="AE99" i="17"/>
  <c r="AT99" i="17"/>
  <c r="AS99" i="17"/>
  <c r="AQ99" i="17"/>
  <c r="AH99" i="17"/>
  <c r="AU99" i="17"/>
  <c r="AG99" i="17"/>
  <c r="AR99" i="17"/>
  <c r="AV99" i="17"/>
  <c r="AD169" i="17"/>
  <c r="AG28" i="17"/>
  <c r="AH28" i="17"/>
  <c r="AE28" i="17"/>
  <c r="AC28" i="17"/>
  <c r="AS28" i="17"/>
  <c r="AQ28" i="17"/>
  <c r="AD28" i="17"/>
  <c r="AU28" i="17"/>
  <c r="AR28" i="17"/>
  <c r="AV28" i="17"/>
  <c r="AF28" i="17"/>
  <c r="AQ153" i="17"/>
  <c r="AT153" i="17"/>
  <c r="AH153" i="17"/>
  <c r="AE153" i="17"/>
  <c r="AC153" i="17"/>
  <c r="AS153" i="17"/>
  <c r="AV153" i="17"/>
  <c r="AU153" i="17"/>
  <c r="AD153" i="17"/>
  <c r="AR153" i="17"/>
  <c r="AF153" i="17"/>
  <c r="AE158" i="17"/>
  <c r="AZ10" i="4"/>
  <c r="C85" i="17"/>
  <c r="AK10" i="4"/>
  <c r="E17" i="17" s="1"/>
  <c r="C17" i="17"/>
  <c r="AL22" i="4"/>
  <c r="F29" i="17" s="1"/>
  <c r="C29" i="17"/>
  <c r="AU93" i="17"/>
  <c r="AH93" i="17"/>
  <c r="AE93" i="17"/>
  <c r="AC93" i="17"/>
  <c r="AS93" i="17"/>
  <c r="AQ93" i="17"/>
  <c r="AT93" i="17"/>
  <c r="AF93" i="17"/>
  <c r="AD93" i="17"/>
  <c r="AG93" i="17"/>
  <c r="AV93" i="17"/>
  <c r="AH88" i="17"/>
  <c r="AE88" i="17"/>
  <c r="AC88" i="17"/>
  <c r="AS88" i="17"/>
  <c r="AT88" i="17"/>
  <c r="AD88" i="17"/>
  <c r="AQ88" i="17"/>
  <c r="AF88" i="17"/>
  <c r="AU88" i="17"/>
  <c r="AG88" i="17"/>
  <c r="AV88" i="17"/>
  <c r="AD99" i="17"/>
  <c r="AH158" i="17"/>
  <c r="AT28" i="17"/>
  <c r="AV96" i="17"/>
  <c r="AR88" i="17"/>
  <c r="AV106" i="17"/>
  <c r="AF11" i="17"/>
  <c r="AV176" i="17"/>
  <c r="AF37" i="17"/>
  <c r="AG156" i="17"/>
  <c r="AD107" i="17"/>
  <c r="AV86" i="17"/>
  <c r="AU154" i="17"/>
  <c r="AG148" i="17"/>
  <c r="AF80" i="17"/>
  <c r="AE79" i="17"/>
  <c r="AC79" i="17"/>
  <c r="AU103" i="17"/>
  <c r="AR173" i="17"/>
  <c r="AQ105" i="17"/>
  <c r="AD80" i="17"/>
  <c r="AF79" i="17"/>
  <c r="AG173" i="17"/>
  <c r="AU105" i="17"/>
  <c r="AQ80" i="17"/>
  <c r="AU79" i="17"/>
  <c r="AQ173" i="17"/>
  <c r="AC105" i="17"/>
  <c r="AL29" i="4"/>
  <c r="F36" i="17" s="1"/>
  <c r="C36" i="17"/>
  <c r="AW13" i="4"/>
  <c r="AS107" i="17"/>
  <c r="BB23" i="4"/>
  <c r="C98" i="17"/>
  <c r="BF18" i="4"/>
  <c r="AQ104" i="17"/>
  <c r="AE147" i="17"/>
  <c r="AC147" i="17"/>
  <c r="AU97" i="17"/>
  <c r="AF161" i="17"/>
  <c r="AS25" i="17"/>
  <c r="AT25" i="17"/>
  <c r="AH106" i="17"/>
  <c r="AR11" i="17"/>
  <c r="AQ176" i="17"/>
  <c r="AD171" i="17"/>
  <c r="AG35" i="17"/>
  <c r="AU37" i="17"/>
  <c r="AF156" i="17"/>
  <c r="AE107" i="17"/>
  <c r="AC107" i="17"/>
  <c r="AR86" i="17"/>
  <c r="AF154" i="17"/>
  <c r="AE148" i="17"/>
  <c r="AH148" i="17"/>
  <c r="AT80" i="17"/>
  <c r="AG79" i="17"/>
  <c r="AS103" i="17"/>
  <c r="AC103" i="17"/>
  <c r="AD173" i="17"/>
  <c r="AS105" i="17"/>
  <c r="AT105" i="17"/>
  <c r="K37" i="4"/>
  <c r="B112" i="17" s="1"/>
  <c r="AK5" i="4"/>
  <c r="E12" i="17" s="1"/>
  <c r="C12" i="17"/>
  <c r="AL32" i="4"/>
  <c r="F39" i="17" s="1"/>
  <c r="C39" i="17"/>
  <c r="BD18" i="4"/>
  <c r="AG104" i="17"/>
  <c r="AS147" i="17"/>
  <c r="AH147" i="17"/>
  <c r="AQ97" i="17"/>
  <c r="AU161" i="17"/>
  <c r="AE25" i="17"/>
  <c r="AH25" i="17"/>
  <c r="AS106" i="17"/>
  <c r="AC106" i="17"/>
  <c r="AU11" i="17"/>
  <c r="AD176" i="17"/>
  <c r="AG171" i="17"/>
  <c r="AS35" i="17"/>
  <c r="AC35" i="17"/>
  <c r="AV37" i="17"/>
  <c r="AQ156" i="17"/>
  <c r="AU107" i="17"/>
  <c r="AE86" i="17"/>
  <c r="AC86" i="17"/>
  <c r="AG154" i="17"/>
  <c r="AS148" i="17"/>
  <c r="AT148" i="17"/>
  <c r="AG80" i="17"/>
  <c r="AV79" i="17"/>
  <c r="AE103" i="17"/>
  <c r="AT103" i="17"/>
  <c r="AV173" i="17"/>
  <c r="AE105" i="17"/>
  <c r="AH105" i="17"/>
  <c r="AR25" i="17"/>
  <c r="AE106" i="17"/>
  <c r="AT106" i="17"/>
  <c r="AQ11" i="17"/>
  <c r="AC176" i="17"/>
  <c r="AV171" i="17"/>
  <c r="AE35" i="17"/>
  <c r="AH35" i="17"/>
  <c r="AQ37" i="17"/>
  <c r="AD156" i="17"/>
  <c r="AT107" i="17"/>
  <c r="AS86" i="17"/>
  <c r="AH86" i="17"/>
  <c r="AQ154" i="17"/>
  <c r="AV148" i="17"/>
  <c r="AS80" i="17"/>
  <c r="AC80" i="17"/>
  <c r="AQ79" i="17"/>
  <c r="AG103" i="17"/>
  <c r="AF173" i="17"/>
  <c r="AF105" i="17"/>
  <c r="AH30" i="17"/>
  <c r="AS30" i="17"/>
  <c r="AT30" i="17"/>
  <c r="AC30" i="17"/>
  <c r="AE30" i="17"/>
  <c r="AR30" i="17"/>
  <c r="AV30" i="17"/>
  <c r="AQ30" i="17"/>
  <c r="AU30" i="17"/>
  <c r="AG30" i="17"/>
  <c r="AF30" i="17"/>
  <c r="AD30" i="17"/>
  <c r="AH107" i="17"/>
  <c r="AL26" i="4"/>
  <c r="F33" i="17" s="1"/>
  <c r="C33" i="17"/>
  <c r="BA18" i="4"/>
  <c r="AT147" i="17"/>
  <c r="BB26" i="4"/>
  <c r="C101" i="17"/>
  <c r="AK14" i="4"/>
  <c r="E21" i="17" s="1"/>
  <c r="C21" i="17"/>
  <c r="BD14" i="4"/>
  <c r="C157" i="17"/>
  <c r="AV4" i="4"/>
  <c r="B40" i="13" s="1"/>
  <c r="AV25" i="17"/>
  <c r="AQ106" i="17"/>
  <c r="AV11" i="17"/>
  <c r="AS176" i="17"/>
  <c r="AH176" i="17"/>
  <c r="AE171" i="17"/>
  <c r="AG37" i="17"/>
  <c r="AV156" i="17"/>
  <c r="AG107" i="17"/>
  <c r="AT86" i="17"/>
  <c r="AS154" i="17"/>
  <c r="AH154" i="17"/>
  <c r="AU148" i="17"/>
  <c r="AE80" i="17"/>
  <c r="AH80" i="17"/>
  <c r="AR79" i="17"/>
  <c r="AQ103" i="17"/>
  <c r="AC173" i="17"/>
  <c r="AV105" i="17"/>
  <c r="AR106" i="17"/>
  <c r="AG11" i="17"/>
  <c r="AE176" i="17"/>
  <c r="AT176" i="17"/>
  <c r="AH37" i="17"/>
  <c r="AC156" i="17"/>
  <c r="AQ107" i="17"/>
  <c r="AU86" i="17"/>
  <c r="AE154" i="17"/>
  <c r="AC154" i="17"/>
  <c r="AR148" i="17"/>
  <c r="AV80" i="17"/>
  <c r="AD79" i="17"/>
  <c r="AF103" i="17"/>
  <c r="AS173" i="17"/>
  <c r="AT173" i="17"/>
  <c r="AR105" i="17"/>
  <c r="AE11" i="17"/>
  <c r="AS37" i="17"/>
  <c r="AE156" i="17"/>
  <c r="AE173" i="17"/>
  <c r="AW18" i="4"/>
  <c r="BF10" i="4"/>
  <c r="BB33" i="4"/>
  <c r="BF15" i="4"/>
  <c r="BF24" i="4"/>
  <c r="AV23" i="4"/>
  <c r="B59" i="13" s="1"/>
  <c r="AZ23" i="4"/>
  <c r="BE13" i="4"/>
  <c r="AZ22" i="4"/>
  <c r="BA22" i="4"/>
  <c r="BF26" i="4"/>
  <c r="AV22" i="4"/>
  <c r="B58" i="13" s="1"/>
  <c r="BD22" i="4"/>
  <c r="BB13" i="4"/>
  <c r="BE33" i="4"/>
  <c r="AC91" i="17"/>
  <c r="AF91" i="17"/>
  <c r="AE91" i="17"/>
  <c r="AQ91" i="17"/>
  <c r="AD91" i="17"/>
  <c r="AR91" i="17"/>
  <c r="AT91" i="17"/>
  <c r="AG91" i="17"/>
  <c r="AV91" i="17"/>
  <c r="AU91" i="17"/>
  <c r="AH91" i="17"/>
  <c r="AS91" i="17"/>
  <c r="AZ16" i="4"/>
  <c r="BB16" i="4"/>
  <c r="BA16" i="4"/>
  <c r="AZ15" i="4"/>
  <c r="AV18" i="4"/>
  <c r="B54" i="13" s="1"/>
  <c r="BE23" i="4"/>
  <c r="E52" i="13"/>
  <c r="AZ18" i="4"/>
  <c r="BA24" i="4"/>
  <c r="E69" i="13"/>
  <c r="BE18" i="4"/>
  <c r="AW22" i="4"/>
  <c r="BA23" i="4"/>
  <c r="BB18" i="4"/>
  <c r="AG6" i="4"/>
  <c r="AF6" i="4"/>
  <c r="AE6" i="4"/>
  <c r="E42" i="13" s="1"/>
  <c r="AX18" i="4"/>
  <c r="AE21" i="4"/>
  <c r="E57" i="13" s="1"/>
  <c r="AG21" i="4"/>
  <c r="BF21" i="4" s="1"/>
  <c r="AF21" i="4"/>
  <c r="BE21" i="4" s="1"/>
  <c r="BB15" i="4"/>
  <c r="Y39" i="4"/>
  <c r="Y44" i="4"/>
  <c r="AZ13" i="4"/>
  <c r="AG8" i="4"/>
  <c r="BF8" i="4" s="1"/>
  <c r="AF8" i="4"/>
  <c r="BE8" i="4" s="1"/>
  <c r="AE8" i="4"/>
  <c r="BD8" i="4" s="1"/>
  <c r="AV10" i="4"/>
  <c r="B46" i="13" s="1"/>
  <c r="BF13" i="4"/>
  <c r="AW23" i="4"/>
  <c r="BF33" i="4"/>
  <c r="AK11" i="4"/>
  <c r="E18" i="17" s="1"/>
  <c r="W7" i="4"/>
  <c r="X7" i="4"/>
  <c r="Y7" i="4"/>
  <c r="BA15" i="4"/>
  <c r="AW10" i="4"/>
  <c r="AL4" i="4"/>
  <c r="F11" i="17" s="1"/>
  <c r="BD13" i="4"/>
  <c r="AG19" i="4"/>
  <c r="AX19" i="4" s="1"/>
  <c r="AE19" i="4"/>
  <c r="AV19" i="4" s="1"/>
  <c r="B55" i="13" s="1"/>
  <c r="AF19" i="4"/>
  <c r="AW19" i="4" s="1"/>
  <c r="AL21" i="4"/>
  <c r="F28" i="17" s="1"/>
  <c r="AK23" i="4"/>
  <c r="E30" i="17" s="1"/>
  <c r="BB24" i="4"/>
  <c r="BD26" i="4"/>
  <c r="X30" i="4"/>
  <c r="Y30" i="4"/>
  <c r="W30" i="4"/>
  <c r="AX22" i="4"/>
  <c r="AL18" i="4"/>
  <c r="F25" i="17" s="1"/>
  <c r="AV13" i="4"/>
  <c r="B49" i="13" s="1"/>
  <c r="BE15" i="4"/>
  <c r="AE31" i="4"/>
  <c r="AV31" i="4" s="1"/>
  <c r="B67" i="13" s="1"/>
  <c r="AF31" i="4"/>
  <c r="AW31" i="4" s="1"/>
  <c r="AG31" i="4"/>
  <c r="AX31" i="4" s="1"/>
  <c r="AX10" i="4"/>
  <c r="AK4" i="4"/>
  <c r="E11" i="17" s="1"/>
  <c r="AW26" i="4"/>
  <c r="BD10" i="4"/>
  <c r="AK21" i="4"/>
  <c r="E28" i="17" s="1"/>
  <c r="AL23" i="4"/>
  <c r="F30" i="17" s="1"/>
  <c r="AZ24" i="4"/>
  <c r="BE26" i="4"/>
  <c r="R82" i="13"/>
  <c r="T44" i="4"/>
  <c r="C187" i="17" s="1"/>
  <c r="AK22" i="4"/>
  <c r="E29" i="17" s="1"/>
  <c r="AX13" i="4"/>
  <c r="BD15" i="4"/>
  <c r="AW24" i="4"/>
  <c r="AX14" i="4"/>
  <c r="BA26" i="4"/>
  <c r="AV26" i="4"/>
  <c r="B62" i="13" s="1"/>
  <c r="BE10" i="4"/>
  <c r="BE24" i="4"/>
  <c r="X10" i="4"/>
  <c r="Y10" i="4"/>
  <c r="W10" i="4"/>
  <c r="AK13" i="4"/>
  <c r="E20" i="17" s="1"/>
  <c r="BE14" i="4"/>
  <c r="AX24" i="4"/>
  <c r="AX15" i="4"/>
  <c r="BA14" i="4"/>
  <c r="AV14" i="4"/>
  <c r="B50" i="13" s="1"/>
  <c r="AZ26" i="4"/>
  <c r="AE28" i="4"/>
  <c r="E64" i="13" s="1"/>
  <c r="AF28" i="4"/>
  <c r="AG28" i="4"/>
  <c r="AX26" i="4"/>
  <c r="BD24" i="4"/>
  <c r="W27" i="4"/>
  <c r="Y27" i="4"/>
  <c r="X27" i="4"/>
  <c r="BF14" i="4"/>
  <c r="AV24" i="4"/>
  <c r="B60" i="13" s="1"/>
  <c r="AV15" i="4"/>
  <c r="B51" i="13" s="1"/>
  <c r="I41" i="15"/>
  <c r="I28" i="15"/>
  <c r="I27" i="15"/>
  <c r="I29" i="15"/>
  <c r="I30" i="15"/>
  <c r="I31" i="15"/>
  <c r="I32" i="15"/>
  <c r="BB14" i="4"/>
  <c r="AW14" i="4"/>
  <c r="AG17" i="4"/>
  <c r="AE17" i="4"/>
  <c r="E53" i="13" s="1"/>
  <c r="AF17" i="4"/>
  <c r="AK26" i="4"/>
  <c r="E33" i="17" s="1"/>
  <c r="AL24" i="4"/>
  <c r="F31" i="17" s="1"/>
  <c r="AW15" i="4"/>
  <c r="F19" i="15"/>
  <c r="G19" i="15" s="1"/>
  <c r="AL14" i="4"/>
  <c r="F21" i="17" s="1"/>
  <c r="D26" i="15"/>
  <c r="W54" i="15"/>
  <c r="O46" i="15"/>
  <c r="Y46" i="15"/>
  <c r="U47" i="15"/>
  <c r="Q48" i="15"/>
  <c r="AA48" i="15"/>
  <c r="W49" i="15"/>
  <c r="S50" i="15"/>
  <c r="O51" i="15"/>
  <c r="Y51" i="15"/>
  <c r="U52" i="15"/>
  <c r="Q53" i="15"/>
  <c r="AA53" i="15"/>
  <c r="X54" i="15"/>
  <c r="T55" i="15"/>
  <c r="P56" i="15"/>
  <c r="Z56" i="15"/>
  <c r="V57" i="15"/>
  <c r="R58" i="15"/>
  <c r="AB58" i="15"/>
  <c r="X59" i="15"/>
  <c r="T60" i="15"/>
  <c r="N48" i="15"/>
  <c r="N58" i="15"/>
  <c r="U53" i="15"/>
  <c r="AB59" i="15"/>
  <c r="S49" i="15"/>
  <c r="AB57" i="15"/>
  <c r="N54" i="15"/>
  <c r="P46" i="15"/>
  <c r="Z46" i="15"/>
  <c r="V47" i="15"/>
  <c r="R48" i="15"/>
  <c r="AB48" i="15"/>
  <c r="X49" i="15"/>
  <c r="T50" i="15"/>
  <c r="P51" i="15"/>
  <c r="Z51" i="15"/>
  <c r="V52" i="15"/>
  <c r="R53" i="15"/>
  <c r="AB53" i="15"/>
  <c r="Y54" i="15"/>
  <c r="U55" i="15"/>
  <c r="Q56" i="15"/>
  <c r="AA56" i="15"/>
  <c r="W57" i="15"/>
  <c r="S58" i="15"/>
  <c r="O59" i="15"/>
  <c r="Y59" i="15"/>
  <c r="U60" i="15"/>
  <c r="N49" i="15"/>
  <c r="N59" i="15"/>
  <c r="Y52" i="15"/>
  <c r="Y50" i="15"/>
  <c r="R57" i="15"/>
  <c r="P60" i="15"/>
  <c r="Q46" i="15"/>
  <c r="AA46" i="15"/>
  <c r="W47" i="15"/>
  <c r="S48" i="15"/>
  <c r="O49" i="15"/>
  <c r="Y49" i="15"/>
  <c r="U50" i="15"/>
  <c r="Q51" i="15"/>
  <c r="AA51" i="15"/>
  <c r="W52" i="15"/>
  <c r="S53" i="15"/>
  <c r="O54" i="15"/>
  <c r="Z54" i="15"/>
  <c r="V55" i="15"/>
  <c r="R56" i="15"/>
  <c r="AB56" i="15"/>
  <c r="X57" i="15"/>
  <c r="T58" i="15"/>
  <c r="P59" i="15"/>
  <c r="Z59" i="15"/>
  <c r="V60" i="15"/>
  <c r="N50" i="15"/>
  <c r="N60" i="15"/>
  <c r="W60" i="15"/>
  <c r="N46" i="15"/>
  <c r="T56" i="15"/>
  <c r="R59" i="15"/>
  <c r="N52" i="15"/>
  <c r="Y60" i="15"/>
  <c r="AA47" i="15"/>
  <c r="P55" i="15"/>
  <c r="R46" i="15"/>
  <c r="AB46" i="15"/>
  <c r="X47" i="15"/>
  <c r="T48" i="15"/>
  <c r="P49" i="15"/>
  <c r="Z49" i="15"/>
  <c r="V50" i="15"/>
  <c r="R51" i="15"/>
  <c r="AB51" i="15"/>
  <c r="X52" i="15"/>
  <c r="T53" i="15"/>
  <c r="P54" i="15"/>
  <c r="AA54" i="15"/>
  <c r="W55" i="15"/>
  <c r="S56" i="15"/>
  <c r="O57" i="15"/>
  <c r="Y57" i="15"/>
  <c r="U58" i="15"/>
  <c r="Q59" i="15"/>
  <c r="AA59" i="15"/>
  <c r="N51" i="15"/>
  <c r="X55" i="15"/>
  <c r="V58" i="15"/>
  <c r="O60" i="15"/>
  <c r="U46" i="15"/>
  <c r="AA52" i="15"/>
  <c r="Z55" i="15"/>
  <c r="S46" i="15"/>
  <c r="O47" i="15"/>
  <c r="Y47" i="15"/>
  <c r="U48" i="15"/>
  <c r="Q49" i="15"/>
  <c r="AA49" i="15"/>
  <c r="W50" i="15"/>
  <c r="S51" i="15"/>
  <c r="O52" i="15"/>
  <c r="AB54" i="15"/>
  <c r="P57" i="15"/>
  <c r="X60" i="15"/>
  <c r="N53" i="15"/>
  <c r="Q47" i="15"/>
  <c r="U51" i="15"/>
  <c r="W53" i="15"/>
  <c r="X58" i="15"/>
  <c r="T46" i="15"/>
  <c r="P47" i="15"/>
  <c r="Z47" i="15"/>
  <c r="V48" i="15"/>
  <c r="R49" i="15"/>
  <c r="AB49" i="15"/>
  <c r="X50" i="15"/>
  <c r="T51" i="15"/>
  <c r="P52" i="15"/>
  <c r="Z52" i="15"/>
  <c r="V53" i="15"/>
  <c r="R54" i="15"/>
  <c r="O55" i="15"/>
  <c r="Y55" i="15"/>
  <c r="U56" i="15"/>
  <c r="Q57" i="15"/>
  <c r="AA57" i="15"/>
  <c r="W58" i="15"/>
  <c r="S59" i="15"/>
  <c r="W48" i="15"/>
  <c r="Q52" i="15"/>
  <c r="S54" i="15"/>
  <c r="T59" i="15"/>
  <c r="V46" i="15"/>
  <c r="R47" i="15"/>
  <c r="AB47" i="15"/>
  <c r="X48" i="15"/>
  <c r="T49" i="15"/>
  <c r="P50" i="15"/>
  <c r="Z50" i="15"/>
  <c r="V51" i="15"/>
  <c r="R52" i="15"/>
  <c r="AB52" i="15"/>
  <c r="X53" i="15"/>
  <c r="T54" i="15"/>
  <c r="Q55" i="15"/>
  <c r="AA55" i="15"/>
  <c r="W56" i="15"/>
  <c r="S57" i="15"/>
  <c r="O58" i="15"/>
  <c r="Y58" i="15"/>
  <c r="U59" i="15"/>
  <c r="Q60" i="15"/>
  <c r="AA60" i="15"/>
  <c r="N55" i="15"/>
  <c r="W46" i="15"/>
  <c r="S47" i="15"/>
  <c r="O48" i="15"/>
  <c r="Y48" i="15"/>
  <c r="U49" i="15"/>
  <c r="Q50" i="15"/>
  <c r="AA50" i="15"/>
  <c r="W51" i="15"/>
  <c r="S52" i="15"/>
  <c r="O53" i="15"/>
  <c r="Y53" i="15"/>
  <c r="U54" i="15"/>
  <c r="R55" i="15"/>
  <c r="AB55" i="15"/>
  <c r="X56" i="15"/>
  <c r="T57" i="15"/>
  <c r="P58" i="15"/>
  <c r="Z58" i="15"/>
  <c r="V59" i="15"/>
  <c r="R60" i="15"/>
  <c r="AB60" i="15"/>
  <c r="N56" i="15"/>
  <c r="X46" i="15"/>
  <c r="T47" i="15"/>
  <c r="P48" i="15"/>
  <c r="Z48" i="15"/>
  <c r="V49" i="15"/>
  <c r="R50" i="15"/>
  <c r="AB50" i="15"/>
  <c r="X51" i="15"/>
  <c r="T52" i="15"/>
  <c r="P53" i="15"/>
  <c r="Z53" i="15"/>
  <c r="V54" i="15"/>
  <c r="S55" i="15"/>
  <c r="O56" i="15"/>
  <c r="Y56" i="15"/>
  <c r="U57" i="15"/>
  <c r="Q58" i="15"/>
  <c r="AA58" i="15"/>
  <c r="W59" i="15"/>
  <c r="S60" i="15"/>
  <c r="N47" i="15"/>
  <c r="N57" i="15"/>
  <c r="Q54" i="15"/>
  <c r="Z57" i="15"/>
  <c r="O50" i="15"/>
  <c r="V56" i="15"/>
  <c r="Z60" i="15"/>
  <c r="AL5" i="4"/>
  <c r="F12" i="17" s="1"/>
  <c r="AE30" i="4"/>
  <c r="E66" i="13" s="1"/>
  <c r="AF30" i="4"/>
  <c r="BE30" i="4" s="1"/>
  <c r="AG30" i="4"/>
  <c r="BB30" i="4" s="1"/>
  <c r="AZ33" i="4"/>
  <c r="BB22" i="4"/>
  <c r="AG4" i="4"/>
  <c r="BB4" i="4" s="1"/>
  <c r="AF4" i="4"/>
  <c r="BA4" i="4" s="1"/>
  <c r="AL15" i="4"/>
  <c r="F22" i="17" s="1"/>
  <c r="J30" i="15"/>
  <c r="J29" i="15"/>
  <c r="J27" i="15"/>
  <c r="J41" i="15"/>
  <c r="J28" i="15"/>
  <c r="J31" i="15"/>
  <c r="J32" i="15"/>
  <c r="AE11" i="4"/>
  <c r="AZ11" i="4" s="1"/>
  <c r="AF11" i="4"/>
  <c r="BA11" i="4" s="1"/>
  <c r="AG11" i="4"/>
  <c r="BB11" i="4" s="1"/>
  <c r="BF23" i="4"/>
  <c r="AF5" i="4"/>
  <c r="BA5" i="4" s="1"/>
  <c r="AG5" i="4"/>
  <c r="BF5" i="4" s="1"/>
  <c r="AE5" i="4"/>
  <c r="E41" i="13" s="1"/>
  <c r="BA10" i="4"/>
  <c r="BA33" i="4"/>
  <c r="N36" i="4"/>
  <c r="AK29" i="4"/>
  <c r="E36" i="17" s="1"/>
  <c r="W12" i="4"/>
  <c r="X12" i="4"/>
  <c r="Y12" i="4"/>
  <c r="Y16" i="4"/>
  <c r="X16" i="4"/>
  <c r="W16" i="4"/>
  <c r="AF32" i="4"/>
  <c r="BE32" i="4" s="1"/>
  <c r="AE32" i="4"/>
  <c r="BD32" i="4" s="1"/>
  <c r="AG32" i="4"/>
  <c r="BF32" i="4" s="1"/>
  <c r="BA13" i="4"/>
  <c r="AK8" i="4"/>
  <c r="E15" i="17" s="1"/>
  <c r="BD23" i="4"/>
  <c r="AK32" i="4"/>
  <c r="E39" i="17" s="1"/>
  <c r="BB10" i="4"/>
  <c r="AX23" i="4"/>
  <c r="AF29" i="4"/>
  <c r="BE29" i="4" s="1"/>
  <c r="AG29" i="4"/>
  <c r="BB29" i="4" s="1"/>
  <c r="AE29" i="4"/>
  <c r="E65" i="13" s="1"/>
  <c r="AF12" i="4"/>
  <c r="AG12" i="4"/>
  <c r="AE12" i="4"/>
  <c r="BD33" i="4"/>
  <c r="I34" i="15"/>
  <c r="H35" i="15"/>
  <c r="J34" i="15"/>
  <c r="R125" i="13"/>
  <c r="Q7" i="7"/>
  <c r="G38" i="4"/>
  <c r="O37" i="4"/>
  <c r="F38" i="4"/>
  <c r="R87" i="13"/>
  <c r="AB7" i="4"/>
  <c r="AC7" i="4"/>
  <c r="AA10" i="4"/>
  <c r="AA30" i="4"/>
  <c r="AB30" i="4"/>
  <c r="AK30" i="4" s="1"/>
  <c r="E37" i="17" s="1"/>
  <c r="AC30" i="4"/>
  <c r="AL30" i="4" s="1"/>
  <c r="F37" i="17" s="1"/>
  <c r="AC27" i="4"/>
  <c r="AA27" i="4"/>
  <c r="AB27" i="4"/>
  <c r="AA16" i="4"/>
  <c r="AC16" i="4"/>
  <c r="AC10" i="4"/>
  <c r="AL10" i="4" s="1"/>
  <c r="F17" i="17" s="1"/>
  <c r="D52" i="13"/>
  <c r="R16" i="4"/>
  <c r="C23" i="17" s="1"/>
  <c r="T16" i="4"/>
  <c r="C159" i="17" s="1"/>
  <c r="T27" i="4"/>
  <c r="C170" i="17" s="1"/>
  <c r="R27" i="4"/>
  <c r="C34" i="17" s="1"/>
  <c r="E43" i="13"/>
  <c r="E56" i="13"/>
  <c r="S27" i="4"/>
  <c r="C102" i="17" s="1"/>
  <c r="D43" i="13"/>
  <c r="S7" i="4"/>
  <c r="C82" i="17" s="1"/>
  <c r="T7" i="4"/>
  <c r="C150" i="17" s="1"/>
  <c r="R7" i="4"/>
  <c r="C14" i="17" s="1"/>
  <c r="E62" i="13"/>
  <c r="E51" i="13"/>
  <c r="AU9" i="8"/>
  <c r="AU22" i="8"/>
  <c r="AU25" i="8"/>
  <c r="AU19" i="8"/>
  <c r="AU4" i="8"/>
  <c r="AU29" i="8"/>
  <c r="AU5" i="8"/>
  <c r="AU7" i="8"/>
  <c r="AU30" i="8"/>
  <c r="AU13" i="8"/>
  <c r="AU17" i="8"/>
  <c r="AU24" i="8"/>
  <c r="AU23" i="8"/>
  <c r="AU27" i="8"/>
  <c r="AU10" i="8"/>
  <c r="AU6" i="8"/>
  <c r="AU15" i="8"/>
  <c r="AU11" i="8"/>
  <c r="AU16" i="8"/>
  <c r="AU8" i="8"/>
  <c r="AU21" i="8"/>
  <c r="AU26" i="8"/>
  <c r="AU18" i="8"/>
  <c r="AU31" i="8"/>
  <c r="AU20" i="8"/>
  <c r="AU28" i="8"/>
  <c r="AU12" i="8"/>
  <c r="AU14" i="8"/>
  <c r="I5" i="7"/>
  <c r="F80" i="13"/>
  <c r="F123" i="13"/>
  <c r="L12" i="1"/>
  <c r="J12" i="1"/>
  <c r="D42" i="13"/>
  <c r="R6" i="4"/>
  <c r="C13" i="17" s="1"/>
  <c r="S6" i="4"/>
  <c r="C81" i="17" s="1"/>
  <c r="T6" i="4"/>
  <c r="C149" i="17" s="1"/>
  <c r="I4" i="7"/>
  <c r="F122" i="13"/>
  <c r="F79" i="13"/>
  <c r="AA6" i="4"/>
  <c r="AB6" i="4"/>
  <c r="AC6" i="4"/>
  <c r="E32" i="3"/>
  <c r="E33" i="3"/>
  <c r="D56" i="13"/>
  <c r="S20" i="4"/>
  <c r="C95" i="17" s="1"/>
  <c r="T20" i="4"/>
  <c r="C163" i="17" s="1"/>
  <c r="R20" i="4"/>
  <c r="C27" i="17" s="1"/>
  <c r="AA20" i="4"/>
  <c r="AB20" i="4"/>
  <c r="AC20" i="4"/>
  <c r="B11" i="5"/>
  <c r="C10" i="5"/>
  <c r="D53" i="13"/>
  <c r="R17" i="4"/>
  <c r="C24" i="17" s="1"/>
  <c r="S17" i="4"/>
  <c r="C92" i="17" s="1"/>
  <c r="T17" i="4"/>
  <c r="C160" i="17" s="1"/>
  <c r="B4" i="7"/>
  <c r="C122" i="13"/>
  <c r="C79" i="13"/>
  <c r="AB17" i="4"/>
  <c r="AC17" i="4"/>
  <c r="AA17" i="4"/>
  <c r="E54" i="13"/>
  <c r="I9" i="1"/>
  <c r="K9" i="1" s="1"/>
  <c r="H7" i="3"/>
  <c r="I7" i="3" s="1"/>
  <c r="C15" i="5"/>
  <c r="B16" i="5"/>
  <c r="I25" i="1"/>
  <c r="K25" i="1" s="1"/>
  <c r="H23" i="3"/>
  <c r="I23" i="3" s="1"/>
  <c r="B21" i="5"/>
  <c r="C20" i="5"/>
  <c r="B37" i="4"/>
  <c r="J37" i="4" s="1"/>
  <c r="B44" i="17" s="1"/>
  <c r="B40" i="4"/>
  <c r="D39" i="4"/>
  <c r="AF92" i="17" l="1"/>
  <c r="AU92" i="17"/>
  <c r="AQ92" i="17"/>
  <c r="AD92" i="17"/>
  <c r="AV92" i="17"/>
  <c r="AG92" i="17"/>
  <c r="AT92" i="17"/>
  <c r="AS92" i="17"/>
  <c r="AC92" i="17"/>
  <c r="AE92" i="17"/>
  <c r="AH92" i="17"/>
  <c r="AR92" i="17"/>
  <c r="AU95" i="17"/>
  <c r="AR95" i="17"/>
  <c r="AT95" i="17"/>
  <c r="AS95" i="17"/>
  <c r="AC95" i="17"/>
  <c r="AE95" i="17"/>
  <c r="AH95" i="17"/>
  <c r="AG95" i="17"/>
  <c r="AQ95" i="17"/>
  <c r="AD95" i="17"/>
  <c r="AF95" i="17"/>
  <c r="AV95" i="17"/>
  <c r="AH149" i="17"/>
  <c r="AS149" i="17"/>
  <c r="AC149" i="17"/>
  <c r="AE149" i="17"/>
  <c r="AT149" i="17"/>
  <c r="AU149" i="17"/>
  <c r="AR149" i="17"/>
  <c r="AQ149" i="17"/>
  <c r="AD149" i="17"/>
  <c r="AG149" i="17"/>
  <c r="AV149" i="17"/>
  <c r="AF149" i="17"/>
  <c r="AR150" i="17"/>
  <c r="AF150" i="17"/>
  <c r="AT150" i="17"/>
  <c r="AV150" i="17"/>
  <c r="AQ150" i="17"/>
  <c r="AG150" i="17"/>
  <c r="AH150" i="17"/>
  <c r="AE150" i="17"/>
  <c r="AC150" i="17"/>
  <c r="AS150" i="17"/>
  <c r="AU150" i="17"/>
  <c r="AD150" i="17"/>
  <c r="AF157" i="17"/>
  <c r="AR157" i="17"/>
  <c r="AU157" i="17"/>
  <c r="AT157" i="17"/>
  <c r="AS157" i="17"/>
  <c r="AV157" i="17"/>
  <c r="AQ157" i="17"/>
  <c r="AD157" i="17"/>
  <c r="AC157" i="17"/>
  <c r="AH157" i="17"/>
  <c r="AE157" i="17"/>
  <c r="AG157" i="17"/>
  <c r="AD24" i="17"/>
  <c r="AV24" i="17"/>
  <c r="AC24" i="17"/>
  <c r="AE24" i="17"/>
  <c r="AH24" i="17"/>
  <c r="AS24" i="17"/>
  <c r="AR24" i="17"/>
  <c r="AF24" i="17"/>
  <c r="AQ24" i="17"/>
  <c r="AT24" i="17"/>
  <c r="AU24" i="17"/>
  <c r="AG24" i="17"/>
  <c r="AV81" i="17"/>
  <c r="AU81" i="17"/>
  <c r="AQ81" i="17"/>
  <c r="AH81" i="17"/>
  <c r="AS81" i="17"/>
  <c r="AC81" i="17"/>
  <c r="AE81" i="17"/>
  <c r="AF81" i="17"/>
  <c r="AT81" i="17"/>
  <c r="AG81" i="17"/>
  <c r="AD81" i="17"/>
  <c r="AR81" i="17"/>
  <c r="AQ82" i="17"/>
  <c r="AU82" i="17"/>
  <c r="AV82" i="17"/>
  <c r="AF82" i="17"/>
  <c r="AD82" i="17"/>
  <c r="AG82" i="17"/>
  <c r="AT82" i="17"/>
  <c r="AS82" i="17"/>
  <c r="AH82" i="17"/>
  <c r="AE82" i="17"/>
  <c r="AC82" i="17"/>
  <c r="AR82" i="17"/>
  <c r="AT17" i="17"/>
  <c r="AV17" i="17"/>
  <c r="AR17" i="17"/>
  <c r="AU17" i="17"/>
  <c r="AD17" i="17"/>
  <c r="AG17" i="17"/>
  <c r="AQ17" i="17"/>
  <c r="AF17" i="17"/>
  <c r="AC17" i="17"/>
  <c r="AE17" i="17"/>
  <c r="AH17" i="17"/>
  <c r="AS17" i="17"/>
  <c r="AG21" i="17"/>
  <c r="AR21" i="17"/>
  <c r="AH21" i="17"/>
  <c r="AS21" i="17"/>
  <c r="AC21" i="17"/>
  <c r="AE21" i="17"/>
  <c r="AV21" i="17"/>
  <c r="AT21" i="17"/>
  <c r="AQ21" i="17"/>
  <c r="AF21" i="17"/>
  <c r="AU21" i="17"/>
  <c r="AD21" i="17"/>
  <c r="AR22" i="17"/>
  <c r="AF22" i="17"/>
  <c r="AC22" i="17"/>
  <c r="AE22" i="17"/>
  <c r="AH22" i="17"/>
  <c r="AS22" i="17"/>
  <c r="AQ22" i="17"/>
  <c r="AD22" i="17"/>
  <c r="AV22" i="17"/>
  <c r="AU22" i="17"/>
  <c r="AG22" i="17"/>
  <c r="AT22" i="17"/>
  <c r="AR18" i="17"/>
  <c r="AF18" i="17"/>
  <c r="AQ18" i="17"/>
  <c r="AH18" i="17"/>
  <c r="AE18" i="17"/>
  <c r="AS18" i="17"/>
  <c r="AD18" i="17"/>
  <c r="AT18" i="17"/>
  <c r="AG18" i="17"/>
  <c r="AC18" i="17"/>
  <c r="AU18" i="17"/>
  <c r="AV18" i="17"/>
  <c r="AF85" i="17"/>
  <c r="AG85" i="17"/>
  <c r="AR85" i="17"/>
  <c r="AU85" i="17"/>
  <c r="AC85" i="17"/>
  <c r="AE85" i="17"/>
  <c r="AT85" i="17"/>
  <c r="AS85" i="17"/>
  <c r="AH85" i="17"/>
  <c r="AQ85" i="17"/>
  <c r="AD85" i="17"/>
  <c r="AV85" i="17"/>
  <c r="AD102" i="17"/>
  <c r="AU102" i="17"/>
  <c r="AH102" i="17"/>
  <c r="AE102" i="17"/>
  <c r="AC102" i="17"/>
  <c r="AS102" i="17"/>
  <c r="AT102" i="17"/>
  <c r="AV102" i="17"/>
  <c r="AR102" i="17"/>
  <c r="AQ102" i="17"/>
  <c r="AG102" i="17"/>
  <c r="AF102" i="17"/>
  <c r="AV101" i="17"/>
  <c r="AF101" i="17"/>
  <c r="AR101" i="17"/>
  <c r="AU101" i="17"/>
  <c r="AQ101" i="17"/>
  <c r="AG101" i="17"/>
  <c r="AC101" i="17"/>
  <c r="AD101" i="17"/>
  <c r="AS101" i="17"/>
  <c r="AH101" i="17"/>
  <c r="AE101" i="17"/>
  <c r="AT101" i="17"/>
  <c r="AT39" i="17"/>
  <c r="AQ39" i="17"/>
  <c r="AG39" i="17"/>
  <c r="AH39" i="17"/>
  <c r="AR39" i="17"/>
  <c r="AV39" i="17"/>
  <c r="AC39" i="17"/>
  <c r="AS39" i="17"/>
  <c r="AE39" i="17"/>
  <c r="AF39" i="17"/>
  <c r="AD39" i="17"/>
  <c r="AU39" i="17"/>
  <c r="AG15" i="17"/>
  <c r="AU15" i="17"/>
  <c r="AQ15" i="17"/>
  <c r="AC15" i="17"/>
  <c r="AV15" i="17"/>
  <c r="AF15" i="17"/>
  <c r="AS15" i="17"/>
  <c r="AH15" i="17"/>
  <c r="AE15" i="17"/>
  <c r="AT15" i="17"/>
  <c r="AR15" i="17"/>
  <c r="AD15" i="17"/>
  <c r="AH31" i="17"/>
  <c r="AE31" i="17"/>
  <c r="AR31" i="17"/>
  <c r="AV31" i="17"/>
  <c r="AG31" i="17"/>
  <c r="AF31" i="17"/>
  <c r="AD31" i="17"/>
  <c r="AT31" i="17"/>
  <c r="AU31" i="17"/>
  <c r="AQ31" i="17"/>
  <c r="AC31" i="17"/>
  <c r="AS31" i="17"/>
  <c r="AR98" i="17"/>
  <c r="AG98" i="17"/>
  <c r="AD98" i="17"/>
  <c r="AQ98" i="17"/>
  <c r="AV98" i="17"/>
  <c r="AF98" i="17"/>
  <c r="AC98" i="17"/>
  <c r="AS98" i="17"/>
  <c r="AH98" i="17"/>
  <c r="AE98" i="17"/>
  <c r="AU98" i="17"/>
  <c r="AT98" i="17"/>
  <c r="AF34" i="17"/>
  <c r="AR34" i="17"/>
  <c r="AG34" i="17"/>
  <c r="AU34" i="17"/>
  <c r="AV34" i="17"/>
  <c r="AQ34" i="17"/>
  <c r="AD34" i="17"/>
  <c r="AT34" i="17"/>
  <c r="AE34" i="17"/>
  <c r="AS34" i="17"/>
  <c r="AH34" i="17"/>
  <c r="AC34" i="17"/>
  <c r="AG12" i="17"/>
  <c r="AQ12" i="17"/>
  <c r="AF12" i="17"/>
  <c r="AT12" i="17"/>
  <c r="AD12" i="17"/>
  <c r="AV12" i="17"/>
  <c r="AR12" i="17"/>
  <c r="AE12" i="17"/>
  <c r="AS12" i="17"/>
  <c r="AU12" i="17"/>
  <c r="AH12" i="17"/>
  <c r="AC12" i="17"/>
  <c r="AV89" i="17"/>
  <c r="AU89" i="17"/>
  <c r="AF89" i="17"/>
  <c r="AH89" i="17"/>
  <c r="AQ89" i="17"/>
  <c r="AR89" i="17"/>
  <c r="AS89" i="17"/>
  <c r="AT89" i="17"/>
  <c r="AC89" i="17"/>
  <c r="AE89" i="17"/>
  <c r="AD89" i="17"/>
  <c r="AG89" i="17"/>
  <c r="AF13" i="17"/>
  <c r="AV13" i="17"/>
  <c r="AG13" i="17"/>
  <c r="AR13" i="17"/>
  <c r="AQ13" i="17"/>
  <c r="AT13" i="17"/>
  <c r="AC13" i="17"/>
  <c r="AH13" i="17"/>
  <c r="AS13" i="17"/>
  <c r="AE13" i="17"/>
  <c r="AU13" i="17"/>
  <c r="AD13" i="17"/>
  <c r="AC170" i="17"/>
  <c r="AE170" i="17"/>
  <c r="AT170" i="17"/>
  <c r="AS170" i="17"/>
  <c r="AH170" i="17"/>
  <c r="AG170" i="17"/>
  <c r="AD170" i="17"/>
  <c r="AV170" i="17"/>
  <c r="AQ170" i="17"/>
  <c r="AU170" i="17"/>
  <c r="AF170" i="17"/>
  <c r="AR170" i="17"/>
  <c r="AT26" i="17"/>
  <c r="AG26" i="17"/>
  <c r="AF26" i="17"/>
  <c r="AU26" i="17"/>
  <c r="AD26" i="17"/>
  <c r="AR26" i="17"/>
  <c r="AV26" i="17"/>
  <c r="AQ26" i="17"/>
  <c r="AC26" i="17"/>
  <c r="AE26" i="17"/>
  <c r="AS26" i="17"/>
  <c r="AH26" i="17"/>
  <c r="AG27" i="17"/>
  <c r="AU27" i="17"/>
  <c r="AT27" i="17"/>
  <c r="AD27" i="17"/>
  <c r="AQ27" i="17"/>
  <c r="AH27" i="17"/>
  <c r="AS27" i="17"/>
  <c r="AC27" i="17"/>
  <c r="AE27" i="17"/>
  <c r="AV27" i="17"/>
  <c r="AR27" i="17"/>
  <c r="AF27" i="17"/>
  <c r="R130" i="13"/>
  <c r="AV33" i="17"/>
  <c r="AQ33" i="17"/>
  <c r="AU33" i="17"/>
  <c r="AT33" i="17"/>
  <c r="AC33" i="17"/>
  <c r="AG33" i="17"/>
  <c r="AE33" i="17"/>
  <c r="AF33" i="17"/>
  <c r="AS33" i="17"/>
  <c r="AD33" i="17"/>
  <c r="AH33" i="17"/>
  <c r="AR33" i="17"/>
  <c r="AG20" i="17"/>
  <c r="AU20" i="17"/>
  <c r="AT20" i="17"/>
  <c r="AQ20" i="17"/>
  <c r="AV20" i="17"/>
  <c r="AR20" i="17"/>
  <c r="AF20" i="17"/>
  <c r="AD20" i="17"/>
  <c r="AH20" i="17"/>
  <c r="AS20" i="17"/>
  <c r="AC20" i="17"/>
  <c r="AE20" i="17"/>
  <c r="AF160" i="17"/>
  <c r="AH160" i="17"/>
  <c r="AE160" i="17"/>
  <c r="AC160" i="17"/>
  <c r="AS160" i="17"/>
  <c r="AD160" i="17"/>
  <c r="AT160" i="17"/>
  <c r="AG160" i="17"/>
  <c r="AV160" i="17"/>
  <c r="AU160" i="17"/>
  <c r="AR160" i="17"/>
  <c r="AQ160" i="17"/>
  <c r="AF163" i="17"/>
  <c r="AQ163" i="17"/>
  <c r="AD163" i="17"/>
  <c r="AG163" i="17"/>
  <c r="AR163" i="17"/>
  <c r="AV163" i="17"/>
  <c r="AT163" i="17"/>
  <c r="AU163" i="17"/>
  <c r="AC163" i="17"/>
  <c r="AS163" i="17"/>
  <c r="AH163" i="17"/>
  <c r="AE163" i="17"/>
  <c r="AC14" i="17"/>
  <c r="AE14" i="17"/>
  <c r="AH14" i="17"/>
  <c r="AS14" i="17"/>
  <c r="AU14" i="17"/>
  <c r="AG14" i="17"/>
  <c r="AD14" i="17"/>
  <c r="AR14" i="17"/>
  <c r="AT14" i="17"/>
  <c r="AF14" i="17"/>
  <c r="AQ14" i="17"/>
  <c r="AV14" i="17"/>
  <c r="AC36" i="17"/>
  <c r="AS36" i="17"/>
  <c r="AH36" i="17"/>
  <c r="AE36" i="17"/>
  <c r="AF36" i="17"/>
  <c r="AQ36" i="17"/>
  <c r="AD36" i="17"/>
  <c r="AU36" i="17"/>
  <c r="AT36" i="17"/>
  <c r="AV36" i="17"/>
  <c r="AR36" i="17"/>
  <c r="AG36" i="17"/>
  <c r="AD29" i="17"/>
  <c r="AU29" i="17"/>
  <c r="AV29" i="17"/>
  <c r="AC29" i="17"/>
  <c r="AS29" i="17"/>
  <c r="AQ29" i="17"/>
  <c r="AT29" i="17"/>
  <c r="AE29" i="17"/>
  <c r="AH29" i="17"/>
  <c r="AR29" i="17"/>
  <c r="AG29" i="17"/>
  <c r="AF29" i="17"/>
  <c r="E47" i="13"/>
  <c r="E67" i="13"/>
  <c r="AX8" i="4"/>
  <c r="AZ8" i="4"/>
  <c r="BE11" i="4"/>
  <c r="AV8" i="4"/>
  <c r="B44" i="13" s="1"/>
  <c r="AW4" i="4"/>
  <c r="AX21" i="4"/>
  <c r="AZ31" i="4"/>
  <c r="AF159" i="17"/>
  <c r="AE159" i="17"/>
  <c r="AD159" i="17"/>
  <c r="AC159" i="17"/>
  <c r="AG159" i="17"/>
  <c r="AS159" i="17"/>
  <c r="AH159" i="17"/>
  <c r="AQ159" i="17"/>
  <c r="AU159" i="17"/>
  <c r="AR159" i="17"/>
  <c r="AV159" i="17"/>
  <c r="AT159" i="17"/>
  <c r="AV23" i="17"/>
  <c r="AT23" i="17"/>
  <c r="AD23" i="17"/>
  <c r="AU23" i="17"/>
  <c r="AS23" i="17"/>
  <c r="AG23" i="17"/>
  <c r="AQ23" i="17"/>
  <c r="AE23" i="17"/>
  <c r="AR23" i="17"/>
  <c r="AH23" i="17"/>
  <c r="AF23" i="17"/>
  <c r="AC23" i="17"/>
  <c r="BD29" i="4"/>
  <c r="BD30" i="4"/>
  <c r="AV30" i="4"/>
  <c r="B66" i="13" s="1"/>
  <c r="AW30" i="4"/>
  <c r="AW11" i="4"/>
  <c r="AV11" i="4"/>
  <c r="B47" i="13" s="1"/>
  <c r="AW32" i="4"/>
  <c r="AV29" i="4"/>
  <c r="B65" i="13" s="1"/>
  <c r="E68" i="13"/>
  <c r="BB32" i="4"/>
  <c r="AZ5" i="4"/>
  <c r="AZ29" i="4"/>
  <c r="AX11" i="4"/>
  <c r="AX30" i="4"/>
  <c r="BA31" i="4"/>
  <c r="E44" i="13"/>
  <c r="AV21" i="4"/>
  <c r="B57" i="13" s="1"/>
  <c r="BB5" i="4"/>
  <c r="AZ30" i="4"/>
  <c r="BB21" i="4"/>
  <c r="V25" i="15"/>
  <c r="P33" i="15"/>
  <c r="N28" i="15"/>
  <c r="P25" i="15"/>
  <c r="U32" i="15"/>
  <c r="AB27" i="15"/>
  <c r="Q38" i="15"/>
  <c r="Q33" i="15"/>
  <c r="U39" i="15"/>
  <c r="AA26" i="15"/>
  <c r="AA37" i="15"/>
  <c r="N27" i="15"/>
  <c r="AA34" i="15"/>
  <c r="Y25" i="15"/>
  <c r="AB35" i="15"/>
  <c r="S35" i="15"/>
  <c r="AA38" i="15"/>
  <c r="S28" i="15"/>
  <c r="U36" i="15"/>
  <c r="S29" i="15"/>
  <c r="AA39" i="15"/>
  <c r="R38" i="15"/>
  <c r="P30" i="15"/>
  <c r="AB30" i="15"/>
  <c r="AB28" i="15"/>
  <c r="T37" i="15"/>
  <c r="V27" i="15"/>
  <c r="V30" i="15"/>
  <c r="R35" i="15"/>
  <c r="W26" i="15"/>
  <c r="R34" i="15"/>
  <c r="P29" i="15"/>
  <c r="Y26" i="15"/>
  <c r="Q37" i="15"/>
  <c r="S38" i="15"/>
  <c r="O32" i="15"/>
  <c r="Z31" i="15"/>
  <c r="Q35" i="15"/>
  <c r="O36" i="15"/>
  <c r="AA31" i="15"/>
  <c r="U35" i="15"/>
  <c r="Z38" i="15"/>
  <c r="N25" i="15"/>
  <c r="Q27" i="15"/>
  <c r="T27" i="15"/>
  <c r="Z37" i="15"/>
  <c r="Z39" i="15"/>
  <c r="R32" i="15"/>
  <c r="W30" i="15"/>
  <c r="Z30" i="15"/>
  <c r="X29" i="15"/>
  <c r="V26" i="15"/>
  <c r="Z33" i="15"/>
  <c r="W29" i="15"/>
  <c r="Z25" i="15"/>
  <c r="T33" i="15"/>
  <c r="AA28" i="15"/>
  <c r="W25" i="15"/>
  <c r="AA33" i="15"/>
  <c r="S33" i="15"/>
  <c r="AA27" i="15"/>
  <c r="O39" i="15"/>
  <c r="X27" i="15"/>
  <c r="P35" i="15"/>
  <c r="O26" i="15"/>
  <c r="AA36" i="15"/>
  <c r="R36" i="15"/>
  <c r="S26" i="15"/>
  <c r="W35" i="15"/>
  <c r="Q39" i="15"/>
  <c r="N34" i="15"/>
  <c r="O34" i="15"/>
  <c r="P26" i="15"/>
  <c r="O30" i="15"/>
  <c r="P34" i="15"/>
  <c r="Z28" i="15"/>
  <c r="Z35" i="15"/>
  <c r="O38" i="15"/>
  <c r="R30" i="15"/>
  <c r="U26" i="15"/>
  <c r="AB39" i="15"/>
  <c r="Z34" i="15"/>
  <c r="N39" i="15"/>
  <c r="T28" i="15"/>
  <c r="N33" i="15"/>
  <c r="T30" i="15"/>
  <c r="S32" i="15"/>
  <c r="R27" i="15"/>
  <c r="P28" i="15"/>
  <c r="S36" i="15"/>
  <c r="Z29" i="15"/>
  <c r="T39" i="15"/>
  <c r="W28" i="15"/>
  <c r="V34" i="15"/>
  <c r="Y29" i="15"/>
  <c r="O27" i="15"/>
  <c r="R29" i="15"/>
  <c r="Y31" i="15"/>
  <c r="N36" i="15"/>
  <c r="X37" i="15"/>
  <c r="V35" i="15"/>
  <c r="U33" i="15"/>
  <c r="Q28" i="15"/>
  <c r="U38" i="15"/>
  <c r="X39" i="15"/>
  <c r="T25" i="15"/>
  <c r="AB26" i="15"/>
  <c r="U28" i="15"/>
  <c r="Y34" i="15"/>
  <c r="U31" i="15"/>
  <c r="Z26" i="15"/>
  <c r="Q36" i="15"/>
  <c r="N31" i="15"/>
  <c r="W27" i="15"/>
  <c r="X31" i="15"/>
  <c r="V29" i="15"/>
  <c r="P38" i="15"/>
  <c r="C26" i="15"/>
  <c r="U34" i="15"/>
  <c r="V32" i="15"/>
  <c r="AB34" i="15"/>
  <c r="P31" i="15"/>
  <c r="X25" i="15"/>
  <c r="V36" i="15"/>
  <c r="N29" i="15"/>
  <c r="V39" i="15"/>
  <c r="AB38" i="15"/>
  <c r="W39" i="15"/>
  <c r="T29" i="15"/>
  <c r="N35" i="15"/>
  <c r="T32" i="15"/>
  <c r="P27" i="15"/>
  <c r="P37" i="15"/>
  <c r="W32" i="15"/>
  <c r="V28" i="15"/>
  <c r="O35" i="15"/>
  <c r="P36" i="15"/>
  <c r="X30" i="15"/>
  <c r="AB37" i="15"/>
  <c r="U30" i="15"/>
  <c r="Y36" i="15"/>
  <c r="Y27" i="15"/>
  <c r="Q25" i="15"/>
  <c r="Y39" i="15"/>
  <c r="O33" i="15"/>
  <c r="S27" i="15"/>
  <c r="AA30" i="15"/>
  <c r="AA29" i="15"/>
  <c r="Q31" i="15"/>
  <c r="U25" i="15"/>
  <c r="U27" i="15"/>
  <c r="Y37" i="15"/>
  <c r="T26" i="15"/>
  <c r="Z36" i="15"/>
  <c r="Q29" i="15"/>
  <c r="X38" i="15"/>
  <c r="T34" i="15"/>
  <c r="R39" i="15"/>
  <c r="AA32" i="15"/>
  <c r="AA25" i="15"/>
  <c r="AB36" i="15"/>
  <c r="S34" i="15"/>
  <c r="W33" i="15"/>
  <c r="Z32" i="15"/>
  <c r="S30" i="15"/>
  <c r="X35" i="15"/>
  <c r="AA35" i="15"/>
  <c r="Z27" i="15"/>
  <c r="Y38" i="15"/>
  <c r="V33" i="15"/>
  <c r="U29" i="15"/>
  <c r="Y35" i="15"/>
  <c r="O37" i="15"/>
  <c r="W31" i="15"/>
  <c r="P39" i="15"/>
  <c r="T31" i="15"/>
  <c r="N37" i="15"/>
  <c r="X28" i="15"/>
  <c r="Q26" i="15"/>
  <c r="R26" i="15"/>
  <c r="T36" i="15"/>
  <c r="X34" i="15"/>
  <c r="N32" i="15"/>
  <c r="P32" i="15"/>
  <c r="S37" i="15"/>
  <c r="O31" i="15"/>
  <c r="Q30" i="15"/>
  <c r="W36" i="15"/>
  <c r="X33" i="15"/>
  <c r="W38" i="15"/>
  <c r="Y32" i="15"/>
  <c r="AB25" i="15"/>
  <c r="N26" i="15"/>
  <c r="AB29" i="15"/>
  <c r="AB32" i="15"/>
  <c r="X26" i="15"/>
  <c r="N30" i="15"/>
  <c r="S25" i="15"/>
  <c r="R31" i="15"/>
  <c r="O28" i="15"/>
  <c r="V31" i="15"/>
  <c r="Y33" i="15"/>
  <c r="S39" i="15"/>
  <c r="Q32" i="15"/>
  <c r="O29" i="15"/>
  <c r="R37" i="15"/>
  <c r="O25" i="15"/>
  <c r="R28" i="15"/>
  <c r="U37" i="15"/>
  <c r="AB31" i="15"/>
  <c r="V37" i="15"/>
  <c r="N38" i="15"/>
  <c r="Y28" i="15"/>
  <c r="R25" i="15"/>
  <c r="T35" i="15"/>
  <c r="S31" i="15"/>
  <c r="X36" i="15"/>
  <c r="R33" i="15"/>
  <c r="W34" i="15"/>
  <c r="W37" i="15"/>
  <c r="AB33" i="15"/>
  <c r="T38" i="15"/>
  <c r="V38" i="15"/>
  <c r="Q34" i="15"/>
  <c r="Y30" i="15"/>
  <c r="X32" i="15"/>
  <c r="W25" i="4"/>
  <c r="Y25" i="4"/>
  <c r="X25" i="4"/>
  <c r="BF20" i="4"/>
  <c r="BD20" i="4"/>
  <c r="BE20" i="4"/>
  <c r="BF16" i="4"/>
  <c r="BE16" i="4"/>
  <c r="BD16" i="4"/>
  <c r="AX32" i="4"/>
  <c r="BF11" i="4"/>
  <c r="AX29" i="4"/>
  <c r="AW29" i="4"/>
  <c r="BE4" i="4"/>
  <c r="AZ32" i="4"/>
  <c r="BD21" i="4"/>
  <c r="BA6" i="4"/>
  <c r="AZ6" i="4"/>
  <c r="BB6" i="4"/>
  <c r="BE17" i="4"/>
  <c r="BD17" i="4"/>
  <c r="BF17" i="4"/>
  <c r="AW6" i="4"/>
  <c r="AX6" i="4"/>
  <c r="AV6" i="4"/>
  <c r="B42" i="13" s="1"/>
  <c r="AL6" i="4"/>
  <c r="F13" i="17" s="1"/>
  <c r="AK6" i="4"/>
  <c r="E13" i="17" s="1"/>
  <c r="AL7" i="4"/>
  <c r="F14" i="17" s="1"/>
  <c r="AK7" i="4"/>
  <c r="E14" i="17" s="1"/>
  <c r="AW7" i="4"/>
  <c r="AX7" i="4"/>
  <c r="AV7" i="4"/>
  <c r="B43" i="13" s="1"/>
  <c r="AX16" i="4"/>
  <c r="AV16" i="4"/>
  <c r="B52" i="13" s="1"/>
  <c r="AL16" i="4"/>
  <c r="F23" i="17" s="1"/>
  <c r="AK16" i="4"/>
  <c r="E23" i="17" s="1"/>
  <c r="AW16" i="4"/>
  <c r="AV5" i="4"/>
  <c r="B41" i="13" s="1"/>
  <c r="AX5" i="4"/>
  <c r="BB31" i="4"/>
  <c r="BF19" i="4"/>
  <c r="BB19" i="4"/>
  <c r="BA8" i="4"/>
  <c r="BD31" i="4"/>
  <c r="BA19" i="4"/>
  <c r="BE19" i="4"/>
  <c r="BD4" i="4"/>
  <c r="W9" i="4"/>
  <c r="Y9" i="4"/>
  <c r="X9" i="4"/>
  <c r="BB17" i="4"/>
  <c r="AZ17" i="4"/>
  <c r="BA17" i="4"/>
  <c r="BD7" i="4"/>
  <c r="BE7" i="4"/>
  <c r="BF7" i="4"/>
  <c r="BF29" i="4"/>
  <c r="AW5" i="4"/>
  <c r="AX4" i="4"/>
  <c r="BB8" i="4"/>
  <c r="BF6" i="4"/>
  <c r="BE6" i="4"/>
  <c r="BD6" i="4"/>
  <c r="AL17" i="4"/>
  <c r="F24" i="17" s="1"/>
  <c r="AK17" i="4"/>
  <c r="E24" i="17" s="1"/>
  <c r="AW17" i="4"/>
  <c r="AV17" i="4"/>
  <c r="B53" i="13" s="1"/>
  <c r="AX17" i="4"/>
  <c r="AZ7" i="4"/>
  <c r="BA7" i="4"/>
  <c r="BB7" i="4"/>
  <c r="BA30" i="4"/>
  <c r="AZ21" i="4"/>
  <c r="BF4" i="4"/>
  <c r="BA29" i="4"/>
  <c r="BD11" i="4"/>
  <c r="AZ20" i="4"/>
  <c r="BB20" i="4"/>
  <c r="BA20" i="4"/>
  <c r="AV32" i="4"/>
  <c r="B68" i="13" s="1"/>
  <c r="BE5" i="4"/>
  <c r="BE31" i="4"/>
  <c r="BB28" i="4"/>
  <c r="AX28" i="4"/>
  <c r="BF28" i="4"/>
  <c r="Z40" i="4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BD5" i="4"/>
  <c r="AZ19" i="4"/>
  <c r="BD19" i="4"/>
  <c r="E55" i="13"/>
  <c r="AZ27" i="4"/>
  <c r="BA27" i="4"/>
  <c r="BB27" i="4"/>
  <c r="BA28" i="4"/>
  <c r="BE28" i="4"/>
  <c r="AW28" i="4"/>
  <c r="BF31" i="4"/>
  <c r="BA32" i="4"/>
  <c r="AW21" i="4"/>
  <c r="AZ4" i="4"/>
  <c r="E40" i="13"/>
  <c r="D30" i="15"/>
  <c r="D38" i="15"/>
  <c r="D41" i="15"/>
  <c r="D40" i="15"/>
  <c r="D37" i="15"/>
  <c r="D34" i="15"/>
  <c r="D27" i="15"/>
  <c r="D35" i="15"/>
  <c r="D29" i="15"/>
  <c r="D31" i="15"/>
  <c r="D39" i="15"/>
  <c r="D36" i="15"/>
  <c r="D32" i="15"/>
  <c r="D28" i="15"/>
  <c r="D33" i="15"/>
  <c r="AZ28" i="4"/>
  <c r="AV28" i="4"/>
  <c r="B64" i="13" s="1"/>
  <c r="BD28" i="4"/>
  <c r="Q12" i="7"/>
  <c r="BF30" i="4"/>
  <c r="AL27" i="4"/>
  <c r="F34" i="17" s="1"/>
  <c r="AK27" i="4"/>
  <c r="E34" i="17" s="1"/>
  <c r="AV27" i="4"/>
  <c r="B63" i="13" s="1"/>
  <c r="AX27" i="4"/>
  <c r="AW27" i="4"/>
  <c r="AW8" i="4"/>
  <c r="AK20" i="4"/>
  <c r="E27" i="17" s="1"/>
  <c r="AW20" i="4"/>
  <c r="AX20" i="4"/>
  <c r="AV20" i="4"/>
  <c r="B56" i="13" s="1"/>
  <c r="AL20" i="4"/>
  <c r="F27" i="17" s="1"/>
  <c r="BF27" i="4"/>
  <c r="BE27" i="4"/>
  <c r="BD27" i="4"/>
  <c r="U40" i="4"/>
  <c r="T40" i="4" s="1"/>
  <c r="C183" i="17" s="1"/>
  <c r="BA21" i="4"/>
  <c r="I35" i="15"/>
  <c r="J35" i="15"/>
  <c r="H36" i="15"/>
  <c r="N37" i="4"/>
  <c r="F39" i="4"/>
  <c r="N38" i="4"/>
  <c r="J38" i="4"/>
  <c r="B45" i="17" s="1"/>
  <c r="G39" i="4"/>
  <c r="O38" i="4"/>
  <c r="K38" i="4"/>
  <c r="B113" i="17" s="1"/>
  <c r="B17" i="5"/>
  <c r="C16" i="5"/>
  <c r="E61" i="13"/>
  <c r="R12" i="4"/>
  <c r="C19" i="17" s="1"/>
  <c r="D48" i="13"/>
  <c r="T12" i="4"/>
  <c r="C155" i="17" s="1"/>
  <c r="S12" i="4"/>
  <c r="C87" i="17" s="1"/>
  <c r="B22" i="5"/>
  <c r="C21" i="5"/>
  <c r="AC12" i="4"/>
  <c r="AA12" i="4"/>
  <c r="AB12" i="4"/>
  <c r="E48" i="13"/>
  <c r="C11" i="5"/>
  <c r="B12" i="5"/>
  <c r="I35" i="1"/>
  <c r="H33" i="3"/>
  <c r="I33" i="3" s="1"/>
  <c r="I34" i="1"/>
  <c r="K34" i="1" s="1"/>
  <c r="H32" i="3"/>
  <c r="I32" i="3" s="1"/>
  <c r="J9" i="1"/>
  <c r="L9" i="1"/>
  <c r="B5" i="7"/>
  <c r="C80" i="13"/>
  <c r="C123" i="13"/>
  <c r="J25" i="1"/>
  <c r="L25" i="1"/>
  <c r="D40" i="4"/>
  <c r="B41" i="4"/>
  <c r="T45" i="4" l="1"/>
  <c r="AR87" i="17"/>
  <c r="AT87" i="17"/>
  <c r="AQ87" i="17"/>
  <c r="AG87" i="17"/>
  <c r="AC87" i="17"/>
  <c r="AE87" i="17"/>
  <c r="AH87" i="17"/>
  <c r="AS87" i="17"/>
  <c r="AD87" i="17"/>
  <c r="AF87" i="17"/>
  <c r="AU87" i="17"/>
  <c r="AV87" i="17"/>
  <c r="AR155" i="17"/>
  <c r="AG155" i="17"/>
  <c r="AF155" i="17"/>
  <c r="AV155" i="17"/>
  <c r="AD155" i="17"/>
  <c r="AT155" i="17"/>
  <c r="AU155" i="17"/>
  <c r="AQ155" i="17"/>
  <c r="AC155" i="17"/>
  <c r="AS155" i="17"/>
  <c r="AE155" i="17"/>
  <c r="AH155" i="17"/>
  <c r="AD19" i="17"/>
  <c r="AV19" i="17"/>
  <c r="AR19" i="17"/>
  <c r="AS19" i="17"/>
  <c r="AF19" i="17"/>
  <c r="AQ19" i="17"/>
  <c r="AG19" i="17"/>
  <c r="AU19" i="17"/>
  <c r="AH19" i="17"/>
  <c r="AC19" i="17"/>
  <c r="AE19" i="17"/>
  <c r="AT19" i="17"/>
  <c r="Y40" i="4"/>
  <c r="Y41" i="4" s="1"/>
  <c r="Y42" i="4" s="1"/>
  <c r="Y43" i="4" s="1"/>
  <c r="C36" i="15"/>
  <c r="C39" i="15"/>
  <c r="C33" i="15"/>
  <c r="C41" i="15"/>
  <c r="C37" i="15"/>
  <c r="C28" i="15"/>
  <c r="C38" i="15"/>
  <c r="C31" i="15"/>
  <c r="C29" i="15"/>
  <c r="C34" i="15"/>
  <c r="C27" i="15"/>
  <c r="C32" i="15"/>
  <c r="C30" i="15"/>
  <c r="C35" i="15"/>
  <c r="C40" i="15"/>
  <c r="AZ12" i="4"/>
  <c r="BB12" i="4"/>
  <c r="BA12" i="4"/>
  <c r="BE12" i="4"/>
  <c r="BD12" i="4"/>
  <c r="BF12" i="4"/>
  <c r="AL12" i="4"/>
  <c r="F19" i="17" s="1"/>
  <c r="AK12" i="4"/>
  <c r="E19" i="17" s="1"/>
  <c r="AX12" i="4"/>
  <c r="AW12" i="4"/>
  <c r="AV12" i="4"/>
  <c r="B48" i="13" s="1"/>
  <c r="T41" i="4"/>
  <c r="C184" i="17" s="1"/>
  <c r="Q8" i="7"/>
  <c r="R126" i="13"/>
  <c r="R83" i="13"/>
  <c r="X34" i="4"/>
  <c r="W34" i="4"/>
  <c r="Y34" i="4"/>
  <c r="H37" i="15"/>
  <c r="I36" i="15"/>
  <c r="J36" i="15"/>
  <c r="G40" i="4"/>
  <c r="F40" i="4"/>
  <c r="N39" i="4"/>
  <c r="J39" i="4"/>
  <c r="B46" i="17" s="1"/>
  <c r="F124" i="13"/>
  <c r="F81" i="13"/>
  <c r="I6" i="7"/>
  <c r="B6" i="7"/>
  <c r="C81" i="13"/>
  <c r="C124" i="13"/>
  <c r="K35" i="1"/>
  <c r="J35" i="1"/>
  <c r="D61" i="13"/>
  <c r="S25" i="4"/>
  <c r="C100" i="17" s="1"/>
  <c r="T25" i="4"/>
  <c r="C168" i="17" s="1"/>
  <c r="R25" i="4"/>
  <c r="C32" i="17" s="1"/>
  <c r="E45" i="13"/>
  <c r="C12" i="5"/>
  <c r="C13" i="5"/>
  <c r="AA9" i="4"/>
  <c r="AB9" i="4"/>
  <c r="AC9" i="4"/>
  <c r="D45" i="13"/>
  <c r="R9" i="4"/>
  <c r="C16" i="17" s="1"/>
  <c r="S9" i="4"/>
  <c r="C84" i="17" s="1"/>
  <c r="T9" i="4"/>
  <c r="C152" i="17" s="1"/>
  <c r="J34" i="1"/>
  <c r="L34" i="1"/>
  <c r="B23" i="5"/>
  <c r="C22" i="5"/>
  <c r="AA25" i="4"/>
  <c r="AC25" i="4"/>
  <c r="AB25" i="4"/>
  <c r="L35" i="1"/>
  <c r="C17" i="5"/>
  <c r="C18" i="5"/>
  <c r="B42" i="4"/>
  <c r="D41" i="4"/>
  <c r="AH32" i="17" l="1"/>
  <c r="AR32" i="17"/>
  <c r="AV32" i="17"/>
  <c r="AG32" i="17"/>
  <c r="AQ32" i="17"/>
  <c r="AU32" i="17"/>
  <c r="AD32" i="17"/>
  <c r="AF32" i="17"/>
  <c r="AC32" i="17"/>
  <c r="AE32" i="17"/>
  <c r="AT32" i="17"/>
  <c r="AS32" i="17"/>
  <c r="AV168" i="17"/>
  <c r="AT168" i="17"/>
  <c r="AQ168" i="17"/>
  <c r="AU168" i="17"/>
  <c r="AG168" i="17"/>
  <c r="AE168" i="17"/>
  <c r="AH168" i="17"/>
  <c r="AS168" i="17"/>
  <c r="AC168" i="17"/>
  <c r="AF168" i="17"/>
  <c r="AR168" i="17"/>
  <c r="AD168" i="17"/>
  <c r="AV100" i="17"/>
  <c r="AQ100" i="17"/>
  <c r="AU100" i="17"/>
  <c r="AE100" i="17"/>
  <c r="AG100" i="17"/>
  <c r="AR100" i="17"/>
  <c r="AC100" i="17"/>
  <c r="AD100" i="17"/>
  <c r="AT100" i="17"/>
  <c r="AH100" i="17"/>
  <c r="AS100" i="17"/>
  <c r="AF100" i="17"/>
  <c r="AR152" i="17"/>
  <c r="AT152" i="17"/>
  <c r="AH152" i="17"/>
  <c r="AE152" i="17"/>
  <c r="AC152" i="17"/>
  <c r="AS152" i="17"/>
  <c r="AD152" i="17"/>
  <c r="AQ152" i="17"/>
  <c r="AG152" i="17"/>
  <c r="AU152" i="17"/>
  <c r="AV152" i="17"/>
  <c r="AF152" i="17"/>
  <c r="AQ84" i="17"/>
  <c r="AG84" i="17"/>
  <c r="AD84" i="17"/>
  <c r="AE84" i="17"/>
  <c r="AC84" i="17"/>
  <c r="AU84" i="17"/>
  <c r="AV84" i="17"/>
  <c r="AT84" i="17"/>
  <c r="AH84" i="17"/>
  <c r="AS84" i="17"/>
  <c r="AR84" i="17"/>
  <c r="AF84" i="17"/>
  <c r="AG16" i="17"/>
  <c r="AQ16" i="17"/>
  <c r="AU16" i="17"/>
  <c r="AF16" i="17"/>
  <c r="AH16" i="17"/>
  <c r="AE16" i="17"/>
  <c r="AC16" i="17"/>
  <c r="AS16" i="17"/>
  <c r="AV16" i="17"/>
  <c r="AT16" i="17"/>
  <c r="AR16" i="17"/>
  <c r="AD16" i="17"/>
  <c r="C188" i="17"/>
  <c r="R88" i="13"/>
  <c r="R131" i="13"/>
  <c r="Q13" i="7"/>
  <c r="T46" i="4"/>
  <c r="BB9" i="4"/>
  <c r="BA9" i="4"/>
  <c r="AZ9" i="4"/>
  <c r="BA25" i="4"/>
  <c r="BB25" i="4"/>
  <c r="AZ25" i="4"/>
  <c r="AV9" i="4"/>
  <c r="B45" i="13" s="1"/>
  <c r="AW9" i="4"/>
  <c r="AL9" i="4"/>
  <c r="F16" i="17" s="1"/>
  <c r="AK9" i="4"/>
  <c r="E16" i="17" s="1"/>
  <c r="AX9" i="4"/>
  <c r="BD25" i="4"/>
  <c r="BF25" i="4"/>
  <c r="BE25" i="4"/>
  <c r="T42" i="4"/>
  <c r="C185" i="17" s="1"/>
  <c r="Q9" i="7"/>
  <c r="R84" i="13"/>
  <c r="R127" i="13"/>
  <c r="AV25" i="4"/>
  <c r="B61" i="13" s="1"/>
  <c r="AX25" i="4"/>
  <c r="AW25" i="4"/>
  <c r="AK25" i="4"/>
  <c r="E32" i="17" s="1"/>
  <c r="AL25" i="4"/>
  <c r="F32" i="17" s="1"/>
  <c r="BF9" i="4"/>
  <c r="BE9" i="4"/>
  <c r="BD9" i="4"/>
  <c r="X35" i="4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Y35" i="4"/>
  <c r="Y36" i="4" s="1"/>
  <c r="Y37" i="4" s="1"/>
  <c r="Y38" i="4" s="1"/>
  <c r="W35" i="4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J37" i="15"/>
  <c r="H38" i="15"/>
  <c r="I37" i="15"/>
  <c r="C125" i="13"/>
  <c r="C82" i="13"/>
  <c r="B7" i="7"/>
  <c r="F41" i="4"/>
  <c r="N40" i="4"/>
  <c r="J40" i="4"/>
  <c r="B47" i="17" s="1"/>
  <c r="G41" i="4"/>
  <c r="B155" i="13"/>
  <c r="D71" i="13"/>
  <c r="B112" i="13" s="1"/>
  <c r="R35" i="4"/>
  <c r="C42" i="17" s="1"/>
  <c r="S35" i="4"/>
  <c r="C110" i="17" s="1"/>
  <c r="T35" i="4"/>
  <c r="C178" i="17" s="1"/>
  <c r="B24" i="5"/>
  <c r="C23" i="5"/>
  <c r="B154" i="13"/>
  <c r="B5" i="6"/>
  <c r="F5" i="6"/>
  <c r="J5" i="6"/>
  <c r="AA35" i="4"/>
  <c r="AB35" i="4"/>
  <c r="AC35" i="4"/>
  <c r="E71" i="13"/>
  <c r="B111" i="13" s="1"/>
  <c r="E70" i="13"/>
  <c r="F4" i="6"/>
  <c r="J4" i="6"/>
  <c r="B4" i="6"/>
  <c r="AA34" i="4"/>
  <c r="AB34" i="4"/>
  <c r="AC34" i="4"/>
  <c r="S34" i="4"/>
  <c r="C109" i="17" s="1"/>
  <c r="D70" i="13"/>
  <c r="T34" i="4"/>
  <c r="C177" i="17" s="1"/>
  <c r="R34" i="4"/>
  <c r="C41" i="17" s="1"/>
  <c r="D42" i="4"/>
  <c r="B43" i="4"/>
  <c r="AC42" i="17" l="1"/>
  <c r="AS42" i="17"/>
  <c r="AH42" i="17"/>
  <c r="AE42" i="17"/>
  <c r="AG42" i="17"/>
  <c r="AD42" i="17"/>
  <c r="AR42" i="17"/>
  <c r="AF42" i="17"/>
  <c r="AV42" i="17"/>
  <c r="AU42" i="17"/>
  <c r="AT42" i="17"/>
  <c r="AQ42" i="17"/>
  <c r="AH177" i="17"/>
  <c r="AE177" i="17"/>
  <c r="AC177" i="17"/>
  <c r="AS177" i="17"/>
  <c r="AT177" i="17"/>
  <c r="AU177" i="17"/>
  <c r="AG177" i="17"/>
  <c r="AF177" i="17"/>
  <c r="AQ177" i="17"/>
  <c r="AV177" i="17"/>
  <c r="AR177" i="17"/>
  <c r="AD177" i="17"/>
  <c r="AT109" i="17"/>
  <c r="AS109" i="17"/>
  <c r="AH109" i="17"/>
  <c r="AF109" i="17"/>
  <c r="AR109" i="17"/>
  <c r="AD109" i="17"/>
  <c r="AV109" i="17"/>
  <c r="AU109" i="17"/>
  <c r="AQ109" i="17"/>
  <c r="AG109" i="17"/>
  <c r="AE109" i="17"/>
  <c r="AC109" i="17"/>
  <c r="AR41" i="17"/>
  <c r="AF41" i="17"/>
  <c r="AV41" i="17"/>
  <c r="AH41" i="17"/>
  <c r="AU41" i="17"/>
  <c r="AD41" i="17"/>
  <c r="AQ41" i="17"/>
  <c r="AT41" i="17"/>
  <c r="AE41" i="17"/>
  <c r="AS41" i="17"/>
  <c r="AC41" i="17"/>
  <c r="AG41" i="17"/>
  <c r="T47" i="4"/>
  <c r="C189" i="17"/>
  <c r="R89" i="13"/>
  <c r="R132" i="13"/>
  <c r="Q14" i="7"/>
  <c r="AD178" i="17"/>
  <c r="AQ178" i="17"/>
  <c r="AT178" i="17"/>
  <c r="AE178" i="17"/>
  <c r="AH178" i="17"/>
  <c r="AS178" i="17"/>
  <c r="AC178" i="17"/>
  <c r="AR178" i="17"/>
  <c r="AU178" i="17"/>
  <c r="AG178" i="17"/>
  <c r="AF178" i="17"/>
  <c r="AV178" i="17"/>
  <c r="AU110" i="17"/>
  <c r="AG110" i="17"/>
  <c r="AR110" i="17"/>
  <c r="AT110" i="17"/>
  <c r="AH110" i="17"/>
  <c r="AS110" i="17"/>
  <c r="AC110" i="17"/>
  <c r="AE110" i="17"/>
  <c r="AV110" i="17"/>
  <c r="AF110" i="17"/>
  <c r="AQ110" i="17"/>
  <c r="AD110" i="17"/>
  <c r="J107" i="13"/>
  <c r="C25" i="13" s="1"/>
  <c r="D79" i="13"/>
  <c r="T43" i="4"/>
  <c r="C186" i="17" s="1"/>
  <c r="R85" i="13"/>
  <c r="Q10" i="7"/>
  <c r="R128" i="13"/>
  <c r="AL34" i="4"/>
  <c r="F41" i="17" s="1"/>
  <c r="AK34" i="4"/>
  <c r="E41" i="17" s="1"/>
  <c r="AX34" i="4"/>
  <c r="AW34" i="4"/>
  <c r="AV34" i="4"/>
  <c r="B70" i="13" s="1"/>
  <c r="BF34" i="4"/>
  <c r="BD34" i="4"/>
  <c r="BE34" i="4"/>
  <c r="S36" i="4"/>
  <c r="C111" i="17" s="1"/>
  <c r="BB35" i="4"/>
  <c r="AZ35" i="4"/>
  <c r="BA35" i="4"/>
  <c r="BA34" i="4"/>
  <c r="AZ34" i="4"/>
  <c r="BB34" i="4"/>
  <c r="T36" i="4"/>
  <c r="BF35" i="4"/>
  <c r="BE35" i="4"/>
  <c r="BD35" i="4"/>
  <c r="AL35" i="4"/>
  <c r="F42" i="17" s="1"/>
  <c r="AK35" i="4"/>
  <c r="E42" i="17" s="1"/>
  <c r="AV35" i="4"/>
  <c r="B71" i="13" s="1"/>
  <c r="A9" i="13" s="1"/>
  <c r="N10" i="13" s="1"/>
  <c r="AX35" i="4"/>
  <c r="AW35" i="4"/>
  <c r="I38" i="15"/>
  <c r="H39" i="15"/>
  <c r="J38" i="15"/>
  <c r="G42" i="4"/>
  <c r="F42" i="4"/>
  <c r="N41" i="4"/>
  <c r="J41" i="4"/>
  <c r="B48" i="17" s="1"/>
  <c r="B8" i="7"/>
  <c r="C126" i="13"/>
  <c r="D126" i="13" s="1"/>
  <c r="C83" i="13"/>
  <c r="D83" i="13" s="1"/>
  <c r="R122" i="13"/>
  <c r="Q4" i="7"/>
  <c r="B27" i="6"/>
  <c r="AA57" i="4" s="1"/>
  <c r="U143" i="13" s="1"/>
  <c r="B33" i="6"/>
  <c r="AA63" i="4" s="1"/>
  <c r="U149" i="13" s="1"/>
  <c r="B28" i="6"/>
  <c r="AA58" i="4" s="1"/>
  <c r="U144" i="13" s="1"/>
  <c r="B9" i="6"/>
  <c r="AA39" i="4" s="1"/>
  <c r="U125" i="13" s="1"/>
  <c r="B12" i="6"/>
  <c r="AA42" i="4" s="1"/>
  <c r="U128" i="13" s="1"/>
  <c r="B7" i="6"/>
  <c r="AA37" i="4" s="1"/>
  <c r="U123" i="13" s="1"/>
  <c r="B20" i="6"/>
  <c r="AA50" i="4" s="1"/>
  <c r="U136" i="13" s="1"/>
  <c r="B23" i="6"/>
  <c r="AA53" i="4" s="1"/>
  <c r="U139" i="13" s="1"/>
  <c r="B18" i="6"/>
  <c r="AA48" i="4" s="1"/>
  <c r="U134" i="13" s="1"/>
  <c r="B31" i="6"/>
  <c r="AA61" i="4" s="1"/>
  <c r="U147" i="13" s="1"/>
  <c r="B34" i="6"/>
  <c r="AA64" i="4" s="1"/>
  <c r="U150" i="13" s="1"/>
  <c r="B29" i="6"/>
  <c r="AA59" i="4" s="1"/>
  <c r="U145" i="13" s="1"/>
  <c r="B10" i="6"/>
  <c r="AA40" i="4" s="1"/>
  <c r="U126" i="13" s="1"/>
  <c r="B13" i="6"/>
  <c r="AA43" i="4" s="1"/>
  <c r="U129" i="13" s="1"/>
  <c r="B16" i="6"/>
  <c r="AA46" i="4" s="1"/>
  <c r="U132" i="13" s="1"/>
  <c r="B21" i="6"/>
  <c r="AA51" i="4" s="1"/>
  <c r="U137" i="13" s="1"/>
  <c r="B24" i="6"/>
  <c r="AA54" i="4" s="1"/>
  <c r="U140" i="13" s="1"/>
  <c r="B26" i="6"/>
  <c r="AA56" i="4" s="1"/>
  <c r="U142" i="13" s="1"/>
  <c r="B32" i="6"/>
  <c r="AA62" i="4" s="1"/>
  <c r="U148" i="13" s="1"/>
  <c r="B6" i="6"/>
  <c r="B8" i="6"/>
  <c r="AA38" i="4" s="1"/>
  <c r="U124" i="13" s="1"/>
  <c r="B15" i="6"/>
  <c r="AA45" i="4" s="1"/>
  <c r="U131" i="13" s="1"/>
  <c r="B14" i="6"/>
  <c r="AA44" i="4" s="1"/>
  <c r="U130" i="13" s="1"/>
  <c r="B19" i="6"/>
  <c r="AA49" i="4" s="1"/>
  <c r="U135" i="13" s="1"/>
  <c r="B11" i="6"/>
  <c r="AA41" i="4" s="1"/>
  <c r="U127" i="13" s="1"/>
  <c r="B25" i="6"/>
  <c r="AA55" i="4" s="1"/>
  <c r="U141" i="13" s="1"/>
  <c r="B30" i="6"/>
  <c r="AA60" i="4" s="1"/>
  <c r="U146" i="13" s="1"/>
  <c r="B22" i="6"/>
  <c r="AA52" i="4" s="1"/>
  <c r="U138" i="13" s="1"/>
  <c r="B17" i="6"/>
  <c r="AA47" i="4" s="1"/>
  <c r="U133" i="13" s="1"/>
  <c r="J4" i="7"/>
  <c r="K4" i="7" s="1"/>
  <c r="J150" i="13"/>
  <c r="G123" i="13"/>
  <c r="G122" i="13"/>
  <c r="D122" i="13"/>
  <c r="G124" i="13"/>
  <c r="D124" i="13"/>
  <c r="D125" i="13"/>
  <c r="D123" i="13"/>
  <c r="R36" i="4"/>
  <c r="C43" i="17" s="1"/>
  <c r="G81" i="13"/>
  <c r="G80" i="13"/>
  <c r="D81" i="13"/>
  <c r="G79" i="13"/>
  <c r="D82" i="13"/>
  <c r="D80" i="13"/>
  <c r="B25" i="5"/>
  <c r="C24" i="5"/>
  <c r="B44" i="4"/>
  <c r="D43" i="4"/>
  <c r="AG111" i="17" l="1"/>
  <c r="Q111" i="17"/>
  <c r="AQ111" i="17"/>
  <c r="T111" i="17"/>
  <c r="P111" i="17"/>
  <c r="AH111" i="17"/>
  <c r="AD111" i="17"/>
  <c r="AT111" i="17"/>
  <c r="R111" i="17"/>
  <c r="O111" i="17"/>
  <c r="AC111" i="17"/>
  <c r="AR111" i="17"/>
  <c r="AF111" i="17"/>
  <c r="S111" i="17"/>
  <c r="AU111" i="17"/>
  <c r="AS111" i="17"/>
  <c r="AV111" i="17"/>
  <c r="AE111" i="17"/>
  <c r="T37" i="4"/>
  <c r="C180" i="17" s="1"/>
  <c r="C179" i="17"/>
  <c r="R79" i="13"/>
  <c r="P43" i="17"/>
  <c r="AQ43" i="17"/>
  <c r="AH43" i="17"/>
  <c r="AR43" i="17"/>
  <c r="AC43" i="17"/>
  <c r="AV43" i="17"/>
  <c r="R43" i="17"/>
  <c r="AG43" i="17"/>
  <c r="AU43" i="17"/>
  <c r="AF43" i="17"/>
  <c r="T43" i="17"/>
  <c r="AD43" i="17"/>
  <c r="S43" i="17"/>
  <c r="AS43" i="17"/>
  <c r="AT43" i="17"/>
  <c r="Q43" i="17"/>
  <c r="O43" i="17"/>
  <c r="AE43" i="17"/>
  <c r="O122" i="13"/>
  <c r="C190" i="17"/>
  <c r="R133" i="13"/>
  <c r="R90" i="13"/>
  <c r="T48" i="4"/>
  <c r="Q15" i="7"/>
  <c r="O79" i="13"/>
  <c r="P79" i="13" s="1"/>
  <c r="I34" i="6"/>
  <c r="H34" i="6"/>
  <c r="D34" i="6"/>
  <c r="E34" i="6"/>
  <c r="N13" i="13"/>
  <c r="Z10" i="13"/>
  <c r="T10" i="13"/>
  <c r="N16" i="13"/>
  <c r="AA16" i="13"/>
  <c r="AA13" i="13"/>
  <c r="AA10" i="13"/>
  <c r="AX36" i="4"/>
  <c r="AW36" i="4"/>
  <c r="AV36" i="4"/>
  <c r="AN36" i="4"/>
  <c r="D111" i="17" s="1"/>
  <c r="BB36" i="4"/>
  <c r="BA36" i="4"/>
  <c r="AZ36" i="4"/>
  <c r="S37" i="4"/>
  <c r="C112" i="17" s="1"/>
  <c r="Q11" i="7"/>
  <c r="R129" i="13"/>
  <c r="R86" i="13"/>
  <c r="I39" i="15"/>
  <c r="H40" i="15"/>
  <c r="J39" i="15"/>
  <c r="B9" i="7"/>
  <c r="C127" i="13"/>
  <c r="D127" i="13" s="1"/>
  <c r="C84" i="13"/>
  <c r="D84" i="13" s="1"/>
  <c r="F43" i="4"/>
  <c r="N42" i="4"/>
  <c r="J42" i="4"/>
  <c r="B49" i="17" s="1"/>
  <c r="G43" i="4"/>
  <c r="L122" i="13"/>
  <c r="L79" i="13"/>
  <c r="M79" i="13" s="1"/>
  <c r="R37" i="4"/>
  <c r="C4" i="7"/>
  <c r="D4" i="7" s="1"/>
  <c r="O123" i="13"/>
  <c r="B26" i="5"/>
  <c r="C25" i="5"/>
  <c r="N4" i="7"/>
  <c r="P4" i="8" s="1"/>
  <c r="T4" i="8" s="1"/>
  <c r="X4" i="8" s="1"/>
  <c r="L4" i="7"/>
  <c r="N4" i="8" s="1"/>
  <c r="R4" i="8" s="1"/>
  <c r="V4" i="8" s="1"/>
  <c r="M4" i="7"/>
  <c r="O4" i="8" s="1"/>
  <c r="S4" i="8" s="1"/>
  <c r="W4" i="8" s="1"/>
  <c r="P122" i="13"/>
  <c r="E16" i="6"/>
  <c r="E13" i="6"/>
  <c r="H15" i="6"/>
  <c r="E21" i="6"/>
  <c r="D31" i="6"/>
  <c r="E17" i="6"/>
  <c r="E7" i="6"/>
  <c r="H28" i="6"/>
  <c r="H23" i="6"/>
  <c r="I7" i="6"/>
  <c r="D26" i="6"/>
  <c r="F26" i="6" s="1"/>
  <c r="AB56" i="4" s="1"/>
  <c r="Z142" i="13" s="1"/>
  <c r="E26" i="6"/>
  <c r="I20" i="6"/>
  <c r="H10" i="6"/>
  <c r="I12" i="6"/>
  <c r="E28" i="6"/>
  <c r="I33" i="6"/>
  <c r="I28" i="6"/>
  <c r="H13" i="6"/>
  <c r="I13" i="6"/>
  <c r="D7" i="6"/>
  <c r="H26" i="6"/>
  <c r="D10" i="6"/>
  <c r="I18" i="6"/>
  <c r="I31" i="6"/>
  <c r="D21" i="6"/>
  <c r="H24" i="6"/>
  <c r="E30" i="6"/>
  <c r="E25" i="6"/>
  <c r="D12" i="6"/>
  <c r="H14" i="6"/>
  <c r="D13" i="6"/>
  <c r="H29" i="6"/>
  <c r="D24" i="6"/>
  <c r="I27" i="6"/>
  <c r="E24" i="6"/>
  <c r="E18" i="6"/>
  <c r="E6" i="6"/>
  <c r="I15" i="6"/>
  <c r="I6" i="6"/>
  <c r="E29" i="6"/>
  <c r="D16" i="6"/>
  <c r="D17" i="6"/>
  <c r="H21" i="6"/>
  <c r="D11" i="6"/>
  <c r="H19" i="6"/>
  <c r="E20" i="6"/>
  <c r="H11" i="6"/>
  <c r="D23" i="6"/>
  <c r="I24" i="6"/>
  <c r="D6" i="6"/>
  <c r="E8" i="6"/>
  <c r="E10" i="6"/>
  <c r="E19" i="6"/>
  <c r="D28" i="6"/>
  <c r="F28" i="6" s="1"/>
  <c r="AB58" i="4" s="1"/>
  <c r="Z144" i="13" s="1"/>
  <c r="D33" i="6"/>
  <c r="I16" i="6"/>
  <c r="H22" i="6"/>
  <c r="I25" i="6"/>
  <c r="H12" i="6"/>
  <c r="D18" i="6"/>
  <c r="E9" i="6"/>
  <c r="H30" i="6"/>
  <c r="I10" i="6"/>
  <c r="E31" i="6"/>
  <c r="D8" i="6"/>
  <c r="H20" i="6"/>
  <c r="E22" i="6"/>
  <c r="H17" i="6"/>
  <c r="I9" i="6"/>
  <c r="D27" i="6"/>
  <c r="D29" i="6"/>
  <c r="E14" i="6"/>
  <c r="I26" i="6"/>
  <c r="D25" i="6"/>
  <c r="D32" i="6"/>
  <c r="D22" i="6"/>
  <c r="H25" i="6"/>
  <c r="E15" i="6"/>
  <c r="E11" i="6"/>
  <c r="D19" i="6"/>
  <c r="D9" i="6"/>
  <c r="E23" i="6"/>
  <c r="I14" i="6"/>
  <c r="I8" i="6"/>
  <c r="D30" i="6"/>
  <c r="H32" i="6"/>
  <c r="H6" i="6"/>
  <c r="H16" i="6"/>
  <c r="I30" i="6"/>
  <c r="E27" i="6"/>
  <c r="E12" i="6"/>
  <c r="D14" i="6"/>
  <c r="F14" i="6" s="1"/>
  <c r="AB44" i="4" s="1"/>
  <c r="Z130" i="13" s="1"/>
  <c r="I19" i="6"/>
  <c r="H18" i="6"/>
  <c r="AA36" i="4"/>
  <c r="AJ36" i="4" s="1"/>
  <c r="D43" i="17" s="1"/>
  <c r="I21" i="6"/>
  <c r="H7" i="6"/>
  <c r="E33" i="6"/>
  <c r="I11" i="6"/>
  <c r="I29" i="6"/>
  <c r="H27" i="6"/>
  <c r="H31" i="6"/>
  <c r="H9" i="6"/>
  <c r="I23" i="6"/>
  <c r="D20" i="6"/>
  <c r="I32" i="6"/>
  <c r="H33" i="6"/>
  <c r="I22" i="6"/>
  <c r="I17" i="6"/>
  <c r="E32" i="6"/>
  <c r="D15" i="6"/>
  <c r="H8" i="6"/>
  <c r="D44" i="4"/>
  <c r="B45" i="4"/>
  <c r="R80" i="13" l="1"/>
  <c r="R123" i="13"/>
  <c r="T38" i="4"/>
  <c r="C181" i="17" s="1"/>
  <c r="R38" i="4"/>
  <c r="C45" i="17" s="1"/>
  <c r="C44" i="17"/>
  <c r="J19" i="6"/>
  <c r="AC49" i="4" s="1"/>
  <c r="AE135" i="13" s="1"/>
  <c r="C191" i="17"/>
  <c r="T49" i="4"/>
  <c r="Q16" i="7"/>
  <c r="R134" i="13"/>
  <c r="R91" i="13"/>
  <c r="AC112" i="17"/>
  <c r="AE112" i="17"/>
  <c r="AQ112" i="17"/>
  <c r="AS112" i="17"/>
  <c r="AR112" i="17"/>
  <c r="Q112" i="17"/>
  <c r="AT112" i="17"/>
  <c r="AF112" i="17"/>
  <c r="R112" i="17"/>
  <c r="AH112" i="17"/>
  <c r="O112" i="17"/>
  <c r="S112" i="17"/>
  <c r="T112" i="17"/>
  <c r="P112" i="17"/>
  <c r="AG112" i="17"/>
  <c r="AD112" i="17"/>
  <c r="AV112" i="17"/>
  <c r="AU112" i="17"/>
  <c r="Q5" i="7"/>
  <c r="O80" i="13"/>
  <c r="P80" i="13" s="1"/>
  <c r="T16" i="13"/>
  <c r="T13" i="13"/>
  <c r="Z16" i="13"/>
  <c r="Z13" i="13"/>
  <c r="AP37" i="4"/>
  <c r="F112" i="17" s="1"/>
  <c r="AN37" i="4"/>
  <c r="D112" i="17" s="1"/>
  <c r="BA37" i="4"/>
  <c r="BB37" i="4"/>
  <c r="AZ37" i="4"/>
  <c r="AJ37" i="4"/>
  <c r="D44" i="17" s="1"/>
  <c r="AW37" i="4"/>
  <c r="AX37" i="4"/>
  <c r="AV37" i="4"/>
  <c r="AL37" i="4"/>
  <c r="F44" i="17" s="1"/>
  <c r="F30" i="6"/>
  <c r="AB60" i="4" s="1"/>
  <c r="Z146" i="13" s="1"/>
  <c r="J5" i="7"/>
  <c r="K5" i="7" s="1"/>
  <c r="L5" i="7" s="1"/>
  <c r="N5" i="8" s="1"/>
  <c r="R5" i="8" s="1"/>
  <c r="V5" i="8" s="1"/>
  <c r="S38" i="4"/>
  <c r="J33" i="6"/>
  <c r="AC63" i="4" s="1"/>
  <c r="AE149" i="13" s="1"/>
  <c r="J20" i="6"/>
  <c r="AC50" i="4" s="1"/>
  <c r="AE136" i="13" s="1"/>
  <c r="J40" i="15"/>
  <c r="I40" i="15"/>
  <c r="G44" i="4"/>
  <c r="B10" i="7"/>
  <c r="C85" i="13"/>
  <c r="D85" i="13" s="1"/>
  <c r="C128" i="13"/>
  <c r="D128" i="13" s="1"/>
  <c r="F44" i="4"/>
  <c r="N43" i="4"/>
  <c r="J43" i="4"/>
  <c r="B50" i="17" s="1"/>
  <c r="F9" i="6"/>
  <c r="AB39" i="4" s="1"/>
  <c r="Z125" i="13" s="1"/>
  <c r="J6" i="6"/>
  <c r="AC36" i="4" s="1"/>
  <c r="F20" i="6"/>
  <c r="AB50" i="4" s="1"/>
  <c r="Z136" i="13" s="1"/>
  <c r="J31" i="6"/>
  <c r="AC61" i="4" s="1"/>
  <c r="AE147" i="13" s="1"/>
  <c r="F17" i="6"/>
  <c r="AB47" i="4" s="1"/>
  <c r="Z133" i="13" s="1"/>
  <c r="J10" i="6"/>
  <c r="AC40" i="4" s="1"/>
  <c r="AE126" i="13" s="1"/>
  <c r="J27" i="6"/>
  <c r="AC57" i="4" s="1"/>
  <c r="AE143" i="13" s="1"/>
  <c r="J14" i="6"/>
  <c r="AC44" i="4" s="1"/>
  <c r="AE130" i="13" s="1"/>
  <c r="F7" i="6"/>
  <c r="AB37" i="4" s="1"/>
  <c r="Z123" i="13" s="1"/>
  <c r="AB123" i="13" s="1"/>
  <c r="F23" i="6"/>
  <c r="AB53" i="4" s="1"/>
  <c r="Z139" i="13" s="1"/>
  <c r="J16" i="6"/>
  <c r="AC46" i="4" s="1"/>
  <c r="AE132" i="13" s="1"/>
  <c r="F24" i="6"/>
  <c r="AB54" i="4" s="1"/>
  <c r="Z140" i="13" s="1"/>
  <c r="F19" i="6"/>
  <c r="AB49" i="4" s="1"/>
  <c r="Z135" i="13" s="1"/>
  <c r="J7" i="6"/>
  <c r="AC37" i="4" s="1"/>
  <c r="AE123" i="13" s="1"/>
  <c r="AG123" i="13" s="1"/>
  <c r="F31" i="6"/>
  <c r="AB61" i="4" s="1"/>
  <c r="Z147" i="13" s="1"/>
  <c r="F29" i="6"/>
  <c r="AB59" i="4" s="1"/>
  <c r="Z145" i="13" s="1"/>
  <c r="F18" i="6"/>
  <c r="AB48" i="4" s="1"/>
  <c r="Z134" i="13" s="1"/>
  <c r="F6" i="6"/>
  <c r="AB36" i="4" s="1"/>
  <c r="F16" i="6"/>
  <c r="AB46" i="4" s="1"/>
  <c r="Z132" i="13" s="1"/>
  <c r="F10" i="6"/>
  <c r="AB40" i="4" s="1"/>
  <c r="Z126" i="13" s="1"/>
  <c r="J12" i="6"/>
  <c r="AC42" i="4" s="1"/>
  <c r="AE128" i="13" s="1"/>
  <c r="F34" i="6"/>
  <c r="AB64" i="4" s="1"/>
  <c r="Z150" i="13" s="1"/>
  <c r="J34" i="6"/>
  <c r="AC64" i="4" s="1"/>
  <c r="AE150" i="13" s="1"/>
  <c r="F13" i="6"/>
  <c r="AB43" i="4" s="1"/>
  <c r="Z129" i="13" s="1"/>
  <c r="J26" i="6"/>
  <c r="AC56" i="4" s="1"/>
  <c r="AE142" i="13" s="1"/>
  <c r="J15" i="6"/>
  <c r="AC45" i="4" s="1"/>
  <c r="AE131" i="13" s="1"/>
  <c r="O124" i="13"/>
  <c r="O81" i="13"/>
  <c r="F27" i="6"/>
  <c r="AB57" i="4" s="1"/>
  <c r="Z143" i="13" s="1"/>
  <c r="J29" i="6"/>
  <c r="AC59" i="4" s="1"/>
  <c r="AE145" i="13" s="1"/>
  <c r="W123" i="13"/>
  <c r="P123" i="13"/>
  <c r="J17" i="6"/>
  <c r="AC47" i="4" s="1"/>
  <c r="AE133" i="13" s="1"/>
  <c r="F12" i="6"/>
  <c r="AB42" i="4" s="1"/>
  <c r="Z128" i="13" s="1"/>
  <c r="J32" i="6"/>
  <c r="AC62" i="4" s="1"/>
  <c r="AE148" i="13" s="1"/>
  <c r="J11" i="6"/>
  <c r="AC41" i="4" s="1"/>
  <c r="AE127" i="13" s="1"/>
  <c r="J13" i="6"/>
  <c r="AC43" i="4" s="1"/>
  <c r="AE129" i="13" s="1"/>
  <c r="F8" i="6"/>
  <c r="AB38" i="4" s="1"/>
  <c r="J23" i="6"/>
  <c r="AC53" i="4" s="1"/>
  <c r="AE139" i="13" s="1"/>
  <c r="B27" i="5"/>
  <c r="C26" i="5"/>
  <c r="E4" i="7"/>
  <c r="B4" i="8" s="1"/>
  <c r="F4" i="8" s="1"/>
  <c r="J4" i="8" s="1"/>
  <c r="G4" i="7"/>
  <c r="D4" i="8" s="1"/>
  <c r="H4" i="8" s="1"/>
  <c r="L4" i="8" s="1"/>
  <c r="F4" i="7"/>
  <c r="C4" i="8" s="1"/>
  <c r="G4" i="8" s="1"/>
  <c r="K4" i="8" s="1"/>
  <c r="J25" i="6"/>
  <c r="AC55" i="4" s="1"/>
  <c r="AE141" i="13" s="1"/>
  <c r="F33" i="6"/>
  <c r="AB63" i="4" s="1"/>
  <c r="Z149" i="13" s="1"/>
  <c r="J9" i="6"/>
  <c r="AC39" i="4" s="1"/>
  <c r="AE125" i="13" s="1"/>
  <c r="J24" i="6"/>
  <c r="AC54" i="4" s="1"/>
  <c r="AE140" i="13" s="1"/>
  <c r="L123" i="13"/>
  <c r="L80" i="13"/>
  <c r="C5" i="7"/>
  <c r="D5" i="7" s="1"/>
  <c r="J22" i="6"/>
  <c r="AC52" i="4" s="1"/>
  <c r="AE138" i="13" s="1"/>
  <c r="F22" i="6"/>
  <c r="AB52" i="4" s="1"/>
  <c r="Z138" i="13" s="1"/>
  <c r="F25" i="6"/>
  <c r="AB55" i="4" s="1"/>
  <c r="Z141" i="13" s="1"/>
  <c r="J28" i="6"/>
  <c r="AC58" i="4" s="1"/>
  <c r="AE144" i="13" s="1"/>
  <c r="J8" i="6"/>
  <c r="AC38" i="4" s="1"/>
  <c r="AE124" i="13" s="1"/>
  <c r="F11" i="6"/>
  <c r="AB41" i="4" s="1"/>
  <c r="Z127" i="13" s="1"/>
  <c r="F21" i="6"/>
  <c r="AB51" i="4" s="1"/>
  <c r="Z137" i="13" s="1"/>
  <c r="R124" i="13"/>
  <c r="R81" i="13"/>
  <c r="U122" i="13"/>
  <c r="W122" i="13" s="1"/>
  <c r="F32" i="6"/>
  <c r="AB62" i="4" s="1"/>
  <c r="Z148" i="13" s="1"/>
  <c r="J18" i="6"/>
  <c r="AC48" i="4" s="1"/>
  <c r="AE134" i="13" s="1"/>
  <c r="F15" i="6"/>
  <c r="AB45" i="4" s="1"/>
  <c r="Z131" i="13" s="1"/>
  <c r="J30" i="6"/>
  <c r="AC60" i="4" s="1"/>
  <c r="AE146" i="13" s="1"/>
  <c r="J21" i="6"/>
  <c r="AC51" i="4" s="1"/>
  <c r="AE137" i="13" s="1"/>
  <c r="M122" i="13"/>
  <c r="B46" i="4"/>
  <c r="D45" i="4"/>
  <c r="J6" i="7" l="1"/>
  <c r="K6" i="7" s="1"/>
  <c r="C113" i="17"/>
  <c r="AV44" i="17"/>
  <c r="AE44" i="17"/>
  <c r="AR44" i="17"/>
  <c r="Q44" i="17"/>
  <c r="AQ44" i="17"/>
  <c r="AS44" i="17"/>
  <c r="AH44" i="17"/>
  <c r="AD44" i="17"/>
  <c r="AF44" i="17"/>
  <c r="R44" i="17"/>
  <c r="O44" i="17"/>
  <c r="S44" i="17"/>
  <c r="P44" i="17"/>
  <c r="AU44" i="17"/>
  <c r="T44" i="17"/>
  <c r="AG44" i="17"/>
  <c r="AC44" i="17"/>
  <c r="AT44" i="17"/>
  <c r="AG45" i="17"/>
  <c r="T45" i="17"/>
  <c r="AC45" i="17"/>
  <c r="AQ45" i="17"/>
  <c r="AF45" i="17"/>
  <c r="O45" i="17"/>
  <c r="AU45" i="17"/>
  <c r="AE45" i="17"/>
  <c r="AT45" i="17"/>
  <c r="AR45" i="17"/>
  <c r="AS45" i="17"/>
  <c r="S45" i="17"/>
  <c r="P45" i="17"/>
  <c r="R45" i="17"/>
  <c r="AD45" i="17"/>
  <c r="Q45" i="17"/>
  <c r="AH45" i="17"/>
  <c r="AV45" i="17"/>
  <c r="C192" i="17"/>
  <c r="T50" i="4"/>
  <c r="R135" i="13"/>
  <c r="Q17" i="7"/>
  <c r="R92" i="13"/>
  <c r="Q6" i="7"/>
  <c r="N5" i="7"/>
  <c r="P5" i="8" s="1"/>
  <c r="T5" i="8" s="1"/>
  <c r="X5" i="8" s="1"/>
  <c r="M5" i="7"/>
  <c r="O5" i="8" s="1"/>
  <c r="S5" i="8" s="1"/>
  <c r="W5" i="8" s="1"/>
  <c r="AK37" i="4"/>
  <c r="E44" i="17" s="1"/>
  <c r="S39" i="4"/>
  <c r="C114" i="17" s="1"/>
  <c r="AL36" i="4"/>
  <c r="F43" i="17" s="1"/>
  <c r="AP36" i="4"/>
  <c r="F111" i="17" s="1"/>
  <c r="AV38" i="4"/>
  <c r="AW38" i="4"/>
  <c r="AK38" i="4"/>
  <c r="E45" i="17" s="1"/>
  <c r="AX38" i="4"/>
  <c r="AJ38" i="4"/>
  <c r="D45" i="17" s="1"/>
  <c r="AL38" i="4"/>
  <c r="F45" i="17" s="1"/>
  <c r="Z122" i="13"/>
  <c r="AB122" i="13" s="1"/>
  <c r="AO36" i="4"/>
  <c r="E111" i="17" s="1"/>
  <c r="AK36" i="4"/>
  <c r="E43" i="17" s="1"/>
  <c r="AP38" i="4"/>
  <c r="F113" i="17" s="1"/>
  <c r="AO38" i="4"/>
  <c r="E113" i="17" s="1"/>
  <c r="AZ38" i="4"/>
  <c r="AN38" i="4"/>
  <c r="D113" i="17" s="1"/>
  <c r="BB38" i="4"/>
  <c r="BA38" i="4"/>
  <c r="AO37" i="4"/>
  <c r="E112" i="17" s="1"/>
  <c r="F45" i="4"/>
  <c r="N44" i="4"/>
  <c r="J44" i="4"/>
  <c r="B51" i="17" s="1"/>
  <c r="C129" i="13"/>
  <c r="D129" i="13" s="1"/>
  <c r="B11" i="7"/>
  <c r="C86" i="13"/>
  <c r="D86" i="13" s="1"/>
  <c r="AE122" i="13"/>
  <c r="AG122" i="13" s="1"/>
  <c r="G45" i="4"/>
  <c r="F5" i="7"/>
  <c r="C5" i="8" s="1"/>
  <c r="G5" i="8" s="1"/>
  <c r="K5" i="8" s="1"/>
  <c r="E5" i="7"/>
  <c r="B5" i="8" s="1"/>
  <c r="F5" i="8" s="1"/>
  <c r="J5" i="8" s="1"/>
  <c r="G5" i="7"/>
  <c r="D5" i="8" s="1"/>
  <c r="H5" i="8" s="1"/>
  <c r="L5" i="8" s="1"/>
  <c r="P81" i="13"/>
  <c r="M80" i="13"/>
  <c r="P124" i="13"/>
  <c r="W124" i="13"/>
  <c r="AG124" i="13"/>
  <c r="V123" i="13"/>
  <c r="AA123" i="13"/>
  <c r="M123" i="13"/>
  <c r="AF123" i="13"/>
  <c r="V122" i="13"/>
  <c r="Z124" i="13"/>
  <c r="AB124" i="13" s="1"/>
  <c r="B28" i="5"/>
  <c r="C27" i="5"/>
  <c r="J7" i="7"/>
  <c r="U79" i="13"/>
  <c r="M6" i="7"/>
  <c r="O6" i="8" s="1"/>
  <c r="S6" i="8" s="1"/>
  <c r="W6" i="8" s="1"/>
  <c r="L6" i="7"/>
  <c r="N6" i="8" s="1"/>
  <c r="R6" i="8" s="1"/>
  <c r="V6" i="8" s="1"/>
  <c r="N6" i="7"/>
  <c r="P6" i="8" s="1"/>
  <c r="T6" i="8" s="1"/>
  <c r="X6" i="8" s="1"/>
  <c r="L124" i="13"/>
  <c r="L81" i="13"/>
  <c r="R39" i="4"/>
  <c r="C46" i="17" s="1"/>
  <c r="C6" i="7"/>
  <c r="D6" i="7" s="1"/>
  <c r="D46" i="4"/>
  <c r="B47" i="4"/>
  <c r="S40" i="4" l="1"/>
  <c r="C115" i="17" s="1"/>
  <c r="O125" i="13"/>
  <c r="AA122" i="13"/>
  <c r="C193" i="17"/>
  <c r="Q18" i="7"/>
  <c r="R136" i="13"/>
  <c r="T51" i="4"/>
  <c r="R93" i="13"/>
  <c r="O82" i="13"/>
  <c r="AR46" i="17"/>
  <c r="AT46" i="17"/>
  <c r="P46" i="17"/>
  <c r="AG46" i="17"/>
  <c r="AF46" i="17"/>
  <c r="AS46" i="17"/>
  <c r="AC46" i="17"/>
  <c r="AE46" i="17"/>
  <c r="AQ46" i="17"/>
  <c r="R46" i="17"/>
  <c r="AV46" i="17"/>
  <c r="AD46" i="17"/>
  <c r="AU46" i="17"/>
  <c r="S46" i="17"/>
  <c r="AH46" i="17"/>
  <c r="O46" i="17"/>
  <c r="T46" i="17"/>
  <c r="Q46" i="17"/>
  <c r="AF113" i="17"/>
  <c r="AD113" i="17"/>
  <c r="AC113" i="17"/>
  <c r="P113" i="17"/>
  <c r="S113" i="17"/>
  <c r="AT113" i="17"/>
  <c r="AQ113" i="17"/>
  <c r="Q113" i="17"/>
  <c r="R113" i="17"/>
  <c r="AR113" i="17"/>
  <c r="O113" i="17"/>
  <c r="AV113" i="17"/>
  <c r="AS113" i="17"/>
  <c r="AH113" i="17"/>
  <c r="AE113" i="17"/>
  <c r="T113" i="17"/>
  <c r="AG113" i="17"/>
  <c r="AU113" i="17"/>
  <c r="AK39" i="4"/>
  <c r="E46" i="17" s="1"/>
  <c r="AL39" i="4"/>
  <c r="F46" i="17" s="1"/>
  <c r="AX39" i="4"/>
  <c r="AJ39" i="4"/>
  <c r="D46" i="17" s="1"/>
  <c r="AV39" i="4"/>
  <c r="AW39" i="4"/>
  <c r="AE79" i="13"/>
  <c r="AG79" i="13" s="1"/>
  <c r="G46" i="4"/>
  <c r="B12" i="7"/>
  <c r="C130" i="13"/>
  <c r="D130" i="13" s="1"/>
  <c r="C87" i="13"/>
  <c r="D87" i="13" s="1"/>
  <c r="AF122" i="13"/>
  <c r="F46" i="4"/>
  <c r="N45" i="4"/>
  <c r="J45" i="4"/>
  <c r="B52" i="17" s="1"/>
  <c r="Z79" i="13"/>
  <c r="AA79" i="13" s="1"/>
  <c r="V124" i="13"/>
  <c r="AA124" i="13"/>
  <c r="M124" i="13"/>
  <c r="AF124" i="13"/>
  <c r="B29" i="5"/>
  <c r="C28" i="5"/>
  <c r="O126" i="13"/>
  <c r="O83" i="13"/>
  <c r="G6" i="7"/>
  <c r="D6" i="8" s="1"/>
  <c r="H6" i="8" s="1"/>
  <c r="L6" i="8" s="1"/>
  <c r="E6" i="7"/>
  <c r="B6" i="8" s="1"/>
  <c r="F6" i="8" s="1"/>
  <c r="J6" i="8" s="1"/>
  <c r="F6" i="7"/>
  <c r="C6" i="8" s="1"/>
  <c r="G6" i="8" s="1"/>
  <c r="K6" i="8" s="1"/>
  <c r="L125" i="13"/>
  <c r="L82" i="13"/>
  <c r="C7" i="7"/>
  <c r="D7" i="7" s="1"/>
  <c r="R40" i="4"/>
  <c r="C47" i="17" s="1"/>
  <c r="U80" i="13"/>
  <c r="AE80" i="13"/>
  <c r="M81" i="13"/>
  <c r="W79" i="13"/>
  <c r="V79" i="13"/>
  <c r="B48" i="4"/>
  <c r="D47" i="4"/>
  <c r="AD47" i="17" l="1"/>
  <c r="Q47" i="17"/>
  <c r="AG47" i="17"/>
  <c r="AH47" i="17"/>
  <c r="AU47" i="17"/>
  <c r="AV47" i="17"/>
  <c r="AF47" i="17"/>
  <c r="P47" i="17"/>
  <c r="AQ47" i="17"/>
  <c r="S47" i="17"/>
  <c r="T47" i="17"/>
  <c r="R47" i="17"/>
  <c r="AC47" i="17"/>
  <c r="AS47" i="17"/>
  <c r="AE47" i="17"/>
  <c r="AT47" i="17"/>
  <c r="O47" i="17"/>
  <c r="AR47" i="17"/>
  <c r="C194" i="17"/>
  <c r="T52" i="4"/>
  <c r="Q19" i="7"/>
  <c r="R137" i="13"/>
  <c r="R94" i="13"/>
  <c r="J8" i="7"/>
  <c r="S41" i="4"/>
  <c r="C116" i="17" s="1"/>
  <c r="AL40" i="4"/>
  <c r="F47" i="17" s="1"/>
  <c r="AJ40" i="4"/>
  <c r="D47" i="17" s="1"/>
  <c r="AW40" i="4"/>
  <c r="AX40" i="4"/>
  <c r="AV40" i="4"/>
  <c r="AK40" i="4"/>
  <c r="E47" i="17" s="1"/>
  <c r="AF79" i="13"/>
  <c r="F47" i="4"/>
  <c r="N46" i="4"/>
  <c r="J46" i="4"/>
  <c r="B53" i="17" s="1"/>
  <c r="B13" i="7"/>
  <c r="C131" i="13"/>
  <c r="D131" i="13" s="1"/>
  <c r="C88" i="13"/>
  <c r="D88" i="13" s="1"/>
  <c r="G47" i="4"/>
  <c r="Z80" i="13"/>
  <c r="AB80" i="13" s="1"/>
  <c r="AB79" i="13"/>
  <c r="AG80" i="13"/>
  <c r="AF80" i="13"/>
  <c r="L126" i="13"/>
  <c r="L83" i="13"/>
  <c r="R41" i="4"/>
  <c r="C48" i="17" s="1"/>
  <c r="C8" i="7"/>
  <c r="D8" i="7" s="1"/>
  <c r="AE81" i="13"/>
  <c r="Z81" i="13"/>
  <c r="U81" i="13"/>
  <c r="E7" i="7"/>
  <c r="B7" i="8" s="1"/>
  <c r="F7" i="8" s="1"/>
  <c r="J7" i="8" s="1"/>
  <c r="F7" i="7"/>
  <c r="C7" i="8" s="1"/>
  <c r="G7" i="8" s="1"/>
  <c r="K7" i="8" s="1"/>
  <c r="G7" i="7"/>
  <c r="D7" i="8" s="1"/>
  <c r="H7" i="8" s="1"/>
  <c r="L7" i="8" s="1"/>
  <c r="B30" i="5"/>
  <c r="C29" i="5"/>
  <c r="W80" i="13"/>
  <c r="V80" i="13"/>
  <c r="M82" i="13"/>
  <c r="O127" i="13"/>
  <c r="O84" i="13"/>
  <c r="S42" i="4"/>
  <c r="C117" i="17" s="1"/>
  <c r="J9" i="7"/>
  <c r="V125" i="13"/>
  <c r="AF125" i="13"/>
  <c r="AA125" i="13"/>
  <c r="M125" i="13"/>
  <c r="D48" i="4"/>
  <c r="B49" i="4"/>
  <c r="C195" i="17" l="1"/>
  <c r="R138" i="13"/>
  <c r="T53" i="4"/>
  <c r="Q20" i="7"/>
  <c r="R95" i="13"/>
  <c r="AH48" i="17"/>
  <c r="AT48" i="17"/>
  <c r="T48" i="17"/>
  <c r="AR48" i="17"/>
  <c r="S48" i="17"/>
  <c r="AQ48" i="17"/>
  <c r="O48" i="17"/>
  <c r="AV48" i="17"/>
  <c r="AU48" i="17"/>
  <c r="AD48" i="17"/>
  <c r="R48" i="17"/>
  <c r="AG48" i="17"/>
  <c r="AF48" i="17"/>
  <c r="AS48" i="17"/>
  <c r="P48" i="17"/>
  <c r="AE48" i="17"/>
  <c r="Q48" i="17"/>
  <c r="AC48" i="17"/>
  <c r="AX41" i="4"/>
  <c r="AV41" i="4"/>
  <c r="AL41" i="4"/>
  <c r="F48" i="17" s="1"/>
  <c r="AK41" i="4"/>
  <c r="E48" i="17" s="1"/>
  <c r="AJ41" i="4"/>
  <c r="D48" i="17" s="1"/>
  <c r="AW41" i="4"/>
  <c r="G48" i="4"/>
  <c r="B14" i="7"/>
  <c r="C89" i="13"/>
  <c r="D89" i="13" s="1"/>
  <c r="C132" i="13"/>
  <c r="D132" i="13" s="1"/>
  <c r="AA80" i="13"/>
  <c r="F48" i="4"/>
  <c r="N47" i="4"/>
  <c r="J47" i="4"/>
  <c r="B54" i="17" s="1"/>
  <c r="B31" i="5"/>
  <c r="C30" i="5"/>
  <c r="U82" i="13"/>
  <c r="V82" i="13" s="1"/>
  <c r="Z82" i="13"/>
  <c r="AA82" i="13" s="1"/>
  <c r="AE82" i="13"/>
  <c r="AF82" i="13" s="1"/>
  <c r="AB81" i="13"/>
  <c r="AA81" i="13"/>
  <c r="F8" i="7"/>
  <c r="C8" i="8" s="1"/>
  <c r="G8" i="8" s="1"/>
  <c r="K8" i="8" s="1"/>
  <c r="G8" i="7"/>
  <c r="D8" i="8" s="1"/>
  <c r="H8" i="8" s="1"/>
  <c r="L8" i="8" s="1"/>
  <c r="E8" i="7"/>
  <c r="B8" i="8" s="1"/>
  <c r="F8" i="8" s="1"/>
  <c r="J8" i="8" s="1"/>
  <c r="O128" i="13"/>
  <c r="O85" i="13"/>
  <c r="S43" i="4"/>
  <c r="C118" i="17" s="1"/>
  <c r="J10" i="7"/>
  <c r="W81" i="13"/>
  <c r="V81" i="13"/>
  <c r="L127" i="13"/>
  <c r="L84" i="13"/>
  <c r="R42" i="4"/>
  <c r="C49" i="17" s="1"/>
  <c r="C9" i="7"/>
  <c r="D9" i="7" s="1"/>
  <c r="M83" i="13"/>
  <c r="V126" i="13"/>
  <c r="AA126" i="13"/>
  <c r="M126" i="13"/>
  <c r="AF126" i="13"/>
  <c r="AG81" i="13"/>
  <c r="AF81" i="13"/>
  <c r="B50" i="4"/>
  <c r="D49" i="4"/>
  <c r="C196" i="17" l="1"/>
  <c r="T54" i="4"/>
  <c r="R139" i="13"/>
  <c r="R96" i="13"/>
  <c r="Q21" i="7"/>
  <c r="AF49" i="17"/>
  <c r="AE49" i="17"/>
  <c r="O49" i="17"/>
  <c r="T49" i="17"/>
  <c r="AS49" i="17"/>
  <c r="AH49" i="17"/>
  <c r="S49" i="17"/>
  <c r="AD49" i="17"/>
  <c r="AG49" i="17"/>
  <c r="AV49" i="17"/>
  <c r="AR49" i="17"/>
  <c r="Q49" i="17"/>
  <c r="AC49" i="17"/>
  <c r="P49" i="17"/>
  <c r="AQ49" i="17"/>
  <c r="R49" i="17"/>
  <c r="AT49" i="17"/>
  <c r="AU49" i="17"/>
  <c r="AK42" i="4"/>
  <c r="E49" i="17" s="1"/>
  <c r="AX42" i="4"/>
  <c r="AL42" i="4"/>
  <c r="F49" i="17" s="1"/>
  <c r="AJ42" i="4"/>
  <c r="D49" i="17" s="1"/>
  <c r="AW42" i="4"/>
  <c r="AV42" i="4"/>
  <c r="F49" i="4"/>
  <c r="N48" i="4"/>
  <c r="J48" i="4"/>
  <c r="B55" i="17" s="1"/>
  <c r="C90" i="13"/>
  <c r="D90" i="13" s="1"/>
  <c r="C133" i="13"/>
  <c r="D133" i="13" s="1"/>
  <c r="B15" i="7"/>
  <c r="G49" i="4"/>
  <c r="V127" i="13"/>
  <c r="AA127" i="13"/>
  <c r="AF127" i="13"/>
  <c r="M127" i="13"/>
  <c r="L85" i="13"/>
  <c r="L128" i="13"/>
  <c r="R43" i="4"/>
  <c r="C50" i="17" s="1"/>
  <c r="C10" i="7"/>
  <c r="D10" i="7" s="1"/>
  <c r="U83" i="13"/>
  <c r="V83" i="13" s="1"/>
  <c r="Z83" i="13"/>
  <c r="AA83" i="13" s="1"/>
  <c r="AE83" i="13"/>
  <c r="AF83" i="13" s="1"/>
  <c r="M84" i="13"/>
  <c r="B32" i="5"/>
  <c r="C31" i="5"/>
  <c r="O129" i="13"/>
  <c r="O86" i="13"/>
  <c r="S44" i="4"/>
  <c r="C119" i="17" s="1"/>
  <c r="J11" i="7"/>
  <c r="G9" i="7"/>
  <c r="D9" i="8" s="1"/>
  <c r="H9" i="8" s="1"/>
  <c r="L9" i="8" s="1"/>
  <c r="F9" i="7"/>
  <c r="C9" i="8" s="1"/>
  <c r="G9" i="8" s="1"/>
  <c r="K9" i="8" s="1"/>
  <c r="E9" i="7"/>
  <c r="B9" i="8" s="1"/>
  <c r="F9" i="8" s="1"/>
  <c r="J9" i="8" s="1"/>
  <c r="D50" i="4"/>
  <c r="B51" i="4"/>
  <c r="C197" i="17" l="1"/>
  <c r="Q22" i="7"/>
  <c r="R97" i="13"/>
  <c r="T55" i="4"/>
  <c r="R140" i="13"/>
  <c r="O50" i="17"/>
  <c r="S50" i="17"/>
  <c r="AG50" i="17"/>
  <c r="R50" i="17"/>
  <c r="AE50" i="17"/>
  <c r="AR50" i="17"/>
  <c r="AF50" i="17"/>
  <c r="Q50" i="17"/>
  <c r="AC50" i="17"/>
  <c r="AQ50" i="17"/>
  <c r="P50" i="17"/>
  <c r="AH50" i="17"/>
  <c r="T50" i="17"/>
  <c r="AU50" i="17"/>
  <c r="AT50" i="17"/>
  <c r="AS50" i="17"/>
  <c r="AV50" i="17"/>
  <c r="AD50" i="17"/>
  <c r="AK43" i="4"/>
  <c r="E50" i="17" s="1"/>
  <c r="AJ43" i="4"/>
  <c r="D50" i="17" s="1"/>
  <c r="AL43" i="4"/>
  <c r="F50" i="17" s="1"/>
  <c r="AX43" i="4"/>
  <c r="AV43" i="4"/>
  <c r="AW43" i="4"/>
  <c r="B16" i="7"/>
  <c r="C91" i="13"/>
  <c r="D91" i="13" s="1"/>
  <c r="C134" i="13"/>
  <c r="D134" i="13" s="1"/>
  <c r="G50" i="4"/>
  <c r="F50" i="4"/>
  <c r="N49" i="4"/>
  <c r="J49" i="4"/>
  <c r="B56" i="17" s="1"/>
  <c r="O130" i="13"/>
  <c r="O87" i="13"/>
  <c r="S45" i="4"/>
  <c r="C120" i="17" s="1"/>
  <c r="J12" i="7"/>
  <c r="L86" i="13"/>
  <c r="L129" i="13"/>
  <c r="R44" i="4"/>
  <c r="C51" i="17" s="1"/>
  <c r="C11" i="7"/>
  <c r="D11" i="7" s="1"/>
  <c r="V128" i="13"/>
  <c r="AA128" i="13"/>
  <c r="AF128" i="13"/>
  <c r="M128" i="13"/>
  <c r="M85" i="13"/>
  <c r="B33" i="5"/>
  <c r="C32" i="5"/>
  <c r="Z84" i="13"/>
  <c r="AA84" i="13" s="1"/>
  <c r="U84" i="13"/>
  <c r="V84" i="13" s="1"/>
  <c r="AE84" i="13"/>
  <c r="AF84" i="13" s="1"/>
  <c r="E10" i="7"/>
  <c r="B10" i="8" s="1"/>
  <c r="F10" i="8" s="1"/>
  <c r="J10" i="8" s="1"/>
  <c r="G10" i="7"/>
  <c r="D10" i="8" s="1"/>
  <c r="H10" i="8" s="1"/>
  <c r="L10" i="8" s="1"/>
  <c r="F10" i="7"/>
  <c r="C10" i="8" s="1"/>
  <c r="G10" i="8" s="1"/>
  <c r="K10" i="8" s="1"/>
  <c r="B52" i="4"/>
  <c r="D51" i="4"/>
  <c r="C198" i="17" l="1"/>
  <c r="Q23" i="7"/>
  <c r="R98" i="13"/>
  <c r="R141" i="13"/>
  <c r="T56" i="4"/>
  <c r="R51" i="17"/>
  <c r="S51" i="17"/>
  <c r="AT51" i="17"/>
  <c r="AG51" i="17"/>
  <c r="T51" i="17"/>
  <c r="AF51" i="17"/>
  <c r="AE51" i="17"/>
  <c r="AC51" i="17"/>
  <c r="AQ51" i="17"/>
  <c r="AU51" i="17"/>
  <c r="AS51" i="17"/>
  <c r="AD51" i="17"/>
  <c r="AV51" i="17"/>
  <c r="AR51" i="17"/>
  <c r="AH51" i="17"/>
  <c r="P51" i="17"/>
  <c r="Q51" i="17"/>
  <c r="O51" i="17"/>
  <c r="AK44" i="4"/>
  <c r="E51" i="17" s="1"/>
  <c r="AL44" i="4"/>
  <c r="F51" i="17" s="1"/>
  <c r="AJ44" i="4"/>
  <c r="D51" i="17" s="1"/>
  <c r="AW44" i="4"/>
  <c r="AV44" i="4"/>
  <c r="AX44" i="4"/>
  <c r="G51" i="4"/>
  <c r="F51" i="4"/>
  <c r="N50" i="4"/>
  <c r="J50" i="4"/>
  <c r="B57" i="17" s="1"/>
  <c r="C135" i="13"/>
  <c r="D135" i="13" s="1"/>
  <c r="C92" i="13"/>
  <c r="D92" i="13" s="1"/>
  <c r="B17" i="7"/>
  <c r="G11" i="7"/>
  <c r="D11" i="8" s="1"/>
  <c r="H11" i="8" s="1"/>
  <c r="L11" i="8" s="1"/>
  <c r="E11" i="7"/>
  <c r="B11" i="8" s="1"/>
  <c r="F11" i="8" s="1"/>
  <c r="J11" i="8" s="1"/>
  <c r="F11" i="7"/>
  <c r="C11" i="8" s="1"/>
  <c r="G11" i="8" s="1"/>
  <c r="K11" i="8" s="1"/>
  <c r="L130" i="13"/>
  <c r="L87" i="13"/>
  <c r="R45" i="4"/>
  <c r="C52" i="17" s="1"/>
  <c r="C12" i="7"/>
  <c r="D12" i="7" s="1"/>
  <c r="M86" i="13"/>
  <c r="O88" i="13"/>
  <c r="O131" i="13"/>
  <c r="S46" i="4"/>
  <c r="C121" i="17" s="1"/>
  <c r="J13" i="7"/>
  <c r="Z85" i="13"/>
  <c r="AA85" i="13" s="1"/>
  <c r="AE85" i="13"/>
  <c r="AF85" i="13" s="1"/>
  <c r="U85" i="13"/>
  <c r="V85" i="13" s="1"/>
  <c r="V129" i="13"/>
  <c r="M129" i="13"/>
  <c r="AA129" i="13"/>
  <c r="AF129" i="13"/>
  <c r="B34" i="5"/>
  <c r="C33" i="5"/>
  <c r="D52" i="4"/>
  <c r="B53" i="4"/>
  <c r="AT52" i="17" l="1"/>
  <c r="AE52" i="17"/>
  <c r="AQ52" i="17"/>
  <c r="R52" i="17"/>
  <c r="AU52" i="17"/>
  <c r="AG52" i="17"/>
  <c r="P52" i="17"/>
  <c r="AV52" i="17"/>
  <c r="AS52" i="17"/>
  <c r="S52" i="17"/>
  <c r="AR52" i="17"/>
  <c r="AH52" i="17"/>
  <c r="AC52" i="17"/>
  <c r="AF52" i="17"/>
  <c r="O52" i="17"/>
  <c r="AD52" i="17"/>
  <c r="T52" i="17"/>
  <c r="Q52" i="17"/>
  <c r="C199" i="17"/>
  <c r="R99" i="13"/>
  <c r="T57" i="4"/>
  <c r="Q24" i="7"/>
  <c r="R142" i="13"/>
  <c r="AJ45" i="4"/>
  <c r="D52" i="17" s="1"/>
  <c r="AL45" i="4"/>
  <c r="F52" i="17" s="1"/>
  <c r="AK45" i="4"/>
  <c r="E52" i="17" s="1"/>
  <c r="AV45" i="4"/>
  <c r="AX45" i="4"/>
  <c r="AW45" i="4"/>
  <c r="C93" i="13"/>
  <c r="D93" i="13" s="1"/>
  <c r="B18" i="7"/>
  <c r="C136" i="13"/>
  <c r="D136" i="13" s="1"/>
  <c r="F52" i="4"/>
  <c r="N51" i="4"/>
  <c r="J51" i="4"/>
  <c r="B58" i="17" s="1"/>
  <c r="G52" i="4"/>
  <c r="AE86" i="13"/>
  <c r="AF86" i="13" s="1"/>
  <c r="Z86" i="13"/>
  <c r="AA86" i="13" s="1"/>
  <c r="U86" i="13"/>
  <c r="V86" i="13" s="1"/>
  <c r="G12" i="7"/>
  <c r="D12" i="8" s="1"/>
  <c r="H12" i="8" s="1"/>
  <c r="L12" i="8" s="1"/>
  <c r="E12" i="7"/>
  <c r="B12" i="8" s="1"/>
  <c r="F12" i="8" s="1"/>
  <c r="J12" i="8" s="1"/>
  <c r="F12" i="7"/>
  <c r="C12" i="8" s="1"/>
  <c r="G12" i="8" s="1"/>
  <c r="K12" i="8" s="1"/>
  <c r="L131" i="13"/>
  <c r="L88" i="13"/>
  <c r="R46" i="4"/>
  <c r="C53" i="17" s="1"/>
  <c r="C13" i="7"/>
  <c r="D13" i="7" s="1"/>
  <c r="M87" i="13"/>
  <c r="O89" i="13"/>
  <c r="O132" i="13"/>
  <c r="S47" i="4"/>
  <c r="C122" i="17" s="1"/>
  <c r="J14" i="7"/>
  <c r="B35" i="5"/>
  <c r="C34" i="5"/>
  <c r="V130" i="13"/>
  <c r="M130" i="13"/>
  <c r="AF130" i="13"/>
  <c r="AA130" i="13"/>
  <c r="B54" i="4"/>
  <c r="D53" i="4"/>
  <c r="AT53" i="17" l="1"/>
  <c r="AS53" i="17"/>
  <c r="AD53" i="17"/>
  <c r="T53" i="17"/>
  <c r="AG53" i="17"/>
  <c r="AC53" i="17"/>
  <c r="AE53" i="17"/>
  <c r="AV53" i="17"/>
  <c r="AH53" i="17"/>
  <c r="AQ53" i="17"/>
  <c r="AU53" i="17"/>
  <c r="R53" i="17"/>
  <c r="Q53" i="17"/>
  <c r="O53" i="17"/>
  <c r="S53" i="17"/>
  <c r="P53" i="17"/>
  <c r="AF53" i="17"/>
  <c r="AR53" i="17"/>
  <c r="C200" i="17"/>
  <c r="Q25" i="7"/>
  <c r="T58" i="4"/>
  <c r="R143" i="13"/>
  <c r="R100" i="13"/>
  <c r="AL46" i="4"/>
  <c r="F53" i="17" s="1"/>
  <c r="AJ46" i="4"/>
  <c r="D53" i="17" s="1"/>
  <c r="AK46" i="4"/>
  <c r="E53" i="17" s="1"/>
  <c r="AV46" i="4"/>
  <c r="AX46" i="4"/>
  <c r="AW46" i="4"/>
  <c r="G53" i="4"/>
  <c r="B19" i="7"/>
  <c r="C137" i="13"/>
  <c r="D137" i="13" s="1"/>
  <c r="C94" i="13"/>
  <c r="D94" i="13" s="1"/>
  <c r="F53" i="4"/>
  <c r="N52" i="4"/>
  <c r="J52" i="4"/>
  <c r="B59" i="17" s="1"/>
  <c r="B36" i="5"/>
  <c r="C35" i="5"/>
  <c r="V131" i="13"/>
  <c r="AA131" i="13"/>
  <c r="AF131" i="13"/>
  <c r="M131" i="13"/>
  <c r="M88" i="13"/>
  <c r="AE87" i="13"/>
  <c r="AF87" i="13" s="1"/>
  <c r="U87" i="13"/>
  <c r="V87" i="13" s="1"/>
  <c r="Z87" i="13"/>
  <c r="AA87" i="13" s="1"/>
  <c r="O90" i="13"/>
  <c r="O133" i="13"/>
  <c r="S48" i="4"/>
  <c r="C123" i="17" s="1"/>
  <c r="J15" i="7"/>
  <c r="G13" i="7"/>
  <c r="D13" i="8" s="1"/>
  <c r="H13" i="8" s="1"/>
  <c r="L13" i="8" s="1"/>
  <c r="F13" i="7"/>
  <c r="C13" i="8" s="1"/>
  <c r="G13" i="8" s="1"/>
  <c r="K13" i="8" s="1"/>
  <c r="E13" i="7"/>
  <c r="B13" i="8" s="1"/>
  <c r="F13" i="8" s="1"/>
  <c r="J13" i="8" s="1"/>
  <c r="L132" i="13"/>
  <c r="L89" i="13"/>
  <c r="R47" i="4"/>
  <c r="C54" i="17" s="1"/>
  <c r="C14" i="7"/>
  <c r="D14" i="7" s="1"/>
  <c r="D54" i="4"/>
  <c r="B55" i="4"/>
  <c r="AU54" i="17" l="1"/>
  <c r="AC54" i="17"/>
  <c r="S54" i="17"/>
  <c r="AG54" i="17"/>
  <c r="AR54" i="17"/>
  <c r="AS54" i="17"/>
  <c r="AE54" i="17"/>
  <c r="O54" i="17"/>
  <c r="AD54" i="17"/>
  <c r="AT54" i="17"/>
  <c r="AQ54" i="17"/>
  <c r="T54" i="17"/>
  <c r="AF54" i="17"/>
  <c r="AH54" i="17"/>
  <c r="Q54" i="17"/>
  <c r="R54" i="17"/>
  <c r="P54" i="17"/>
  <c r="AV54" i="17"/>
  <c r="C201" i="17"/>
  <c r="Q26" i="7"/>
  <c r="R101" i="13"/>
  <c r="R144" i="13"/>
  <c r="T59" i="4"/>
  <c r="AL47" i="4"/>
  <c r="F54" i="17" s="1"/>
  <c r="AJ47" i="4"/>
  <c r="D54" i="17" s="1"/>
  <c r="AK47" i="4"/>
  <c r="E54" i="17" s="1"/>
  <c r="AX47" i="4"/>
  <c r="AV47" i="4"/>
  <c r="AW47" i="4"/>
  <c r="F54" i="4"/>
  <c r="N53" i="4"/>
  <c r="J53" i="4"/>
  <c r="B60" i="17" s="1"/>
  <c r="B20" i="7"/>
  <c r="C95" i="13"/>
  <c r="D95" i="13" s="1"/>
  <c r="C138" i="13"/>
  <c r="D138" i="13" s="1"/>
  <c r="G54" i="4"/>
  <c r="B37" i="5"/>
  <c r="C36" i="5"/>
  <c r="O134" i="13"/>
  <c r="O91" i="13"/>
  <c r="S49" i="4"/>
  <c r="C124" i="17" s="1"/>
  <c r="J16" i="7"/>
  <c r="L133" i="13"/>
  <c r="L90" i="13"/>
  <c r="R48" i="4"/>
  <c r="C55" i="17" s="1"/>
  <c r="C15" i="7"/>
  <c r="D15" i="7" s="1"/>
  <c r="E14" i="7"/>
  <c r="B14" i="8" s="1"/>
  <c r="F14" i="8" s="1"/>
  <c r="J14" i="8" s="1"/>
  <c r="F14" i="7"/>
  <c r="C14" i="8" s="1"/>
  <c r="G14" i="8" s="1"/>
  <c r="K14" i="8" s="1"/>
  <c r="G14" i="7"/>
  <c r="D14" i="8" s="1"/>
  <c r="H14" i="8" s="1"/>
  <c r="L14" i="8" s="1"/>
  <c r="M89" i="13"/>
  <c r="V132" i="13"/>
  <c r="AF132" i="13"/>
  <c r="M132" i="13"/>
  <c r="AA132" i="13"/>
  <c r="Z88" i="13"/>
  <c r="AA88" i="13" s="1"/>
  <c r="AE88" i="13"/>
  <c r="AF88" i="13" s="1"/>
  <c r="U88" i="13"/>
  <c r="V88" i="13" s="1"/>
  <c r="D55" i="4"/>
  <c r="B56" i="4"/>
  <c r="S55" i="17" l="1"/>
  <c r="AQ55" i="17"/>
  <c r="AG55" i="17"/>
  <c r="P55" i="17"/>
  <c r="AC55" i="17"/>
  <c r="AH55" i="17"/>
  <c r="AR55" i="17"/>
  <c r="O55" i="17"/>
  <c r="AD55" i="17"/>
  <c r="AV55" i="17"/>
  <c r="R55" i="17"/>
  <c r="AT55" i="17"/>
  <c r="Q55" i="17"/>
  <c r="AE55" i="17"/>
  <c r="AU55" i="17"/>
  <c r="T55" i="17"/>
  <c r="AF55" i="17"/>
  <c r="AS55" i="17"/>
  <c r="C202" i="17"/>
  <c r="Q27" i="7"/>
  <c r="R145" i="13"/>
  <c r="R102" i="13"/>
  <c r="T60" i="4"/>
  <c r="AK48" i="4"/>
  <c r="E55" i="17" s="1"/>
  <c r="AL48" i="4"/>
  <c r="F55" i="17" s="1"/>
  <c r="AJ48" i="4"/>
  <c r="D55" i="17" s="1"/>
  <c r="AV48" i="4"/>
  <c r="AX48" i="4"/>
  <c r="AW48" i="4"/>
  <c r="G55" i="4"/>
  <c r="C139" i="13"/>
  <c r="D139" i="13" s="1"/>
  <c r="C96" i="13"/>
  <c r="D96" i="13" s="1"/>
  <c r="B21" i="7"/>
  <c r="F55" i="4"/>
  <c r="N54" i="4"/>
  <c r="J54" i="4"/>
  <c r="B61" i="17" s="1"/>
  <c r="B38" i="5"/>
  <c r="C38" i="5" s="1"/>
  <c r="C37" i="5"/>
  <c r="L134" i="13"/>
  <c r="L91" i="13"/>
  <c r="R49" i="4"/>
  <c r="C56" i="17" s="1"/>
  <c r="C16" i="7"/>
  <c r="D16" i="7" s="1"/>
  <c r="M90" i="13"/>
  <c r="F15" i="7"/>
  <c r="C15" i="8" s="1"/>
  <c r="G15" i="8" s="1"/>
  <c r="K15" i="8" s="1"/>
  <c r="G15" i="7"/>
  <c r="D15" i="8" s="1"/>
  <c r="H15" i="8" s="1"/>
  <c r="L15" i="8" s="1"/>
  <c r="E15" i="7"/>
  <c r="B15" i="8" s="1"/>
  <c r="F15" i="8" s="1"/>
  <c r="J15" i="8" s="1"/>
  <c r="V133" i="13"/>
  <c r="AA133" i="13"/>
  <c r="M133" i="13"/>
  <c r="AF133" i="13"/>
  <c r="U89" i="13"/>
  <c r="V89" i="13" s="1"/>
  <c r="AE89" i="13"/>
  <c r="AF89" i="13" s="1"/>
  <c r="Z89" i="13"/>
  <c r="AA89" i="13" s="1"/>
  <c r="O135" i="13"/>
  <c r="O92" i="13"/>
  <c r="S50" i="4"/>
  <c r="C125" i="17" s="1"/>
  <c r="J17" i="7"/>
  <c r="B57" i="4"/>
  <c r="D56" i="4"/>
  <c r="AH56" i="17" l="1"/>
  <c r="AU56" i="17"/>
  <c r="AR56" i="17"/>
  <c r="AG56" i="17"/>
  <c r="P56" i="17"/>
  <c r="AT56" i="17"/>
  <c r="AC56" i="17"/>
  <c r="T56" i="17"/>
  <c r="S56" i="17"/>
  <c r="AS56" i="17"/>
  <c r="Q56" i="17"/>
  <c r="O56" i="17"/>
  <c r="R56" i="17"/>
  <c r="AD56" i="17"/>
  <c r="AQ56" i="17"/>
  <c r="AV56" i="17"/>
  <c r="AE56" i="17"/>
  <c r="AF56" i="17"/>
  <c r="C203" i="17"/>
  <c r="R103" i="13"/>
  <c r="Q28" i="7"/>
  <c r="T61" i="4"/>
  <c r="R146" i="13"/>
  <c r="AV49" i="4"/>
  <c r="AW49" i="4"/>
  <c r="AK49" i="4"/>
  <c r="E56" i="17" s="1"/>
  <c r="AJ49" i="4"/>
  <c r="D56" i="17" s="1"/>
  <c r="AL49" i="4"/>
  <c r="F56" i="17" s="1"/>
  <c r="AX49" i="4"/>
  <c r="F56" i="4"/>
  <c r="N55" i="4"/>
  <c r="J55" i="4"/>
  <c r="B62" i="17" s="1"/>
  <c r="B22" i="7"/>
  <c r="C140" i="13"/>
  <c r="D140" i="13" s="1"/>
  <c r="C97" i="13"/>
  <c r="D97" i="13" s="1"/>
  <c r="G56" i="4"/>
  <c r="O136" i="13"/>
  <c r="O93" i="13"/>
  <c r="S51" i="4"/>
  <c r="C126" i="17" s="1"/>
  <c r="J18" i="7"/>
  <c r="E16" i="7"/>
  <c r="B16" i="8" s="1"/>
  <c r="F16" i="8" s="1"/>
  <c r="J16" i="8" s="1"/>
  <c r="G16" i="7"/>
  <c r="D16" i="8" s="1"/>
  <c r="H16" i="8" s="1"/>
  <c r="L16" i="8" s="1"/>
  <c r="F16" i="7"/>
  <c r="C16" i="8" s="1"/>
  <c r="G16" i="8" s="1"/>
  <c r="K16" i="8" s="1"/>
  <c r="L135" i="13"/>
  <c r="L92" i="13"/>
  <c r="C17" i="7"/>
  <c r="D17" i="7" s="1"/>
  <c r="R50" i="4"/>
  <c r="C57" i="17" s="1"/>
  <c r="AE90" i="13"/>
  <c r="AF90" i="13" s="1"/>
  <c r="U90" i="13"/>
  <c r="V90" i="13" s="1"/>
  <c r="Z90" i="13"/>
  <c r="AA90" i="13" s="1"/>
  <c r="M91" i="13"/>
  <c r="V134" i="13"/>
  <c r="AA134" i="13"/>
  <c r="M134" i="13"/>
  <c r="AF134" i="13"/>
  <c r="D57" i="4"/>
  <c r="B58" i="4"/>
  <c r="C204" i="17" l="1"/>
  <c r="R104" i="13"/>
  <c r="R147" i="13"/>
  <c r="Q29" i="7"/>
  <c r="T62" i="4"/>
  <c r="T57" i="17"/>
  <c r="AE57" i="17"/>
  <c r="AU57" i="17"/>
  <c r="AC57" i="17"/>
  <c r="O57" i="17"/>
  <c r="AQ57" i="17"/>
  <c r="R57" i="17"/>
  <c r="AR57" i="17"/>
  <c r="AS57" i="17"/>
  <c r="P57" i="17"/>
  <c r="AF57" i="17"/>
  <c r="S57" i="17"/>
  <c r="AG57" i="17"/>
  <c r="AH57" i="17"/>
  <c r="AT57" i="17"/>
  <c r="Q57" i="17"/>
  <c r="AV57" i="17"/>
  <c r="AD57" i="17"/>
  <c r="AJ50" i="4"/>
  <c r="D57" i="17" s="1"/>
  <c r="AK50" i="4"/>
  <c r="E57" i="17" s="1"/>
  <c r="AL50" i="4"/>
  <c r="F57" i="17" s="1"/>
  <c r="AX50" i="4"/>
  <c r="AV50" i="4"/>
  <c r="AW50" i="4"/>
  <c r="G57" i="4"/>
  <c r="C141" i="13"/>
  <c r="D141" i="13" s="1"/>
  <c r="C98" i="13"/>
  <c r="D98" i="13" s="1"/>
  <c r="B23" i="7"/>
  <c r="F57" i="4"/>
  <c r="N56" i="4"/>
  <c r="J56" i="4"/>
  <c r="B63" i="17" s="1"/>
  <c r="V135" i="13"/>
  <c r="AA135" i="13"/>
  <c r="M135" i="13"/>
  <c r="AF135" i="13"/>
  <c r="U91" i="13"/>
  <c r="V91" i="13" s="1"/>
  <c r="Z91" i="13"/>
  <c r="AA91" i="13" s="1"/>
  <c r="AE91" i="13"/>
  <c r="AF91" i="13" s="1"/>
  <c r="F17" i="7"/>
  <c r="C17" i="8" s="1"/>
  <c r="G17" i="8" s="1"/>
  <c r="K17" i="8" s="1"/>
  <c r="E17" i="7"/>
  <c r="B17" i="8" s="1"/>
  <c r="F17" i="8" s="1"/>
  <c r="J17" i="8" s="1"/>
  <c r="G17" i="7"/>
  <c r="D17" i="8" s="1"/>
  <c r="H17" i="8" s="1"/>
  <c r="L17" i="8" s="1"/>
  <c r="M92" i="13"/>
  <c r="O137" i="13"/>
  <c r="O94" i="13"/>
  <c r="S52" i="4"/>
  <c r="C127" i="17" s="1"/>
  <c r="J19" i="7"/>
  <c r="L136" i="13"/>
  <c r="L93" i="13"/>
  <c r="R51" i="4"/>
  <c r="C58" i="17" s="1"/>
  <c r="C18" i="7"/>
  <c r="D18" i="7" s="1"/>
  <c r="D58" i="4"/>
  <c r="B59" i="4"/>
  <c r="T58" i="17" l="1"/>
  <c r="AT58" i="17"/>
  <c r="Q58" i="17"/>
  <c r="S58" i="17"/>
  <c r="AC58" i="17"/>
  <c r="AV58" i="17"/>
  <c r="AQ58" i="17"/>
  <c r="R58" i="17"/>
  <c r="AG58" i="17"/>
  <c r="AU58" i="17"/>
  <c r="AD58" i="17"/>
  <c r="AE58" i="17"/>
  <c r="O58" i="17"/>
  <c r="AF58" i="17"/>
  <c r="AR58" i="17"/>
  <c r="P58" i="17"/>
  <c r="AS58" i="17"/>
  <c r="AH58" i="17"/>
  <c r="C205" i="17"/>
  <c r="T63" i="4"/>
  <c r="R148" i="13"/>
  <c r="Q30" i="7"/>
  <c r="R105" i="13"/>
  <c r="AW51" i="4"/>
  <c r="AV51" i="4"/>
  <c r="AK51" i="4"/>
  <c r="E58" i="17" s="1"/>
  <c r="AJ51" i="4"/>
  <c r="D58" i="17" s="1"/>
  <c r="AX51" i="4"/>
  <c r="AL51" i="4"/>
  <c r="F58" i="17" s="1"/>
  <c r="F58" i="4"/>
  <c r="N57" i="4"/>
  <c r="J57" i="4"/>
  <c r="B64" i="17" s="1"/>
  <c r="B24" i="7"/>
  <c r="C142" i="13"/>
  <c r="D142" i="13" s="1"/>
  <c r="C99" i="13"/>
  <c r="D99" i="13" s="1"/>
  <c r="G58" i="4"/>
  <c r="L137" i="13"/>
  <c r="L94" i="13"/>
  <c r="C19" i="7"/>
  <c r="D19" i="7" s="1"/>
  <c r="R52" i="4"/>
  <c r="C59" i="17" s="1"/>
  <c r="O138" i="13"/>
  <c r="O95" i="13"/>
  <c r="S53" i="4"/>
  <c r="C128" i="17" s="1"/>
  <c r="J20" i="7"/>
  <c r="AA17" i="13"/>
  <c r="AA14" i="13"/>
  <c r="AA11" i="13"/>
  <c r="F18" i="7"/>
  <c r="C18" i="8" s="1"/>
  <c r="G18" i="8" s="1"/>
  <c r="K18" i="8" s="1"/>
  <c r="G18" i="7"/>
  <c r="D18" i="8" s="1"/>
  <c r="H18" i="8" s="1"/>
  <c r="L18" i="8" s="1"/>
  <c r="E18" i="7"/>
  <c r="B18" i="8" s="1"/>
  <c r="F18" i="8" s="1"/>
  <c r="J18" i="8" s="1"/>
  <c r="M93" i="13"/>
  <c r="AE92" i="13"/>
  <c r="AF92" i="13" s="1"/>
  <c r="Z92" i="13"/>
  <c r="AA92" i="13" s="1"/>
  <c r="U92" i="13"/>
  <c r="V92" i="13" s="1"/>
  <c r="V136" i="13"/>
  <c r="AA136" i="13"/>
  <c r="M136" i="13"/>
  <c r="AF136" i="13"/>
  <c r="B60" i="4"/>
  <c r="D59" i="4"/>
  <c r="P59" i="17" l="1"/>
  <c r="AS59" i="17"/>
  <c r="AR59" i="17"/>
  <c r="AF59" i="17"/>
  <c r="R59" i="17"/>
  <c r="AD59" i="17"/>
  <c r="T59" i="17"/>
  <c r="AH59" i="17"/>
  <c r="S59" i="17"/>
  <c r="AV59" i="17"/>
  <c r="AG59" i="17"/>
  <c r="AE59" i="17"/>
  <c r="AU59" i="17"/>
  <c r="AC59" i="17"/>
  <c r="Q59" i="17"/>
  <c r="AT59" i="17"/>
  <c r="O59" i="17"/>
  <c r="AQ59" i="17"/>
  <c r="C206" i="17"/>
  <c r="R149" i="13"/>
  <c r="Q31" i="7"/>
  <c r="R106" i="13"/>
  <c r="T64" i="4"/>
  <c r="AK52" i="4"/>
  <c r="E59" i="17" s="1"/>
  <c r="AL52" i="4"/>
  <c r="F59" i="17" s="1"/>
  <c r="AJ52" i="4"/>
  <c r="D59" i="17" s="1"/>
  <c r="AX52" i="4"/>
  <c r="AW52" i="4"/>
  <c r="AV52" i="4"/>
  <c r="G59" i="4"/>
  <c r="B25" i="7"/>
  <c r="C100" i="13"/>
  <c r="D100" i="13" s="1"/>
  <c r="C143" i="13"/>
  <c r="D143" i="13" s="1"/>
  <c r="F59" i="4"/>
  <c r="N58" i="4"/>
  <c r="J58" i="4"/>
  <c r="B65" i="17" s="1"/>
  <c r="L95" i="13"/>
  <c r="L138" i="13"/>
  <c r="R53" i="4"/>
  <c r="C60" i="17" s="1"/>
  <c r="C20" i="7"/>
  <c r="D20" i="7" s="1"/>
  <c r="G19" i="7"/>
  <c r="D19" i="8" s="1"/>
  <c r="H19" i="8" s="1"/>
  <c r="L19" i="8" s="1"/>
  <c r="F19" i="7"/>
  <c r="C19" i="8" s="1"/>
  <c r="G19" i="8" s="1"/>
  <c r="K19" i="8" s="1"/>
  <c r="E19" i="7"/>
  <c r="B19" i="8" s="1"/>
  <c r="F19" i="8" s="1"/>
  <c r="J19" i="8" s="1"/>
  <c r="O139" i="13"/>
  <c r="O96" i="13"/>
  <c r="S54" i="4"/>
  <c r="C129" i="17" s="1"/>
  <c r="J21" i="7"/>
  <c r="Z93" i="13"/>
  <c r="AA93" i="13" s="1"/>
  <c r="AE93" i="13"/>
  <c r="AF93" i="13" s="1"/>
  <c r="U93" i="13"/>
  <c r="V93" i="13" s="1"/>
  <c r="M94" i="13"/>
  <c r="V137" i="13"/>
  <c r="AF137" i="13"/>
  <c r="M137" i="13"/>
  <c r="AA137" i="13"/>
  <c r="D60" i="4"/>
  <c r="B61" i="4"/>
  <c r="C207" i="17" l="1"/>
  <c r="BE64" i="4"/>
  <c r="AR64" i="4"/>
  <c r="D207" i="17" s="1"/>
  <c r="AY56" i="17" s="1"/>
  <c r="AT64" i="4"/>
  <c r="F207" i="17" s="1"/>
  <c r="BA56" i="17" s="1"/>
  <c r="BD64" i="4"/>
  <c r="R150" i="13"/>
  <c r="AS64" i="4"/>
  <c r="E207" i="17" s="1"/>
  <c r="AZ56" i="17" s="1"/>
  <c r="Q32" i="7"/>
  <c r="R32" i="7" s="1"/>
  <c r="BF64" i="4"/>
  <c r="R107" i="13"/>
  <c r="S107" i="13" s="1"/>
  <c r="AF60" i="17"/>
  <c r="AH60" i="17"/>
  <c r="R60" i="17"/>
  <c r="O60" i="17"/>
  <c r="AC60" i="17"/>
  <c r="T60" i="17"/>
  <c r="AQ60" i="17"/>
  <c r="S60" i="17"/>
  <c r="AS60" i="17"/>
  <c r="AR60" i="17"/>
  <c r="AE60" i="17"/>
  <c r="AG60" i="17"/>
  <c r="AU60" i="17"/>
  <c r="AV60" i="17"/>
  <c r="AD60" i="17"/>
  <c r="Q60" i="17"/>
  <c r="AT60" i="17"/>
  <c r="P60" i="17"/>
  <c r="AK53" i="4"/>
  <c r="E60" i="17" s="1"/>
  <c r="AL53" i="4"/>
  <c r="F60" i="17" s="1"/>
  <c r="AJ53" i="4"/>
  <c r="D60" i="17" s="1"/>
  <c r="AW53" i="4"/>
  <c r="AX53" i="4"/>
  <c r="AV53" i="4"/>
  <c r="G60" i="4"/>
  <c r="C144" i="13"/>
  <c r="D144" i="13" s="1"/>
  <c r="B26" i="7"/>
  <c r="C101" i="13"/>
  <c r="D101" i="13" s="1"/>
  <c r="F60" i="4"/>
  <c r="N59" i="4"/>
  <c r="J59" i="4"/>
  <c r="B66" i="17" s="1"/>
  <c r="L96" i="13"/>
  <c r="L139" i="13"/>
  <c r="R54" i="4"/>
  <c r="C61" i="17" s="1"/>
  <c r="C21" i="7"/>
  <c r="D21" i="7" s="1"/>
  <c r="V138" i="13"/>
  <c r="AF138" i="13"/>
  <c r="M138" i="13"/>
  <c r="AA138" i="13"/>
  <c r="M95" i="13"/>
  <c r="U94" i="13"/>
  <c r="V94" i="13" s="1"/>
  <c r="Z94" i="13"/>
  <c r="AA94" i="13" s="1"/>
  <c r="AE94" i="13"/>
  <c r="AF94" i="13" s="1"/>
  <c r="O140" i="13"/>
  <c r="O97" i="13"/>
  <c r="J22" i="7"/>
  <c r="S55" i="4"/>
  <c r="C130" i="17" s="1"/>
  <c r="E20" i="7"/>
  <c r="B20" i="8" s="1"/>
  <c r="F20" i="8" s="1"/>
  <c r="J20" i="8" s="1"/>
  <c r="G20" i="7"/>
  <c r="D20" i="8" s="1"/>
  <c r="H20" i="8" s="1"/>
  <c r="L20" i="8" s="1"/>
  <c r="F20" i="7"/>
  <c r="C20" i="8" s="1"/>
  <c r="G20" i="8" s="1"/>
  <c r="K20" i="8" s="1"/>
  <c r="B62" i="4"/>
  <c r="D61" i="4"/>
  <c r="AU207" i="17" l="1"/>
  <c r="AR207" i="17"/>
  <c r="P207" i="17"/>
  <c r="R207" i="17"/>
  <c r="AV207" i="17"/>
  <c r="AG207" i="17"/>
  <c r="AE207" i="17"/>
  <c r="AZ55" i="17" s="1"/>
  <c r="AQ207" i="17"/>
  <c r="AD207" i="17"/>
  <c r="AT207" i="17"/>
  <c r="T207" i="17"/>
  <c r="S207" i="17"/>
  <c r="AH207" i="17"/>
  <c r="AC207" i="17"/>
  <c r="Q207" i="17"/>
  <c r="AY55" i="17" s="1"/>
  <c r="O207" i="17"/>
  <c r="AF207" i="17"/>
  <c r="AS207" i="17"/>
  <c r="BA55" i="17" s="1"/>
  <c r="U32" i="7"/>
  <c r="AB32" i="8" s="1"/>
  <c r="AF32" i="8" s="1"/>
  <c r="AJ32" i="8" s="1"/>
  <c r="T32" i="7"/>
  <c r="AA32" i="8" s="1"/>
  <c r="AE32" i="8" s="1"/>
  <c r="AI32" i="8" s="1"/>
  <c r="S32" i="7"/>
  <c r="Z32" i="8" s="1"/>
  <c r="AD32" i="8" s="1"/>
  <c r="AH32" i="8" s="1"/>
  <c r="X150" i="13"/>
  <c r="AH150" i="13"/>
  <c r="S150" i="13"/>
  <c r="F156" i="13" s="1"/>
  <c r="G156" i="13" s="1"/>
  <c r="AC150" i="13"/>
  <c r="AQ61" i="17"/>
  <c r="AV61" i="17"/>
  <c r="AG61" i="17"/>
  <c r="AT61" i="17"/>
  <c r="AU61" i="17"/>
  <c r="AD61" i="17"/>
  <c r="S61" i="17"/>
  <c r="AR61" i="17"/>
  <c r="AF61" i="17"/>
  <c r="Q61" i="17"/>
  <c r="AS61" i="17"/>
  <c r="AH61" i="17"/>
  <c r="O61" i="17"/>
  <c r="P61" i="17"/>
  <c r="AE61" i="17"/>
  <c r="AC61" i="17"/>
  <c r="R61" i="17"/>
  <c r="T61" i="17"/>
  <c r="AB13" i="13"/>
  <c r="AB14" i="13" s="1"/>
  <c r="AB16" i="13"/>
  <c r="AB17" i="13" s="1"/>
  <c r="F28" i="13"/>
  <c r="H36" i="13" s="1"/>
  <c r="AB10" i="13"/>
  <c r="AB11" i="13" s="1"/>
  <c r="AX54" i="4"/>
  <c r="AV54" i="4"/>
  <c r="AJ54" i="4"/>
  <c r="D61" i="17" s="1"/>
  <c r="AL54" i="4"/>
  <c r="F61" i="17" s="1"/>
  <c r="AK54" i="4"/>
  <c r="E61" i="17" s="1"/>
  <c r="AW54" i="4"/>
  <c r="B27" i="7"/>
  <c r="C145" i="13"/>
  <c r="D145" i="13" s="1"/>
  <c r="C102" i="13"/>
  <c r="D102" i="13" s="1"/>
  <c r="F61" i="4"/>
  <c r="N60" i="4"/>
  <c r="J60" i="4"/>
  <c r="B67" i="17" s="1"/>
  <c r="G61" i="4"/>
  <c r="V139" i="13"/>
  <c r="AF139" i="13"/>
  <c r="M139" i="13"/>
  <c r="AA139" i="13"/>
  <c r="M96" i="13"/>
  <c r="O98" i="13"/>
  <c r="O141" i="13"/>
  <c r="S56" i="4"/>
  <c r="C131" i="17" s="1"/>
  <c r="J23" i="7"/>
  <c r="Z95" i="13"/>
  <c r="AA95" i="13" s="1"/>
  <c r="U95" i="13"/>
  <c r="V95" i="13" s="1"/>
  <c r="AE95" i="13"/>
  <c r="AF95" i="13" s="1"/>
  <c r="G21" i="7"/>
  <c r="D21" i="8" s="1"/>
  <c r="H21" i="8" s="1"/>
  <c r="L21" i="8" s="1"/>
  <c r="E21" i="7"/>
  <c r="B21" i="8" s="1"/>
  <c r="F21" i="8" s="1"/>
  <c r="J21" i="8" s="1"/>
  <c r="F21" i="7"/>
  <c r="C21" i="8" s="1"/>
  <c r="G21" i="8" s="1"/>
  <c r="K21" i="8" s="1"/>
  <c r="L140" i="13"/>
  <c r="L97" i="13"/>
  <c r="R55" i="4"/>
  <c r="C62" i="17" s="1"/>
  <c r="C22" i="7"/>
  <c r="D22" i="7" s="1"/>
  <c r="D62" i="4"/>
  <c r="B63" i="4"/>
  <c r="AR62" i="17" l="1"/>
  <c r="P62" i="17"/>
  <c r="AG62" i="17"/>
  <c r="Q62" i="17"/>
  <c r="AU62" i="17"/>
  <c r="AS62" i="17"/>
  <c r="AV62" i="17"/>
  <c r="R62" i="17"/>
  <c r="S62" i="17"/>
  <c r="AE62" i="17"/>
  <c r="AT62" i="17"/>
  <c r="T62" i="17"/>
  <c r="O62" i="17"/>
  <c r="AC62" i="17"/>
  <c r="AH62" i="17"/>
  <c r="AF62" i="17"/>
  <c r="AQ62" i="17"/>
  <c r="AD62" i="17"/>
  <c r="AV55" i="4"/>
  <c r="AX55" i="4"/>
  <c r="AK55" i="4"/>
  <c r="E62" i="17" s="1"/>
  <c r="AL55" i="4"/>
  <c r="F62" i="17" s="1"/>
  <c r="AJ55" i="4"/>
  <c r="D62" i="17" s="1"/>
  <c r="AW55" i="4"/>
  <c r="C103" i="13"/>
  <c r="D103" i="13" s="1"/>
  <c r="B28" i="7"/>
  <c r="C146" i="13"/>
  <c r="D146" i="13" s="1"/>
  <c r="G62" i="4"/>
  <c r="F62" i="4"/>
  <c r="N61" i="4"/>
  <c r="J61" i="4"/>
  <c r="B68" i="17" s="1"/>
  <c r="O99" i="13"/>
  <c r="O142" i="13"/>
  <c r="J24" i="7"/>
  <c r="S57" i="4"/>
  <c r="C132" i="17" s="1"/>
  <c r="V140" i="13"/>
  <c r="AA140" i="13"/>
  <c r="M140" i="13"/>
  <c r="AF140" i="13"/>
  <c r="L141" i="13"/>
  <c r="L98" i="13"/>
  <c r="R56" i="4"/>
  <c r="C63" i="17" s="1"/>
  <c r="C23" i="7"/>
  <c r="D23" i="7" s="1"/>
  <c r="M97" i="13"/>
  <c r="E22" i="7"/>
  <c r="B22" i="8" s="1"/>
  <c r="F22" i="8" s="1"/>
  <c r="J22" i="8" s="1"/>
  <c r="F22" i="7"/>
  <c r="C22" i="8" s="1"/>
  <c r="G22" i="8" s="1"/>
  <c r="K22" i="8" s="1"/>
  <c r="G22" i="7"/>
  <c r="D22" i="8" s="1"/>
  <c r="H22" i="8" s="1"/>
  <c r="L22" i="8" s="1"/>
  <c r="U96" i="13"/>
  <c r="V96" i="13" s="1"/>
  <c r="Z96" i="13"/>
  <c r="AA96" i="13" s="1"/>
  <c r="AE96" i="13"/>
  <c r="AF96" i="13" s="1"/>
  <c r="B64" i="4"/>
  <c r="D63" i="4"/>
  <c r="AT63" i="17" l="1"/>
  <c r="AD63" i="17"/>
  <c r="AG63" i="17"/>
  <c r="AC63" i="17"/>
  <c r="S63" i="17"/>
  <c r="AS63" i="17"/>
  <c r="AV63" i="17"/>
  <c r="O63" i="17"/>
  <c r="Q63" i="17"/>
  <c r="T63" i="17"/>
  <c r="AF63" i="17"/>
  <c r="R63" i="17"/>
  <c r="AH63" i="17"/>
  <c r="AQ63" i="17"/>
  <c r="P63" i="17"/>
  <c r="AE63" i="17"/>
  <c r="AR63" i="17"/>
  <c r="AU63" i="17"/>
  <c r="AL56" i="4"/>
  <c r="F63" i="17" s="1"/>
  <c r="AJ56" i="4"/>
  <c r="D63" i="17" s="1"/>
  <c r="AK56" i="4"/>
  <c r="E63" i="17" s="1"/>
  <c r="AX56" i="4"/>
  <c r="AV56" i="4"/>
  <c r="AW56" i="4"/>
  <c r="B29" i="7"/>
  <c r="C104" i="13"/>
  <c r="D104" i="13" s="1"/>
  <c r="C147" i="13"/>
  <c r="D147" i="13" s="1"/>
  <c r="G63" i="4"/>
  <c r="F63" i="4"/>
  <c r="N62" i="4"/>
  <c r="J62" i="4"/>
  <c r="B69" i="17" s="1"/>
  <c r="U97" i="13"/>
  <c r="V97" i="13" s="1"/>
  <c r="Z97" i="13"/>
  <c r="AA97" i="13" s="1"/>
  <c r="AE97" i="13"/>
  <c r="AF97" i="13" s="1"/>
  <c r="L142" i="13"/>
  <c r="L99" i="13"/>
  <c r="R57" i="4"/>
  <c r="C64" i="17" s="1"/>
  <c r="C24" i="7"/>
  <c r="D24" i="7" s="1"/>
  <c r="M98" i="13"/>
  <c r="E23" i="7"/>
  <c r="B23" i="8" s="1"/>
  <c r="F23" i="8" s="1"/>
  <c r="J23" i="8" s="1"/>
  <c r="G23" i="7"/>
  <c r="D23" i="8" s="1"/>
  <c r="H23" i="8" s="1"/>
  <c r="L23" i="8" s="1"/>
  <c r="F23" i="7"/>
  <c r="C23" i="8" s="1"/>
  <c r="G23" i="8" s="1"/>
  <c r="K23" i="8" s="1"/>
  <c r="O100" i="13"/>
  <c r="O143" i="13"/>
  <c r="J25" i="7"/>
  <c r="S58" i="4"/>
  <c r="C133" i="17" s="1"/>
  <c r="V141" i="13"/>
  <c r="AF141" i="13"/>
  <c r="M141" i="13"/>
  <c r="AA141" i="13"/>
  <c r="AR64" i="17" l="1"/>
  <c r="AE64" i="17"/>
  <c r="AQ64" i="17"/>
  <c r="AD64" i="17"/>
  <c r="P64" i="17"/>
  <c r="AH64" i="17"/>
  <c r="AT64" i="17"/>
  <c r="O64" i="17"/>
  <c r="S64" i="17"/>
  <c r="AU64" i="17"/>
  <c r="AV64" i="17"/>
  <c r="AG64" i="17"/>
  <c r="AF64" i="17"/>
  <c r="AC64" i="17"/>
  <c r="Q64" i="17"/>
  <c r="T64" i="17"/>
  <c r="R64" i="17"/>
  <c r="AS64" i="17"/>
  <c r="AL57" i="4"/>
  <c r="F64" i="17" s="1"/>
  <c r="AJ57" i="4"/>
  <c r="D64" i="17" s="1"/>
  <c r="AK57" i="4"/>
  <c r="E64" i="17" s="1"/>
  <c r="AW57" i="4"/>
  <c r="AX57" i="4"/>
  <c r="AV57" i="4"/>
  <c r="C105" i="13"/>
  <c r="D105" i="13" s="1"/>
  <c r="B30" i="7"/>
  <c r="C148" i="13"/>
  <c r="D148" i="13" s="1"/>
  <c r="F64" i="4"/>
  <c r="N64" i="4" s="1"/>
  <c r="N63" i="4"/>
  <c r="J63" i="4"/>
  <c r="B70" i="17" s="1"/>
  <c r="G64" i="4"/>
  <c r="L143" i="13"/>
  <c r="L100" i="13"/>
  <c r="C25" i="7"/>
  <c r="D25" i="7" s="1"/>
  <c r="R58" i="4"/>
  <c r="C65" i="17" s="1"/>
  <c r="M99" i="13"/>
  <c r="O144" i="13"/>
  <c r="O101" i="13"/>
  <c r="J26" i="7"/>
  <c r="S59" i="4"/>
  <c r="C134" i="17" s="1"/>
  <c r="V142" i="13"/>
  <c r="M142" i="13"/>
  <c r="AF142" i="13"/>
  <c r="AA142" i="13"/>
  <c r="U98" i="13"/>
  <c r="V98" i="13" s="1"/>
  <c r="Z98" i="13"/>
  <c r="AA98" i="13" s="1"/>
  <c r="AE98" i="13"/>
  <c r="AF98" i="13" s="1"/>
  <c r="F24" i="7"/>
  <c r="C24" i="8" s="1"/>
  <c r="G24" i="8" s="1"/>
  <c r="K24" i="8" s="1"/>
  <c r="G24" i="7"/>
  <c r="D24" i="8" s="1"/>
  <c r="H24" i="8" s="1"/>
  <c r="L24" i="8" s="1"/>
  <c r="E24" i="7"/>
  <c r="B24" i="8" s="1"/>
  <c r="F24" i="8" s="1"/>
  <c r="J24" i="8" s="1"/>
  <c r="AT65" i="17" l="1"/>
  <c r="AV65" i="17"/>
  <c r="AS65" i="17"/>
  <c r="P65" i="17"/>
  <c r="O65" i="17"/>
  <c r="AQ65" i="17"/>
  <c r="AG65" i="17"/>
  <c r="AE65" i="17"/>
  <c r="AF65" i="17"/>
  <c r="T65" i="17"/>
  <c r="AU65" i="17"/>
  <c r="AR65" i="17"/>
  <c r="R65" i="17"/>
  <c r="Q65" i="17"/>
  <c r="S65" i="17"/>
  <c r="AD65" i="17"/>
  <c r="AC65" i="17"/>
  <c r="AH65" i="17"/>
  <c r="N66" i="4"/>
  <c r="N67" i="4"/>
  <c r="AX58" i="4"/>
  <c r="AV58" i="4"/>
  <c r="AW58" i="4"/>
  <c r="AK58" i="4"/>
  <c r="E65" i="17" s="1"/>
  <c r="AL58" i="4"/>
  <c r="F65" i="17" s="1"/>
  <c r="AJ58" i="4"/>
  <c r="D65" i="17" s="1"/>
  <c r="C106" i="13"/>
  <c r="D106" i="13" s="1"/>
  <c r="C149" i="13"/>
  <c r="D149" i="13" s="1"/>
  <c r="B31" i="7"/>
  <c r="J64" i="4"/>
  <c r="B71" i="17" s="1"/>
  <c r="O145" i="13"/>
  <c r="O102" i="13"/>
  <c r="J27" i="7"/>
  <c r="S60" i="4"/>
  <c r="C135" i="17" s="1"/>
  <c r="L144" i="13"/>
  <c r="L101" i="13"/>
  <c r="R59" i="4"/>
  <c r="C66" i="17" s="1"/>
  <c r="C26" i="7"/>
  <c r="D26" i="7" s="1"/>
  <c r="E25" i="7"/>
  <c r="B25" i="8" s="1"/>
  <c r="F25" i="8" s="1"/>
  <c r="J25" i="8" s="1"/>
  <c r="G25" i="7"/>
  <c r="D25" i="8" s="1"/>
  <c r="H25" i="8" s="1"/>
  <c r="L25" i="8" s="1"/>
  <c r="F25" i="7"/>
  <c r="C25" i="8" s="1"/>
  <c r="G25" i="8" s="1"/>
  <c r="K25" i="8" s="1"/>
  <c r="M100" i="13"/>
  <c r="AE99" i="13"/>
  <c r="AF99" i="13" s="1"/>
  <c r="U99" i="13"/>
  <c r="V99" i="13" s="1"/>
  <c r="Z99" i="13"/>
  <c r="AA99" i="13" s="1"/>
  <c r="V143" i="13"/>
  <c r="M143" i="13"/>
  <c r="AA143" i="13"/>
  <c r="AF143" i="13"/>
  <c r="AU66" i="17" l="1"/>
  <c r="O66" i="17"/>
  <c r="AH66" i="17"/>
  <c r="T66" i="17"/>
  <c r="R66" i="17"/>
  <c r="AT66" i="17"/>
  <c r="AQ66" i="17"/>
  <c r="AE66" i="17"/>
  <c r="S66" i="17"/>
  <c r="AC66" i="17"/>
  <c r="AG66" i="17"/>
  <c r="AS66" i="17"/>
  <c r="P66" i="17"/>
  <c r="AV66" i="17"/>
  <c r="Q66" i="17"/>
  <c r="AD66" i="17"/>
  <c r="AF66" i="17"/>
  <c r="AR66" i="17"/>
  <c r="J66" i="4"/>
  <c r="AK59" i="4"/>
  <c r="E66" i="17" s="1"/>
  <c r="AJ59" i="4"/>
  <c r="D66" i="17" s="1"/>
  <c r="AX59" i="4"/>
  <c r="AW59" i="4"/>
  <c r="AL59" i="4"/>
  <c r="F66" i="17" s="1"/>
  <c r="AV59" i="4"/>
  <c r="B32" i="7"/>
  <c r="C150" i="13"/>
  <c r="D150" i="13" s="1"/>
  <c r="C107" i="13"/>
  <c r="M101" i="13"/>
  <c r="V144" i="13"/>
  <c r="AA144" i="13"/>
  <c r="AF144" i="13"/>
  <c r="M144" i="13"/>
  <c r="Z100" i="13"/>
  <c r="AA100" i="13" s="1"/>
  <c r="U100" i="13"/>
  <c r="V100" i="13" s="1"/>
  <c r="AE100" i="13"/>
  <c r="AF100" i="13" s="1"/>
  <c r="G26" i="7"/>
  <c r="D26" i="8" s="1"/>
  <c r="H26" i="8" s="1"/>
  <c r="L26" i="8" s="1"/>
  <c r="E26" i="7"/>
  <c r="B26" i="8" s="1"/>
  <c r="F26" i="8" s="1"/>
  <c r="J26" i="8" s="1"/>
  <c r="F26" i="7"/>
  <c r="C26" i="8" s="1"/>
  <c r="G26" i="8" s="1"/>
  <c r="K26" i="8" s="1"/>
  <c r="O146" i="13"/>
  <c r="O103" i="13"/>
  <c r="S61" i="4"/>
  <c r="C136" i="17" s="1"/>
  <c r="J28" i="7"/>
  <c r="L145" i="13"/>
  <c r="L102" i="13"/>
  <c r="R60" i="4"/>
  <c r="C67" i="17" s="1"/>
  <c r="C27" i="7"/>
  <c r="D27" i="7" s="1"/>
  <c r="AF67" i="17" l="1"/>
  <c r="AR67" i="17"/>
  <c r="R67" i="17"/>
  <c r="AQ67" i="17"/>
  <c r="AD67" i="17"/>
  <c r="AG67" i="17"/>
  <c r="P67" i="17"/>
  <c r="AS67" i="17"/>
  <c r="AU67" i="17"/>
  <c r="T67" i="17"/>
  <c r="AC67" i="17"/>
  <c r="S67" i="17"/>
  <c r="AE67" i="17"/>
  <c r="AT67" i="17"/>
  <c r="AV67" i="17"/>
  <c r="O67" i="17"/>
  <c r="Q67" i="17"/>
  <c r="AH67" i="17"/>
  <c r="D107" i="13"/>
  <c r="AL60" i="4"/>
  <c r="F67" i="17" s="1"/>
  <c r="AJ60" i="4"/>
  <c r="D67" i="17" s="1"/>
  <c r="AK60" i="4"/>
  <c r="E67" i="17" s="1"/>
  <c r="AW60" i="4"/>
  <c r="AV60" i="4"/>
  <c r="AX60" i="4"/>
  <c r="L146" i="13"/>
  <c r="L103" i="13"/>
  <c r="C28" i="7"/>
  <c r="D28" i="7" s="1"/>
  <c r="R61" i="4"/>
  <c r="C68" i="17" s="1"/>
  <c r="G27" i="7"/>
  <c r="D27" i="8" s="1"/>
  <c r="H27" i="8" s="1"/>
  <c r="L27" i="8" s="1"/>
  <c r="F27" i="7"/>
  <c r="C27" i="8" s="1"/>
  <c r="G27" i="8" s="1"/>
  <c r="K27" i="8" s="1"/>
  <c r="E27" i="7"/>
  <c r="B27" i="8" s="1"/>
  <c r="F27" i="8" s="1"/>
  <c r="J27" i="8" s="1"/>
  <c r="O147" i="13"/>
  <c r="O104" i="13"/>
  <c r="S62" i="4"/>
  <c r="C137" i="17" s="1"/>
  <c r="J29" i="7"/>
  <c r="V145" i="13"/>
  <c r="M145" i="13"/>
  <c r="AF145" i="13"/>
  <c r="AA145" i="13"/>
  <c r="M102" i="13"/>
  <c r="U101" i="13"/>
  <c r="V101" i="13" s="1"/>
  <c r="Z101" i="13"/>
  <c r="AA101" i="13" s="1"/>
  <c r="AE101" i="13"/>
  <c r="AF101" i="13" s="1"/>
  <c r="AD68" i="17" l="1"/>
  <c r="AH68" i="17"/>
  <c r="AC68" i="17"/>
  <c r="AF68" i="17"/>
  <c r="AR68" i="17"/>
  <c r="T68" i="17"/>
  <c r="AU68" i="17"/>
  <c r="Q68" i="17"/>
  <c r="AE68" i="17"/>
  <c r="AG68" i="17"/>
  <c r="O68" i="17"/>
  <c r="AS68" i="17"/>
  <c r="AV68" i="17"/>
  <c r="R68" i="17"/>
  <c r="AQ68" i="17"/>
  <c r="AT68" i="17"/>
  <c r="P68" i="17"/>
  <c r="S68" i="17"/>
  <c r="C9" i="13"/>
  <c r="O13" i="13"/>
  <c r="O11" i="13"/>
  <c r="O16" i="13"/>
  <c r="AX61" i="4"/>
  <c r="AV61" i="4"/>
  <c r="AK61" i="4"/>
  <c r="E68" i="17" s="1"/>
  <c r="AJ61" i="4"/>
  <c r="D68" i="17" s="1"/>
  <c r="AW61" i="4"/>
  <c r="AL61" i="4"/>
  <c r="F68" i="17" s="1"/>
  <c r="AE102" i="13"/>
  <c r="AF102" i="13" s="1"/>
  <c r="Z102" i="13"/>
  <c r="AA102" i="13" s="1"/>
  <c r="U102" i="13"/>
  <c r="V102" i="13" s="1"/>
  <c r="L147" i="13"/>
  <c r="L104" i="13"/>
  <c r="R62" i="4"/>
  <c r="C69" i="17" s="1"/>
  <c r="C29" i="7"/>
  <c r="D29" i="7" s="1"/>
  <c r="F28" i="7"/>
  <c r="C28" i="8" s="1"/>
  <c r="G28" i="8" s="1"/>
  <c r="K28" i="8" s="1"/>
  <c r="E28" i="7"/>
  <c r="B28" i="8" s="1"/>
  <c r="F28" i="8" s="1"/>
  <c r="J28" i="8" s="1"/>
  <c r="G28" i="7"/>
  <c r="D28" i="8" s="1"/>
  <c r="H28" i="8" s="1"/>
  <c r="L28" i="8" s="1"/>
  <c r="M103" i="13"/>
  <c r="O148" i="13"/>
  <c r="O105" i="13"/>
  <c r="J30" i="7"/>
  <c r="S63" i="4"/>
  <c r="C138" i="17" s="1"/>
  <c r="V146" i="13"/>
  <c r="M146" i="13"/>
  <c r="AA146" i="13"/>
  <c r="AF146" i="13"/>
  <c r="AU69" i="17" l="1"/>
  <c r="R69" i="17"/>
  <c r="P69" i="17"/>
  <c r="AS69" i="17"/>
  <c r="AE69" i="17"/>
  <c r="AV69" i="17"/>
  <c r="S69" i="17"/>
  <c r="T69" i="17"/>
  <c r="AH69" i="17"/>
  <c r="AG69" i="17"/>
  <c r="AR69" i="17"/>
  <c r="AQ69" i="17"/>
  <c r="AD69" i="17"/>
  <c r="AF69" i="17"/>
  <c r="AC69" i="17"/>
  <c r="Q69" i="17"/>
  <c r="O69" i="17"/>
  <c r="AT69" i="17"/>
  <c r="C35" i="13"/>
  <c r="C36" i="13"/>
  <c r="H35" i="13"/>
  <c r="AW62" i="4"/>
  <c r="AL62" i="4"/>
  <c r="F69" i="17" s="1"/>
  <c r="AJ62" i="4"/>
  <c r="D69" i="17" s="1"/>
  <c r="AK62" i="4"/>
  <c r="E69" i="17" s="1"/>
  <c r="AX62" i="4"/>
  <c r="AV62" i="4"/>
  <c r="V147" i="13"/>
  <c r="AF147" i="13"/>
  <c r="AA147" i="13"/>
  <c r="M147" i="13"/>
  <c r="AE103" i="13"/>
  <c r="AF103" i="13" s="1"/>
  <c r="Z103" i="13"/>
  <c r="AA103" i="13" s="1"/>
  <c r="U103" i="13"/>
  <c r="V103" i="13" s="1"/>
  <c r="O149" i="13"/>
  <c r="O106" i="13"/>
  <c r="S64" i="4"/>
  <c r="C139" i="17" s="1"/>
  <c r="J31" i="7"/>
  <c r="G29" i="7"/>
  <c r="D29" i="8" s="1"/>
  <c r="H29" i="8" s="1"/>
  <c r="L29" i="8" s="1"/>
  <c r="E29" i="7"/>
  <c r="B29" i="8" s="1"/>
  <c r="F29" i="8" s="1"/>
  <c r="J29" i="8" s="1"/>
  <c r="F29" i="7"/>
  <c r="C29" i="8" s="1"/>
  <c r="G29" i="8" s="1"/>
  <c r="K29" i="8" s="1"/>
  <c r="L105" i="13"/>
  <c r="L148" i="13"/>
  <c r="C30" i="7"/>
  <c r="D30" i="7" s="1"/>
  <c r="R63" i="4"/>
  <c r="C70" i="17" s="1"/>
  <c r="M104" i="13"/>
  <c r="AV70" i="17" l="1"/>
  <c r="AE70" i="17"/>
  <c r="T70" i="17"/>
  <c r="R70" i="17"/>
  <c r="AT70" i="17"/>
  <c r="S70" i="17"/>
  <c r="AH70" i="17"/>
  <c r="AS70" i="17"/>
  <c r="AR70" i="17"/>
  <c r="AF70" i="17"/>
  <c r="AD70" i="17"/>
  <c r="O70" i="17"/>
  <c r="Q70" i="17"/>
  <c r="AU70" i="17"/>
  <c r="AQ70" i="17"/>
  <c r="P70" i="17"/>
  <c r="AG70" i="17"/>
  <c r="AC70" i="17"/>
  <c r="R64" i="4"/>
  <c r="C71" i="17" s="1"/>
  <c r="AK63" i="4"/>
  <c r="E70" i="17" s="1"/>
  <c r="AL63" i="4"/>
  <c r="F70" i="17" s="1"/>
  <c r="AJ63" i="4"/>
  <c r="D70" i="17" s="1"/>
  <c r="AV63" i="4"/>
  <c r="AW63" i="4"/>
  <c r="AX63" i="4"/>
  <c r="V148" i="13"/>
  <c r="M148" i="13"/>
  <c r="AA148" i="13"/>
  <c r="AF148" i="13"/>
  <c r="J32" i="7"/>
  <c r="O150" i="13"/>
  <c r="O107" i="13"/>
  <c r="M105" i="13"/>
  <c r="L106" i="13"/>
  <c r="L149" i="13"/>
  <c r="C31" i="7"/>
  <c r="D31" i="7" s="1"/>
  <c r="G30" i="7"/>
  <c r="D30" i="8" s="1"/>
  <c r="H30" i="8" s="1"/>
  <c r="L30" i="8" s="1"/>
  <c r="E30" i="7"/>
  <c r="B30" i="8" s="1"/>
  <c r="F30" i="8" s="1"/>
  <c r="J30" i="8" s="1"/>
  <c r="F30" i="7"/>
  <c r="C30" i="8" s="1"/>
  <c r="G30" i="8" s="1"/>
  <c r="K30" i="8" s="1"/>
  <c r="U104" i="13"/>
  <c r="V104" i="13" s="1"/>
  <c r="Z104" i="13"/>
  <c r="AA104" i="13" s="1"/>
  <c r="AE104" i="13"/>
  <c r="AF104" i="13" s="1"/>
  <c r="AD71" i="17" l="1"/>
  <c r="AG71" i="17"/>
  <c r="AV71" i="17"/>
  <c r="AS71" i="17"/>
  <c r="BA47" i="17" s="1"/>
  <c r="AU71" i="17"/>
  <c r="AR71" i="17"/>
  <c r="T71" i="17"/>
  <c r="P71" i="17"/>
  <c r="AE71" i="17"/>
  <c r="AF71" i="17"/>
  <c r="AQ71" i="17"/>
  <c r="R71" i="17"/>
  <c r="Q71" i="17"/>
  <c r="S71" i="17"/>
  <c r="AC71" i="17"/>
  <c r="O71" i="17"/>
  <c r="AT71" i="17"/>
  <c r="AH71" i="17"/>
  <c r="AK64" i="4"/>
  <c r="E71" i="17" s="1"/>
  <c r="AZ48" i="17" s="1"/>
  <c r="AJ64" i="4"/>
  <c r="D71" i="17" s="1"/>
  <c r="AY48" i="17" s="1"/>
  <c r="AL64" i="4"/>
  <c r="F71" i="17" s="1"/>
  <c r="BA48" i="17" s="1"/>
  <c r="AX64" i="4"/>
  <c r="AW64" i="4"/>
  <c r="AV64" i="4"/>
  <c r="Z105" i="13"/>
  <c r="AA105" i="13" s="1"/>
  <c r="U105" i="13"/>
  <c r="V105" i="13" s="1"/>
  <c r="AE105" i="13"/>
  <c r="AF105" i="13" s="1"/>
  <c r="M106" i="13"/>
  <c r="L150" i="13"/>
  <c r="L107" i="13"/>
  <c r="M107" i="13" s="1"/>
  <c r="C32" i="7"/>
  <c r="D32" i="7" s="1"/>
  <c r="V149" i="13"/>
  <c r="AA149" i="13"/>
  <c r="M149" i="13"/>
  <c r="AF149" i="13"/>
  <c r="E31" i="7"/>
  <c r="B31" i="8" s="1"/>
  <c r="F31" i="8" s="1"/>
  <c r="J31" i="8" s="1"/>
  <c r="G31" i="7"/>
  <c r="D31" i="8" s="1"/>
  <c r="H31" i="8" s="1"/>
  <c r="L31" i="8" s="1"/>
  <c r="F31" i="7"/>
  <c r="C31" i="8" s="1"/>
  <c r="G31" i="8" s="1"/>
  <c r="K31" i="8" s="1"/>
  <c r="AZ47" i="17" l="1"/>
  <c r="AY47" i="17"/>
  <c r="G32" i="7"/>
  <c r="D32" i="8" s="1"/>
  <c r="H32" i="8" s="1"/>
  <c r="L32" i="8" s="1"/>
  <c r="F32" i="7"/>
  <c r="C32" i="8" s="1"/>
  <c r="G32" i="8" s="1"/>
  <c r="K32" i="8" s="1"/>
  <c r="E32" i="7"/>
  <c r="B32" i="8" s="1"/>
  <c r="P13" i="13"/>
  <c r="P10" i="13"/>
  <c r="P16" i="13"/>
  <c r="V150" i="13"/>
  <c r="M150" i="13"/>
  <c r="F154" i="13" s="1"/>
  <c r="G154" i="13" s="1"/>
  <c r="AA150" i="13"/>
  <c r="AF150" i="13"/>
  <c r="Z106" i="13"/>
  <c r="AA106" i="13" s="1"/>
  <c r="AE106" i="13"/>
  <c r="AF106" i="13" s="1"/>
  <c r="U106" i="13"/>
  <c r="V106" i="13" s="1"/>
  <c r="O17" i="13"/>
  <c r="O14" i="13"/>
  <c r="C39" i="4"/>
  <c r="F32" i="8" l="1"/>
  <c r="J32" i="8" s="1"/>
  <c r="K39" i="4"/>
  <c r="B114" i="17" s="1"/>
  <c r="O39" i="4"/>
  <c r="K37" i="8"/>
  <c r="K36" i="8"/>
  <c r="L36" i="8"/>
  <c r="L37" i="8"/>
  <c r="F9" i="13"/>
  <c r="P17" i="13"/>
  <c r="P11" i="13"/>
  <c r="P14" i="13"/>
  <c r="H37" i="4"/>
  <c r="P37" i="4" s="1"/>
  <c r="L36" i="4"/>
  <c r="B179" i="17" s="1"/>
  <c r="C40" i="4"/>
  <c r="O40" i="4" s="1"/>
  <c r="AC179" i="17" l="1"/>
  <c r="AT179" i="17"/>
  <c r="AH179" i="17"/>
  <c r="AF179" i="17"/>
  <c r="AD179" i="17"/>
  <c r="T179" i="17"/>
  <c r="AQ179" i="17"/>
  <c r="S179" i="17"/>
  <c r="AV179" i="17"/>
  <c r="O179" i="17"/>
  <c r="AR179" i="17"/>
  <c r="AU179" i="17"/>
  <c r="P179" i="17"/>
  <c r="AG179" i="17"/>
  <c r="R179" i="17"/>
  <c r="AE179" i="17"/>
  <c r="Q179" i="17"/>
  <c r="AS179" i="17"/>
  <c r="O114" i="17"/>
  <c r="AD114" i="17"/>
  <c r="AR114" i="17"/>
  <c r="AH114" i="17"/>
  <c r="AV114" i="17"/>
  <c r="T114" i="17"/>
  <c r="AF114" i="17"/>
  <c r="AU114" i="17"/>
  <c r="AC114" i="17"/>
  <c r="R114" i="17"/>
  <c r="P114" i="17"/>
  <c r="S114" i="17"/>
  <c r="Q114" i="17"/>
  <c r="AQ114" i="17"/>
  <c r="AT114" i="17"/>
  <c r="AG114" i="17"/>
  <c r="AE114" i="17"/>
  <c r="AS114" i="17"/>
  <c r="I7" i="7"/>
  <c r="K7" i="7" s="1"/>
  <c r="L7" i="7" s="1"/>
  <c r="N7" i="8" s="1"/>
  <c r="R7" i="8" s="1"/>
  <c r="V7" i="8" s="1"/>
  <c r="AP39" i="4"/>
  <c r="F114" i="17" s="1"/>
  <c r="AO39" i="4"/>
  <c r="E114" i="17" s="1"/>
  <c r="AN39" i="4"/>
  <c r="D114" i="17" s="1"/>
  <c r="AZ39" i="4"/>
  <c r="BA39" i="4"/>
  <c r="BB39" i="4"/>
  <c r="AT36" i="4"/>
  <c r="F179" i="17" s="1"/>
  <c r="AR36" i="4"/>
  <c r="D179" i="17" s="1"/>
  <c r="AS36" i="4"/>
  <c r="E179" i="17" s="1"/>
  <c r="BF36" i="4"/>
  <c r="BD36" i="4"/>
  <c r="BE36" i="4"/>
  <c r="F125" i="13"/>
  <c r="AG125" i="13" s="1"/>
  <c r="F82" i="13"/>
  <c r="P82" i="13" s="1"/>
  <c r="Z107" i="13"/>
  <c r="AC107" i="13" s="1"/>
  <c r="AC13" i="13" s="1"/>
  <c r="U107" i="13"/>
  <c r="X107" i="13" s="1"/>
  <c r="AC10" i="13" s="1"/>
  <c r="AE107" i="13"/>
  <c r="P4" i="7"/>
  <c r="R4" i="7" s="1"/>
  <c r="S4" i="7" s="1"/>
  <c r="Z4" i="8" s="1"/>
  <c r="AD4" i="8" s="1"/>
  <c r="AH4" i="8" s="1"/>
  <c r="I79" i="13"/>
  <c r="I122" i="13"/>
  <c r="AG82" i="13"/>
  <c r="C41" i="4"/>
  <c r="O41" i="4" s="1"/>
  <c r="K40" i="4"/>
  <c r="B115" i="17" s="1"/>
  <c r="H38" i="4"/>
  <c r="P38" i="4" s="1"/>
  <c r="L37" i="4"/>
  <c r="B180" i="17" s="1"/>
  <c r="AQ115" i="17" l="1"/>
  <c r="T115" i="17"/>
  <c r="AU115" i="17"/>
  <c r="AC115" i="17"/>
  <c r="AV115" i="17"/>
  <c r="P115" i="17"/>
  <c r="AR115" i="17"/>
  <c r="S115" i="17"/>
  <c r="AG115" i="17"/>
  <c r="AT115" i="17"/>
  <c r="AD115" i="17"/>
  <c r="AF115" i="17"/>
  <c r="O115" i="17"/>
  <c r="AH115" i="17"/>
  <c r="R115" i="17"/>
  <c r="Q115" i="17"/>
  <c r="AE115" i="17"/>
  <c r="AS115" i="17"/>
  <c r="AF180" i="17"/>
  <c r="AC180" i="17"/>
  <c r="AV180" i="17"/>
  <c r="P180" i="17"/>
  <c r="T180" i="17"/>
  <c r="O180" i="17"/>
  <c r="AQ180" i="17"/>
  <c r="AH180" i="17"/>
  <c r="AG180" i="17"/>
  <c r="AT180" i="17"/>
  <c r="AR180" i="17"/>
  <c r="AD180" i="17"/>
  <c r="S180" i="17"/>
  <c r="R180" i="17"/>
  <c r="AU180" i="17"/>
  <c r="Q180" i="17"/>
  <c r="AS180" i="17"/>
  <c r="AE180" i="17"/>
  <c r="M7" i="7"/>
  <c r="O7" i="8" s="1"/>
  <c r="S7" i="8" s="1"/>
  <c r="W7" i="8" s="1"/>
  <c r="AB82" i="13"/>
  <c r="G82" i="13"/>
  <c r="AN40" i="4"/>
  <c r="D115" i="17" s="1"/>
  <c r="AO40" i="4"/>
  <c r="E115" i="17" s="1"/>
  <c r="AP40" i="4"/>
  <c r="F115" i="17" s="1"/>
  <c r="AZ40" i="4"/>
  <c r="BB40" i="4"/>
  <c r="BA40" i="4"/>
  <c r="N7" i="7"/>
  <c r="P7" i="8" s="1"/>
  <c r="T7" i="8" s="1"/>
  <c r="X7" i="8" s="1"/>
  <c r="AS37" i="4"/>
  <c r="E180" i="17" s="1"/>
  <c r="AT37" i="4"/>
  <c r="F180" i="17" s="1"/>
  <c r="AR37" i="4"/>
  <c r="D180" i="17" s="1"/>
  <c r="BE37" i="4"/>
  <c r="BF37" i="4"/>
  <c r="BD37" i="4"/>
  <c r="W82" i="13"/>
  <c r="W125" i="13"/>
  <c r="G125" i="13"/>
  <c r="P125" i="13"/>
  <c r="AB125" i="13"/>
  <c r="AA107" i="13"/>
  <c r="Q13" i="13" s="1"/>
  <c r="AH107" i="13"/>
  <c r="AC16" i="13" s="1"/>
  <c r="AF107" i="13"/>
  <c r="Q16" i="13" s="1"/>
  <c r="V107" i="13"/>
  <c r="Q10" i="13" s="1"/>
  <c r="I28" i="13"/>
  <c r="J122" i="13"/>
  <c r="X122" i="13"/>
  <c r="S122" i="13"/>
  <c r="AC122" i="13"/>
  <c r="AH122" i="13"/>
  <c r="P5" i="7"/>
  <c r="R5" i="7" s="1"/>
  <c r="I123" i="13"/>
  <c r="I80" i="13"/>
  <c r="I8" i="7"/>
  <c r="K8" i="7" s="1"/>
  <c r="N8" i="7" s="1"/>
  <c r="P8" i="8" s="1"/>
  <c r="T8" i="8" s="1"/>
  <c r="X8" i="8" s="1"/>
  <c r="F126" i="13"/>
  <c r="F83" i="13"/>
  <c r="U4" i="7"/>
  <c r="AB4" i="8" s="1"/>
  <c r="AF4" i="8" s="1"/>
  <c r="AJ4" i="8" s="1"/>
  <c r="T4" i="7"/>
  <c r="AA4" i="8" s="1"/>
  <c r="AE4" i="8" s="1"/>
  <c r="AI4" i="8" s="1"/>
  <c r="J79" i="13"/>
  <c r="S79" i="13"/>
  <c r="X79" i="13"/>
  <c r="AC79" i="13"/>
  <c r="AH79" i="13"/>
  <c r="I29" i="13"/>
  <c r="C42" i="4"/>
  <c r="O42" i="4" s="1"/>
  <c r="K41" i="4"/>
  <c r="B116" i="17" s="1"/>
  <c r="H39" i="4"/>
  <c r="P39" i="4" s="1"/>
  <c r="L38" i="4"/>
  <c r="B181" i="17" s="1"/>
  <c r="AF181" i="17" l="1"/>
  <c r="AG181" i="17"/>
  <c r="AR181" i="17"/>
  <c r="S181" i="17"/>
  <c r="AC181" i="17"/>
  <c r="T181" i="17"/>
  <c r="AS181" i="17"/>
  <c r="O181" i="17"/>
  <c r="AH181" i="17"/>
  <c r="AQ181" i="17"/>
  <c r="AT181" i="17"/>
  <c r="AV181" i="17"/>
  <c r="P181" i="17"/>
  <c r="R181" i="17"/>
  <c r="AU181" i="17"/>
  <c r="AD181" i="17"/>
  <c r="Q181" i="17"/>
  <c r="AE181" i="17"/>
  <c r="P116" i="17"/>
  <c r="AH116" i="17"/>
  <c r="O116" i="17"/>
  <c r="R116" i="17"/>
  <c r="AU116" i="17"/>
  <c r="AR116" i="17"/>
  <c r="AT116" i="17"/>
  <c r="T116" i="17"/>
  <c r="AV116" i="17"/>
  <c r="AD116" i="17"/>
  <c r="AG116" i="17"/>
  <c r="AC116" i="17"/>
  <c r="AF116" i="17"/>
  <c r="S116" i="17"/>
  <c r="AQ116" i="17"/>
  <c r="Q116" i="17"/>
  <c r="AE116" i="17"/>
  <c r="AS116" i="17"/>
  <c r="AN41" i="4"/>
  <c r="D116" i="17" s="1"/>
  <c r="AP41" i="4"/>
  <c r="F116" i="17" s="1"/>
  <c r="AO41" i="4"/>
  <c r="E116" i="17" s="1"/>
  <c r="AZ41" i="4"/>
  <c r="BA41" i="4"/>
  <c r="BB41" i="4"/>
  <c r="AT38" i="4"/>
  <c r="F181" i="17" s="1"/>
  <c r="AS38" i="4"/>
  <c r="E181" i="17" s="1"/>
  <c r="AR38" i="4"/>
  <c r="D181" i="17" s="1"/>
  <c r="BE38" i="4"/>
  <c r="BF38" i="4"/>
  <c r="BD38" i="4"/>
  <c r="I10" i="13"/>
  <c r="L8" i="7"/>
  <c r="N8" i="8" s="1"/>
  <c r="R8" i="8" s="1"/>
  <c r="V8" i="8" s="1"/>
  <c r="M8" i="7"/>
  <c r="O8" i="8" s="1"/>
  <c r="S8" i="8" s="1"/>
  <c r="W8" i="8" s="1"/>
  <c r="I9" i="13"/>
  <c r="I12" i="13"/>
  <c r="I31" i="13"/>
  <c r="U5" i="7"/>
  <c r="AB5" i="8" s="1"/>
  <c r="AF5" i="8" s="1"/>
  <c r="AJ5" i="8" s="1"/>
  <c r="P83" i="13"/>
  <c r="G83" i="13"/>
  <c r="W83" i="13"/>
  <c r="AG83" i="13"/>
  <c r="AB83" i="13"/>
  <c r="S123" i="13"/>
  <c r="AH123" i="13"/>
  <c r="J123" i="13"/>
  <c r="AC123" i="13"/>
  <c r="X123" i="13"/>
  <c r="P6" i="7"/>
  <c r="R6" i="7" s="1"/>
  <c r="S6" i="7" s="1"/>
  <c r="Z6" i="8" s="1"/>
  <c r="AD6" i="8" s="1"/>
  <c r="AH6" i="8" s="1"/>
  <c r="I124" i="13"/>
  <c r="I81" i="13"/>
  <c r="AD14" i="13"/>
  <c r="AC14" i="13"/>
  <c r="I9" i="7"/>
  <c r="K9" i="7" s="1"/>
  <c r="L9" i="7" s="1"/>
  <c r="N9" i="8" s="1"/>
  <c r="R9" i="8" s="1"/>
  <c r="V9" i="8" s="1"/>
  <c r="F127" i="13"/>
  <c r="F84" i="13"/>
  <c r="T5" i="7"/>
  <c r="AA5" i="8" s="1"/>
  <c r="AE5" i="8" s="1"/>
  <c r="AI5" i="8" s="1"/>
  <c r="Q14" i="13"/>
  <c r="R14" i="13"/>
  <c r="P126" i="13"/>
  <c r="G126" i="13"/>
  <c r="AG126" i="13"/>
  <c r="AB126" i="13"/>
  <c r="W126" i="13"/>
  <c r="J80" i="13"/>
  <c r="S80" i="13"/>
  <c r="X80" i="13"/>
  <c r="AH80" i="13"/>
  <c r="AC80" i="13"/>
  <c r="AC11" i="13"/>
  <c r="AD11" i="13"/>
  <c r="S5" i="7"/>
  <c r="Z5" i="8" s="1"/>
  <c r="AD5" i="8" s="1"/>
  <c r="AH5" i="8" s="1"/>
  <c r="R11" i="13"/>
  <c r="Q11" i="13"/>
  <c r="C43" i="4"/>
  <c r="O43" i="4" s="1"/>
  <c r="K42" i="4"/>
  <c r="B117" i="17" s="1"/>
  <c r="H40" i="4"/>
  <c r="P40" i="4" s="1"/>
  <c r="L39" i="4"/>
  <c r="B182" i="17" s="1"/>
  <c r="T182" i="17" l="1"/>
  <c r="AR182" i="17"/>
  <c r="AU182" i="17"/>
  <c r="P182" i="17"/>
  <c r="R182" i="17"/>
  <c r="AH182" i="17"/>
  <c r="AC182" i="17"/>
  <c r="AV182" i="17"/>
  <c r="AF182" i="17"/>
  <c r="O182" i="17"/>
  <c r="AD182" i="17"/>
  <c r="AG182" i="17"/>
  <c r="Q182" i="17"/>
  <c r="S182" i="17"/>
  <c r="AT182" i="17"/>
  <c r="AQ182" i="17"/>
  <c r="AS182" i="17"/>
  <c r="AE182" i="17"/>
  <c r="O117" i="17"/>
  <c r="AC117" i="17"/>
  <c r="R117" i="17"/>
  <c r="AH117" i="17"/>
  <c r="AV117" i="17"/>
  <c r="P117" i="17"/>
  <c r="AF117" i="17"/>
  <c r="AG117" i="17"/>
  <c r="AS117" i="17"/>
  <c r="AR117" i="17"/>
  <c r="AU117" i="17"/>
  <c r="AT117" i="17"/>
  <c r="AQ117" i="17"/>
  <c r="T117" i="17"/>
  <c r="AD117" i="17"/>
  <c r="S117" i="17"/>
  <c r="Q117" i="17"/>
  <c r="AE117" i="17"/>
  <c r="AS39" i="4"/>
  <c r="E182" i="17" s="1"/>
  <c r="AT39" i="4"/>
  <c r="F182" i="17" s="1"/>
  <c r="AR39" i="4"/>
  <c r="D182" i="17" s="1"/>
  <c r="BD39" i="4"/>
  <c r="BF39" i="4"/>
  <c r="BE39" i="4"/>
  <c r="AP42" i="4"/>
  <c r="F117" i="17" s="1"/>
  <c r="AN42" i="4"/>
  <c r="D117" i="17" s="1"/>
  <c r="AO42" i="4"/>
  <c r="E117" i="17" s="1"/>
  <c r="BB42" i="4"/>
  <c r="BA42" i="4"/>
  <c r="AZ42" i="4"/>
  <c r="AD17" i="13"/>
  <c r="AC17" i="13"/>
  <c r="N9" i="7"/>
  <c r="P9" i="8" s="1"/>
  <c r="T9" i="8" s="1"/>
  <c r="X9" i="8" s="1"/>
  <c r="M9" i="7"/>
  <c r="O9" i="8" s="1"/>
  <c r="S9" i="8" s="1"/>
  <c r="W9" i="8" s="1"/>
  <c r="R17" i="13"/>
  <c r="Q17" i="13"/>
  <c r="S124" i="13"/>
  <c r="J124" i="13"/>
  <c r="AH124" i="13"/>
  <c r="AC124" i="13"/>
  <c r="X124" i="13"/>
  <c r="G84" i="13"/>
  <c r="P84" i="13"/>
  <c r="AB84" i="13"/>
  <c r="AG84" i="13"/>
  <c r="W84" i="13"/>
  <c r="S81" i="13"/>
  <c r="J81" i="13"/>
  <c r="AH81" i="13"/>
  <c r="X81" i="13"/>
  <c r="AC81" i="13"/>
  <c r="P7" i="7"/>
  <c r="R7" i="7" s="1"/>
  <c r="I125" i="13"/>
  <c r="I82" i="13"/>
  <c r="U6" i="7"/>
  <c r="AB6" i="8" s="1"/>
  <c r="AF6" i="8" s="1"/>
  <c r="AJ6" i="8" s="1"/>
  <c r="W127" i="13"/>
  <c r="G127" i="13"/>
  <c r="P127" i="13"/>
  <c r="AG127" i="13"/>
  <c r="AB127" i="13"/>
  <c r="T6" i="7"/>
  <c r="AA6" i="8" s="1"/>
  <c r="AE6" i="8" s="1"/>
  <c r="AI6" i="8" s="1"/>
  <c r="I10" i="7"/>
  <c r="K10" i="7" s="1"/>
  <c r="F128" i="13"/>
  <c r="F85" i="13"/>
  <c r="C44" i="4"/>
  <c r="O44" i="4" s="1"/>
  <c r="K43" i="4"/>
  <c r="B118" i="17" s="1"/>
  <c r="H41" i="4"/>
  <c r="P41" i="4" s="1"/>
  <c r="L40" i="4"/>
  <c r="B183" i="17" s="1"/>
  <c r="AU183" i="17" l="1"/>
  <c r="AQ183" i="17"/>
  <c r="T183" i="17"/>
  <c r="AD183" i="17"/>
  <c r="AC183" i="17"/>
  <c r="P183" i="17"/>
  <c r="AF183" i="17"/>
  <c r="AH183" i="17"/>
  <c r="AR183" i="17"/>
  <c r="AV183" i="17"/>
  <c r="AG183" i="17"/>
  <c r="S183" i="17"/>
  <c r="O183" i="17"/>
  <c r="R183" i="17"/>
  <c r="AT183" i="17"/>
  <c r="AS183" i="17"/>
  <c r="Q183" i="17"/>
  <c r="AE183" i="17"/>
  <c r="P118" i="17"/>
  <c r="T118" i="17"/>
  <c r="AC118" i="17"/>
  <c r="AV118" i="17"/>
  <c r="S118" i="17"/>
  <c r="O118" i="17"/>
  <c r="AG118" i="17"/>
  <c r="AQ118" i="17"/>
  <c r="R118" i="17"/>
  <c r="AR118" i="17"/>
  <c r="AD118" i="17"/>
  <c r="AU118" i="17"/>
  <c r="AH118" i="17"/>
  <c r="AT118" i="17"/>
  <c r="AE118" i="17"/>
  <c r="AF118" i="17"/>
  <c r="Q118" i="17"/>
  <c r="AS118" i="17"/>
  <c r="AS40" i="4"/>
  <c r="E183" i="17" s="1"/>
  <c r="AT40" i="4"/>
  <c r="F183" i="17" s="1"/>
  <c r="AR40" i="4"/>
  <c r="D183" i="17" s="1"/>
  <c r="BD40" i="4"/>
  <c r="BF40" i="4"/>
  <c r="BE40" i="4"/>
  <c r="AO43" i="4"/>
  <c r="E118" i="17" s="1"/>
  <c r="AN43" i="4"/>
  <c r="D118" i="17" s="1"/>
  <c r="AP43" i="4"/>
  <c r="F118" i="17" s="1"/>
  <c r="BA43" i="4"/>
  <c r="AZ43" i="4"/>
  <c r="BB43" i="4"/>
  <c r="L10" i="7"/>
  <c r="N10" i="8" s="1"/>
  <c r="R10" i="8" s="1"/>
  <c r="V10" i="8" s="1"/>
  <c r="S7" i="7"/>
  <c r="Z7" i="8" s="1"/>
  <c r="AD7" i="8" s="1"/>
  <c r="AH7" i="8" s="1"/>
  <c r="T7" i="7"/>
  <c r="AA7" i="8" s="1"/>
  <c r="AE7" i="8" s="1"/>
  <c r="AI7" i="8" s="1"/>
  <c r="G85" i="13"/>
  <c r="P85" i="13"/>
  <c r="W85" i="13"/>
  <c r="AG85" i="13"/>
  <c r="AB85" i="13"/>
  <c r="S82" i="13"/>
  <c r="J82" i="13"/>
  <c r="AC82" i="13"/>
  <c r="X82" i="13"/>
  <c r="AH82" i="13"/>
  <c r="S125" i="13"/>
  <c r="AC125" i="13"/>
  <c r="X125" i="13"/>
  <c r="J125" i="13"/>
  <c r="AH125" i="13"/>
  <c r="G128" i="13"/>
  <c r="P128" i="13"/>
  <c r="AB128" i="13"/>
  <c r="AG128" i="13"/>
  <c r="W128" i="13"/>
  <c r="I11" i="7"/>
  <c r="K11" i="7" s="1"/>
  <c r="L11" i="7" s="1"/>
  <c r="N11" i="8" s="1"/>
  <c r="R11" i="8" s="1"/>
  <c r="V11" i="8" s="1"/>
  <c r="F129" i="13"/>
  <c r="F86" i="13"/>
  <c r="M10" i="7"/>
  <c r="O10" i="8" s="1"/>
  <c r="S10" i="8" s="1"/>
  <c r="W10" i="8" s="1"/>
  <c r="N10" i="7"/>
  <c r="P10" i="8" s="1"/>
  <c r="T10" i="8" s="1"/>
  <c r="X10" i="8" s="1"/>
  <c r="P8" i="7"/>
  <c r="R8" i="7" s="1"/>
  <c r="S8" i="7" s="1"/>
  <c r="Z8" i="8" s="1"/>
  <c r="AD8" i="8" s="1"/>
  <c r="AH8" i="8" s="1"/>
  <c r="I126" i="13"/>
  <c r="I83" i="13"/>
  <c r="U7" i="7"/>
  <c r="AB7" i="8" s="1"/>
  <c r="AF7" i="8" s="1"/>
  <c r="AJ7" i="8" s="1"/>
  <c r="H42" i="4"/>
  <c r="P42" i="4" s="1"/>
  <c r="L41" i="4"/>
  <c r="B184" i="17" s="1"/>
  <c r="C45" i="4"/>
  <c r="O45" i="4" s="1"/>
  <c r="K44" i="4"/>
  <c r="B119" i="17" s="1"/>
  <c r="R119" i="17" l="1"/>
  <c r="AU119" i="17"/>
  <c r="AD119" i="17"/>
  <c r="T119" i="17"/>
  <c r="AT119" i="17"/>
  <c r="AC119" i="17"/>
  <c r="AR119" i="17"/>
  <c r="O119" i="17"/>
  <c r="AV119" i="17"/>
  <c r="S119" i="17"/>
  <c r="AH119" i="17"/>
  <c r="AG119" i="17"/>
  <c r="AF119" i="17"/>
  <c r="AQ119" i="17"/>
  <c r="P119" i="17"/>
  <c r="AE119" i="17"/>
  <c r="AS119" i="17"/>
  <c r="Q119" i="17"/>
  <c r="AT184" i="17"/>
  <c r="AH184" i="17"/>
  <c r="AR184" i="17"/>
  <c r="AU184" i="17"/>
  <c r="R184" i="17"/>
  <c r="O184" i="17"/>
  <c r="P184" i="17"/>
  <c r="AV184" i="17"/>
  <c r="AC184" i="17"/>
  <c r="AD184" i="17"/>
  <c r="S184" i="17"/>
  <c r="AG184" i="17"/>
  <c r="T184" i="17"/>
  <c r="AQ184" i="17"/>
  <c r="AF184" i="17"/>
  <c r="AE184" i="17"/>
  <c r="AS184" i="17"/>
  <c r="Q184" i="17"/>
  <c r="AO44" i="4"/>
  <c r="E119" i="17" s="1"/>
  <c r="AP44" i="4"/>
  <c r="F119" i="17" s="1"/>
  <c r="AN44" i="4"/>
  <c r="D119" i="17" s="1"/>
  <c r="BB44" i="4"/>
  <c r="BA44" i="4"/>
  <c r="AZ44" i="4"/>
  <c r="AS41" i="4"/>
  <c r="E184" i="17" s="1"/>
  <c r="AT41" i="4"/>
  <c r="F184" i="17" s="1"/>
  <c r="AR41" i="4"/>
  <c r="D184" i="17" s="1"/>
  <c r="BE41" i="4"/>
  <c r="BD41" i="4"/>
  <c r="BF41" i="4"/>
  <c r="M11" i="7"/>
  <c r="O11" i="8" s="1"/>
  <c r="S11" i="8" s="1"/>
  <c r="W11" i="8" s="1"/>
  <c r="N11" i="7"/>
  <c r="P11" i="8" s="1"/>
  <c r="T11" i="8" s="1"/>
  <c r="X11" i="8" s="1"/>
  <c r="X126" i="13"/>
  <c r="S126" i="13"/>
  <c r="J126" i="13"/>
  <c r="AH126" i="13"/>
  <c r="AC126" i="13"/>
  <c r="I12" i="7"/>
  <c r="K12" i="7" s="1"/>
  <c r="F130" i="13"/>
  <c r="F87" i="13"/>
  <c r="T8" i="7"/>
  <c r="AA8" i="8" s="1"/>
  <c r="AE8" i="8" s="1"/>
  <c r="AI8" i="8" s="1"/>
  <c r="U8" i="7"/>
  <c r="AB8" i="8" s="1"/>
  <c r="AF8" i="8" s="1"/>
  <c r="AJ8" i="8" s="1"/>
  <c r="P9" i="7"/>
  <c r="R9" i="7" s="1"/>
  <c r="I127" i="13"/>
  <c r="I84" i="13"/>
  <c r="P86" i="13"/>
  <c r="G86" i="13"/>
  <c r="W86" i="13"/>
  <c r="AB86" i="13"/>
  <c r="AG86" i="13"/>
  <c r="G129" i="13"/>
  <c r="P129" i="13"/>
  <c r="W129" i="13"/>
  <c r="AG129" i="13"/>
  <c r="AB129" i="13"/>
  <c r="J83" i="13"/>
  <c r="S83" i="13"/>
  <c r="AC83" i="13"/>
  <c r="X83" i="13"/>
  <c r="AH83" i="13"/>
  <c r="C46" i="4"/>
  <c r="O46" i="4" s="1"/>
  <c r="K45" i="4"/>
  <c r="B120" i="17" s="1"/>
  <c r="H43" i="4"/>
  <c r="P43" i="4" s="1"/>
  <c r="L42" i="4"/>
  <c r="B185" i="17" s="1"/>
  <c r="AV120" i="17" l="1"/>
  <c r="AF120" i="17"/>
  <c r="AR120" i="17"/>
  <c r="AU120" i="17"/>
  <c r="AC120" i="17"/>
  <c r="AT120" i="17"/>
  <c r="R120" i="17"/>
  <c r="AQ120" i="17"/>
  <c r="AH120" i="17"/>
  <c r="P120" i="17"/>
  <c r="O120" i="17"/>
  <c r="T120" i="17"/>
  <c r="AG120" i="17"/>
  <c r="AD120" i="17"/>
  <c r="S120" i="17"/>
  <c r="AE120" i="17"/>
  <c r="Q120" i="17"/>
  <c r="AS120" i="17"/>
  <c r="AH185" i="17"/>
  <c r="AV185" i="17"/>
  <c r="R185" i="17"/>
  <c r="O185" i="17"/>
  <c r="P185" i="17"/>
  <c r="AC185" i="17"/>
  <c r="S185" i="17"/>
  <c r="AU185" i="17"/>
  <c r="AG185" i="17"/>
  <c r="AD185" i="17"/>
  <c r="AF185" i="17"/>
  <c r="AT185" i="17"/>
  <c r="AQ185" i="17"/>
  <c r="AS185" i="17"/>
  <c r="AR185" i="17"/>
  <c r="T185" i="17"/>
  <c r="Q185" i="17"/>
  <c r="AE185" i="17"/>
  <c r="AT42" i="4"/>
  <c r="F185" i="17" s="1"/>
  <c r="AS42" i="4"/>
  <c r="E185" i="17" s="1"/>
  <c r="AR42" i="4"/>
  <c r="D185" i="17" s="1"/>
  <c r="BF42" i="4"/>
  <c r="BE42" i="4"/>
  <c r="BD42" i="4"/>
  <c r="AO45" i="4"/>
  <c r="E120" i="17" s="1"/>
  <c r="AP45" i="4"/>
  <c r="F120" i="17" s="1"/>
  <c r="AN45" i="4"/>
  <c r="D120" i="17" s="1"/>
  <c r="BB45" i="4"/>
  <c r="BA45" i="4"/>
  <c r="AZ45" i="4"/>
  <c r="U9" i="7"/>
  <c r="AB9" i="8" s="1"/>
  <c r="AF9" i="8" s="1"/>
  <c r="AJ9" i="8" s="1"/>
  <c r="S9" i="7"/>
  <c r="Z9" i="8" s="1"/>
  <c r="AD9" i="8" s="1"/>
  <c r="AH9" i="8" s="1"/>
  <c r="T9" i="7"/>
  <c r="AA9" i="8" s="1"/>
  <c r="AE9" i="8" s="1"/>
  <c r="AI9" i="8" s="1"/>
  <c r="G87" i="13"/>
  <c r="P87" i="13"/>
  <c r="W87" i="13"/>
  <c r="AG87" i="13"/>
  <c r="AB87" i="13"/>
  <c r="G130" i="13"/>
  <c r="P130" i="13"/>
  <c r="W130" i="13"/>
  <c r="AG130" i="13"/>
  <c r="AB130" i="13"/>
  <c r="P10" i="7"/>
  <c r="R10" i="7" s="1"/>
  <c r="I128" i="13"/>
  <c r="I85" i="13"/>
  <c r="S84" i="13"/>
  <c r="J84" i="13"/>
  <c r="AH84" i="13"/>
  <c r="AC84" i="13"/>
  <c r="X84" i="13"/>
  <c r="M12" i="7"/>
  <c r="O12" i="8" s="1"/>
  <c r="S12" i="8" s="1"/>
  <c r="W12" i="8" s="1"/>
  <c r="S127" i="13"/>
  <c r="J127" i="13"/>
  <c r="AC127" i="13"/>
  <c r="X127" i="13"/>
  <c r="AH127" i="13"/>
  <c r="N12" i="7"/>
  <c r="P12" i="8" s="1"/>
  <c r="T12" i="8" s="1"/>
  <c r="X12" i="8" s="1"/>
  <c r="I13" i="7"/>
  <c r="K13" i="7" s="1"/>
  <c r="F88" i="13"/>
  <c r="F131" i="13"/>
  <c r="L12" i="7"/>
  <c r="N12" i="8" s="1"/>
  <c r="R12" i="8" s="1"/>
  <c r="V12" i="8" s="1"/>
  <c r="H44" i="4"/>
  <c r="P44" i="4" s="1"/>
  <c r="L43" i="4"/>
  <c r="B186" i="17" s="1"/>
  <c r="C47" i="4"/>
  <c r="O47" i="4" s="1"/>
  <c r="K46" i="4"/>
  <c r="B121" i="17" s="1"/>
  <c r="P121" i="17" l="1"/>
  <c r="AG121" i="17"/>
  <c r="AH121" i="17"/>
  <c r="T121" i="17"/>
  <c r="AT121" i="17"/>
  <c r="AF121" i="17"/>
  <c r="S121" i="17"/>
  <c r="O121" i="17"/>
  <c r="AD121" i="17"/>
  <c r="AQ121" i="17"/>
  <c r="AU121" i="17"/>
  <c r="AR121" i="17"/>
  <c r="AC121" i="17"/>
  <c r="Q121" i="17"/>
  <c r="R121" i="17"/>
  <c r="AV121" i="17"/>
  <c r="AE121" i="17"/>
  <c r="AS121" i="17"/>
  <c r="AR186" i="17"/>
  <c r="O186" i="17"/>
  <c r="AV186" i="17"/>
  <c r="AC186" i="17"/>
  <c r="P186" i="17"/>
  <c r="S186" i="17"/>
  <c r="T186" i="17"/>
  <c r="AU186" i="17"/>
  <c r="AE186" i="17"/>
  <c r="AG186" i="17"/>
  <c r="R186" i="17"/>
  <c r="AF186" i="17"/>
  <c r="AH186" i="17"/>
  <c r="AD186" i="17"/>
  <c r="AT186" i="17"/>
  <c r="AQ186" i="17"/>
  <c r="AS186" i="17"/>
  <c r="Q186" i="17"/>
  <c r="AP46" i="4"/>
  <c r="F121" i="17" s="1"/>
  <c r="AN46" i="4"/>
  <c r="D121" i="17" s="1"/>
  <c r="AO46" i="4"/>
  <c r="E121" i="17" s="1"/>
  <c r="AZ46" i="4"/>
  <c r="BA46" i="4"/>
  <c r="BB46" i="4"/>
  <c r="AR43" i="4"/>
  <c r="D186" i="17" s="1"/>
  <c r="AT43" i="4"/>
  <c r="F186" i="17" s="1"/>
  <c r="AS43" i="4"/>
  <c r="E186" i="17" s="1"/>
  <c r="BE43" i="4"/>
  <c r="BF43" i="4"/>
  <c r="BD43" i="4"/>
  <c r="M13" i="7"/>
  <c r="O13" i="8" s="1"/>
  <c r="S13" i="8" s="1"/>
  <c r="W13" i="8" s="1"/>
  <c r="L13" i="7"/>
  <c r="N13" i="8" s="1"/>
  <c r="R13" i="8" s="1"/>
  <c r="V13" i="8" s="1"/>
  <c r="N13" i="7"/>
  <c r="P13" i="8" s="1"/>
  <c r="T13" i="8" s="1"/>
  <c r="X13" i="8" s="1"/>
  <c r="S10" i="7"/>
  <c r="Z10" i="8" s="1"/>
  <c r="AD10" i="8" s="1"/>
  <c r="AH10" i="8" s="1"/>
  <c r="U10" i="7"/>
  <c r="AB10" i="8" s="1"/>
  <c r="AF10" i="8" s="1"/>
  <c r="AJ10" i="8" s="1"/>
  <c r="T10" i="7"/>
  <c r="AA10" i="8" s="1"/>
  <c r="AE10" i="8" s="1"/>
  <c r="AI10" i="8" s="1"/>
  <c r="P11" i="7"/>
  <c r="R11" i="7" s="1"/>
  <c r="I129" i="13"/>
  <c r="I86" i="13"/>
  <c r="G131" i="13"/>
  <c r="P131" i="13"/>
  <c r="AG131" i="13"/>
  <c r="AB131" i="13"/>
  <c r="W131" i="13"/>
  <c r="G88" i="13"/>
  <c r="P88" i="13"/>
  <c r="AG88" i="13"/>
  <c r="W88" i="13"/>
  <c r="AB88" i="13"/>
  <c r="S85" i="13"/>
  <c r="J85" i="13"/>
  <c r="X85" i="13"/>
  <c r="AH85" i="13"/>
  <c r="AC85" i="13"/>
  <c r="J128" i="13"/>
  <c r="S128" i="13"/>
  <c r="X128" i="13"/>
  <c r="AC128" i="13"/>
  <c r="AH128" i="13"/>
  <c r="I14" i="7"/>
  <c r="K14" i="7" s="1"/>
  <c r="F89" i="13"/>
  <c r="F132" i="13"/>
  <c r="C48" i="4"/>
  <c r="O48" i="4" s="1"/>
  <c r="K47" i="4"/>
  <c r="B122" i="17" s="1"/>
  <c r="H45" i="4"/>
  <c r="P45" i="4" s="1"/>
  <c r="L44" i="4"/>
  <c r="B187" i="17" s="1"/>
  <c r="AD187" i="17" l="1"/>
  <c r="AR187" i="17"/>
  <c r="R187" i="17"/>
  <c r="AU187" i="17"/>
  <c r="T187" i="17"/>
  <c r="AT187" i="17"/>
  <c r="O187" i="17"/>
  <c r="P187" i="17"/>
  <c r="AQ187" i="17"/>
  <c r="AG187" i="17"/>
  <c r="AH187" i="17"/>
  <c r="S187" i="17"/>
  <c r="AC187" i="17"/>
  <c r="AF187" i="17"/>
  <c r="AV187" i="17"/>
  <c r="AS187" i="17"/>
  <c r="Q187" i="17"/>
  <c r="AE187" i="17"/>
  <c r="AU122" i="17"/>
  <c r="O122" i="17"/>
  <c r="AR122" i="17"/>
  <c r="T122" i="17"/>
  <c r="P122" i="17"/>
  <c r="AQ122" i="17"/>
  <c r="AV122" i="17"/>
  <c r="S122" i="17"/>
  <c r="AD122" i="17"/>
  <c r="AF122" i="17"/>
  <c r="R122" i="17"/>
  <c r="AG122" i="17"/>
  <c r="AT122" i="17"/>
  <c r="AC122" i="17"/>
  <c r="AH122" i="17"/>
  <c r="AE122" i="17"/>
  <c r="AS122" i="17"/>
  <c r="Q122" i="17"/>
  <c r="AR44" i="4"/>
  <c r="D187" i="17" s="1"/>
  <c r="AT44" i="4"/>
  <c r="F187" i="17" s="1"/>
  <c r="AS44" i="4"/>
  <c r="E187" i="17" s="1"/>
  <c r="BE44" i="4"/>
  <c r="BF44" i="4"/>
  <c r="BD44" i="4"/>
  <c r="AO47" i="4"/>
  <c r="E122" i="17" s="1"/>
  <c r="AP47" i="4"/>
  <c r="F122" i="17" s="1"/>
  <c r="AN47" i="4"/>
  <c r="D122" i="17" s="1"/>
  <c r="BA47" i="4"/>
  <c r="AZ47" i="4"/>
  <c r="BB47" i="4"/>
  <c r="U11" i="7"/>
  <c r="AB11" i="8" s="1"/>
  <c r="AF11" i="8" s="1"/>
  <c r="AJ11" i="8" s="1"/>
  <c r="S11" i="7"/>
  <c r="Z11" i="8" s="1"/>
  <c r="AD11" i="8" s="1"/>
  <c r="AH11" i="8" s="1"/>
  <c r="L14" i="7"/>
  <c r="N14" i="8" s="1"/>
  <c r="R14" i="8" s="1"/>
  <c r="V14" i="8" s="1"/>
  <c r="N14" i="7"/>
  <c r="P14" i="8" s="1"/>
  <c r="T14" i="8" s="1"/>
  <c r="X14" i="8" s="1"/>
  <c r="M14" i="7"/>
  <c r="O14" i="8" s="1"/>
  <c r="S14" i="8" s="1"/>
  <c r="W14" i="8" s="1"/>
  <c r="P132" i="13"/>
  <c r="G132" i="13"/>
  <c r="W132" i="13"/>
  <c r="AG132" i="13"/>
  <c r="AB132" i="13"/>
  <c r="G89" i="13"/>
  <c r="P89" i="13"/>
  <c r="AB89" i="13"/>
  <c r="W89" i="13"/>
  <c r="AG89" i="13"/>
  <c r="P12" i="7"/>
  <c r="R12" i="7" s="1"/>
  <c r="U12" i="7" s="1"/>
  <c r="AB12" i="8" s="1"/>
  <c r="AF12" i="8" s="1"/>
  <c r="AJ12" i="8" s="1"/>
  <c r="I130" i="13"/>
  <c r="I87" i="13"/>
  <c r="I15" i="7"/>
  <c r="K15" i="7" s="1"/>
  <c r="M15" i="7" s="1"/>
  <c r="O15" i="8" s="1"/>
  <c r="S15" i="8" s="1"/>
  <c r="W15" i="8" s="1"/>
  <c r="F90" i="13"/>
  <c r="F133" i="13"/>
  <c r="T11" i="7"/>
  <c r="AA11" i="8" s="1"/>
  <c r="AE11" i="8" s="1"/>
  <c r="AI11" i="8" s="1"/>
  <c r="J86" i="13"/>
  <c r="S86" i="13"/>
  <c r="X86" i="13"/>
  <c r="AC86" i="13"/>
  <c r="AH86" i="13"/>
  <c r="AH129" i="13"/>
  <c r="J129" i="13"/>
  <c r="AC129" i="13"/>
  <c r="X129" i="13"/>
  <c r="S129" i="13"/>
  <c r="H46" i="4"/>
  <c r="P46" i="4" s="1"/>
  <c r="L45" i="4"/>
  <c r="B188" i="17" s="1"/>
  <c r="C49" i="4"/>
  <c r="O49" i="4" s="1"/>
  <c r="K48" i="4"/>
  <c r="B123" i="17" s="1"/>
  <c r="AR123" i="17" l="1"/>
  <c r="AF123" i="17"/>
  <c r="AT123" i="17"/>
  <c r="AG123" i="17"/>
  <c r="S123" i="17"/>
  <c r="AC123" i="17"/>
  <c r="AQ123" i="17"/>
  <c r="P123" i="17"/>
  <c r="AU123" i="17"/>
  <c r="AD123" i="17"/>
  <c r="AH123" i="17"/>
  <c r="T123" i="17"/>
  <c r="O123" i="17"/>
  <c r="AV123" i="17"/>
  <c r="R123" i="17"/>
  <c r="AE123" i="17"/>
  <c r="Q123" i="17"/>
  <c r="AS123" i="17"/>
  <c r="AC188" i="17"/>
  <c r="AU188" i="17"/>
  <c r="AV188" i="17"/>
  <c r="AF188" i="17"/>
  <c r="AR188" i="17"/>
  <c r="O188" i="17"/>
  <c r="T188" i="17"/>
  <c r="AG188" i="17"/>
  <c r="P188" i="17"/>
  <c r="AH188" i="17"/>
  <c r="S188" i="17"/>
  <c r="AT188" i="17"/>
  <c r="AQ188" i="17"/>
  <c r="R188" i="17"/>
  <c r="AD188" i="17"/>
  <c r="AE188" i="17"/>
  <c r="Q188" i="17"/>
  <c r="AS188" i="17"/>
  <c r="AO48" i="4"/>
  <c r="E123" i="17" s="1"/>
  <c r="AP48" i="4"/>
  <c r="F123" i="17" s="1"/>
  <c r="AN48" i="4"/>
  <c r="D123" i="17" s="1"/>
  <c r="AZ48" i="4"/>
  <c r="BA48" i="4"/>
  <c r="BB48" i="4"/>
  <c r="AT45" i="4"/>
  <c r="F188" i="17" s="1"/>
  <c r="AR45" i="4"/>
  <c r="D188" i="17" s="1"/>
  <c r="AS45" i="4"/>
  <c r="E188" i="17" s="1"/>
  <c r="BE45" i="4"/>
  <c r="BF45" i="4"/>
  <c r="BD45" i="4"/>
  <c r="S12" i="7"/>
  <c r="Z12" i="8" s="1"/>
  <c r="AD12" i="8" s="1"/>
  <c r="AH12" i="8" s="1"/>
  <c r="T12" i="7"/>
  <c r="AA12" i="8" s="1"/>
  <c r="AE12" i="8" s="1"/>
  <c r="AI12" i="8" s="1"/>
  <c r="L15" i="7"/>
  <c r="N15" i="8" s="1"/>
  <c r="R15" i="8" s="1"/>
  <c r="V15" i="8" s="1"/>
  <c r="P133" i="13"/>
  <c r="W133" i="13"/>
  <c r="G133" i="13"/>
  <c r="AB133" i="13"/>
  <c r="AG133" i="13"/>
  <c r="P90" i="13"/>
  <c r="G90" i="13"/>
  <c r="AG90" i="13"/>
  <c r="W90" i="13"/>
  <c r="AB90" i="13"/>
  <c r="I16" i="7"/>
  <c r="K16" i="7" s="1"/>
  <c r="F134" i="13"/>
  <c r="F91" i="13"/>
  <c r="P13" i="7"/>
  <c r="R13" i="7" s="1"/>
  <c r="I88" i="13"/>
  <c r="I131" i="13"/>
  <c r="S87" i="13"/>
  <c r="J87" i="13"/>
  <c r="AH87" i="13"/>
  <c r="AC87" i="13"/>
  <c r="X87" i="13"/>
  <c r="N15" i="7"/>
  <c r="P15" i="8" s="1"/>
  <c r="T15" i="8" s="1"/>
  <c r="X15" i="8" s="1"/>
  <c r="J130" i="13"/>
  <c r="S130" i="13"/>
  <c r="AC130" i="13"/>
  <c r="X130" i="13"/>
  <c r="AH130" i="13"/>
  <c r="C50" i="4"/>
  <c r="O50" i="4" s="1"/>
  <c r="K49" i="4"/>
  <c r="B124" i="17" s="1"/>
  <c r="H47" i="4"/>
  <c r="P47" i="4" s="1"/>
  <c r="L46" i="4"/>
  <c r="B189" i="17" s="1"/>
  <c r="AD124" i="17" l="1"/>
  <c r="P124" i="17"/>
  <c r="AU124" i="17"/>
  <c r="AG124" i="17"/>
  <c r="AH124" i="17"/>
  <c r="S124" i="17"/>
  <c r="AS124" i="17"/>
  <c r="T124" i="17"/>
  <c r="AC124" i="17"/>
  <c r="AF124" i="17"/>
  <c r="R124" i="17"/>
  <c r="AR124" i="17"/>
  <c r="AQ124" i="17"/>
  <c r="AT124" i="17"/>
  <c r="AV124" i="17"/>
  <c r="O124" i="17"/>
  <c r="AE124" i="17"/>
  <c r="Q124" i="17"/>
  <c r="AG189" i="17"/>
  <c r="P189" i="17"/>
  <c r="AF189" i="17"/>
  <c r="O189" i="17"/>
  <c r="AT189" i="17"/>
  <c r="T189" i="17"/>
  <c r="AH189" i="17"/>
  <c r="S189" i="17"/>
  <c r="R189" i="17"/>
  <c r="AC189" i="17"/>
  <c r="Q189" i="17"/>
  <c r="AD189" i="17"/>
  <c r="AU189" i="17"/>
  <c r="AQ189" i="17"/>
  <c r="AR189" i="17"/>
  <c r="AV189" i="17"/>
  <c r="AE189" i="17"/>
  <c r="AS189" i="17"/>
  <c r="AP49" i="4"/>
  <c r="F124" i="17" s="1"/>
  <c r="AO49" i="4"/>
  <c r="E124" i="17" s="1"/>
  <c r="AN49" i="4"/>
  <c r="D124" i="17" s="1"/>
  <c r="BB49" i="4"/>
  <c r="BA49" i="4"/>
  <c r="AZ49" i="4"/>
  <c r="AS46" i="4"/>
  <c r="E189" i="17" s="1"/>
  <c r="AT46" i="4"/>
  <c r="F189" i="17" s="1"/>
  <c r="AR46" i="4"/>
  <c r="D189" i="17" s="1"/>
  <c r="BD46" i="4"/>
  <c r="BE46" i="4"/>
  <c r="BF46" i="4"/>
  <c r="T13" i="7"/>
  <c r="AA13" i="8" s="1"/>
  <c r="AE13" i="8" s="1"/>
  <c r="AI13" i="8" s="1"/>
  <c r="U13" i="7"/>
  <c r="AB13" i="8" s="1"/>
  <c r="AF13" i="8" s="1"/>
  <c r="AJ13" i="8" s="1"/>
  <c r="S13" i="7"/>
  <c r="Z13" i="8" s="1"/>
  <c r="AD13" i="8" s="1"/>
  <c r="AH13" i="8" s="1"/>
  <c r="N16" i="7"/>
  <c r="P16" i="8" s="1"/>
  <c r="T16" i="8" s="1"/>
  <c r="X16" i="8" s="1"/>
  <c r="P14" i="7"/>
  <c r="R14" i="7" s="1"/>
  <c r="S14" i="7" s="1"/>
  <c r="Z14" i="8" s="1"/>
  <c r="AD14" i="8" s="1"/>
  <c r="AH14" i="8" s="1"/>
  <c r="I132" i="13"/>
  <c r="I89" i="13"/>
  <c r="L16" i="7"/>
  <c r="N16" i="8" s="1"/>
  <c r="R16" i="8" s="1"/>
  <c r="V16" i="8" s="1"/>
  <c r="J88" i="13"/>
  <c r="S88" i="13"/>
  <c r="AH88" i="13"/>
  <c r="AC88" i="13"/>
  <c r="X88" i="13"/>
  <c r="J131" i="13"/>
  <c r="S131" i="13"/>
  <c r="AC131" i="13"/>
  <c r="X131" i="13"/>
  <c r="AH131" i="13"/>
  <c r="I17" i="7"/>
  <c r="K17" i="7" s="1"/>
  <c r="L17" i="7" s="1"/>
  <c r="N17" i="8" s="1"/>
  <c r="R17" i="8" s="1"/>
  <c r="V17" i="8" s="1"/>
  <c r="F135" i="13"/>
  <c r="F92" i="13"/>
  <c r="M16" i="7"/>
  <c r="O16" i="8" s="1"/>
  <c r="S16" i="8" s="1"/>
  <c r="W16" i="8" s="1"/>
  <c r="G91" i="13"/>
  <c r="P91" i="13"/>
  <c r="AB91" i="13"/>
  <c r="W91" i="13"/>
  <c r="AG91" i="13"/>
  <c r="P134" i="13"/>
  <c r="W134" i="13"/>
  <c r="G134" i="13"/>
  <c r="AB134" i="13"/>
  <c r="AG134" i="13"/>
  <c r="H48" i="4"/>
  <c r="P48" i="4" s="1"/>
  <c r="L47" i="4"/>
  <c r="B190" i="17" s="1"/>
  <c r="C51" i="4"/>
  <c r="O51" i="4" s="1"/>
  <c r="K50" i="4"/>
  <c r="B125" i="17" s="1"/>
  <c r="T125" i="17" l="1"/>
  <c r="AV125" i="17"/>
  <c r="AQ125" i="17"/>
  <c r="S125" i="17"/>
  <c r="AG125" i="17"/>
  <c r="AR125" i="17"/>
  <c r="P125" i="17"/>
  <c r="AD125" i="17"/>
  <c r="R125" i="17"/>
  <c r="AH125" i="17"/>
  <c r="O125" i="17"/>
  <c r="AF125" i="17"/>
  <c r="AC125" i="17"/>
  <c r="AU125" i="17"/>
  <c r="AT125" i="17"/>
  <c r="AS125" i="17"/>
  <c r="AE125" i="17"/>
  <c r="Q125" i="17"/>
  <c r="AR190" i="17"/>
  <c r="O190" i="17"/>
  <c r="AU190" i="17"/>
  <c r="P190" i="17"/>
  <c r="AH190" i="17"/>
  <c r="R190" i="17"/>
  <c r="AV190" i="17"/>
  <c r="S190" i="17"/>
  <c r="AG190" i="17"/>
  <c r="AD190" i="17"/>
  <c r="AT190" i="17"/>
  <c r="AF190" i="17"/>
  <c r="T190" i="17"/>
  <c r="AC190" i="17"/>
  <c r="AQ190" i="17"/>
  <c r="AE190" i="17"/>
  <c r="Q190" i="17"/>
  <c r="AS190" i="17"/>
  <c r="AN50" i="4"/>
  <c r="D125" i="17" s="1"/>
  <c r="AO50" i="4"/>
  <c r="E125" i="17" s="1"/>
  <c r="AP50" i="4"/>
  <c r="F125" i="17" s="1"/>
  <c r="BB50" i="4"/>
  <c r="AZ50" i="4"/>
  <c r="BA50" i="4"/>
  <c r="AS47" i="4"/>
  <c r="E190" i="17" s="1"/>
  <c r="AT47" i="4"/>
  <c r="F190" i="17" s="1"/>
  <c r="AR47" i="4"/>
  <c r="D190" i="17" s="1"/>
  <c r="BE47" i="4"/>
  <c r="BF47" i="4"/>
  <c r="BD47" i="4"/>
  <c r="T14" i="7"/>
  <c r="AA14" i="8" s="1"/>
  <c r="AE14" i="8" s="1"/>
  <c r="AI14" i="8" s="1"/>
  <c r="U14" i="7"/>
  <c r="AB14" i="8" s="1"/>
  <c r="AF14" i="8" s="1"/>
  <c r="AJ14" i="8" s="1"/>
  <c r="P92" i="13"/>
  <c r="G92" i="13"/>
  <c r="W92" i="13"/>
  <c r="AB92" i="13"/>
  <c r="AG92" i="13"/>
  <c r="P135" i="13"/>
  <c r="G135" i="13"/>
  <c r="W135" i="13"/>
  <c r="AB135" i="13"/>
  <c r="AG135" i="13"/>
  <c r="P15" i="7"/>
  <c r="R15" i="7" s="1"/>
  <c r="I133" i="13"/>
  <c r="I90" i="13"/>
  <c r="N17" i="7"/>
  <c r="P17" i="8" s="1"/>
  <c r="T17" i="8" s="1"/>
  <c r="X17" i="8" s="1"/>
  <c r="M17" i="7"/>
  <c r="O17" i="8" s="1"/>
  <c r="S17" i="8" s="1"/>
  <c r="W17" i="8" s="1"/>
  <c r="J89" i="13"/>
  <c r="S89" i="13"/>
  <c r="X89" i="13"/>
  <c r="AC89" i="13"/>
  <c r="AH89" i="13"/>
  <c r="J132" i="13"/>
  <c r="X132" i="13"/>
  <c r="AC132" i="13"/>
  <c r="S132" i="13"/>
  <c r="AH132" i="13"/>
  <c r="I18" i="7"/>
  <c r="K18" i="7" s="1"/>
  <c r="M18" i="7" s="1"/>
  <c r="O18" i="8" s="1"/>
  <c r="S18" i="8" s="1"/>
  <c r="W18" i="8" s="1"/>
  <c r="F136" i="13"/>
  <c r="F93" i="13"/>
  <c r="C52" i="4"/>
  <c r="O52" i="4" s="1"/>
  <c r="K51" i="4"/>
  <c r="B126" i="17" s="1"/>
  <c r="H49" i="4"/>
  <c r="P49" i="4" s="1"/>
  <c r="L48" i="4"/>
  <c r="B191" i="17" s="1"/>
  <c r="P126" i="17" l="1"/>
  <c r="AR126" i="17"/>
  <c r="R126" i="17"/>
  <c r="T126" i="17"/>
  <c r="AV126" i="17"/>
  <c r="S126" i="17"/>
  <c r="AT126" i="17"/>
  <c r="AF126" i="17"/>
  <c r="AU126" i="17"/>
  <c r="AC126" i="17"/>
  <c r="AD126" i="17"/>
  <c r="AQ126" i="17"/>
  <c r="O126" i="17"/>
  <c r="AG126" i="17"/>
  <c r="AH126" i="17"/>
  <c r="AS126" i="17"/>
  <c r="Q126" i="17"/>
  <c r="AE126" i="17"/>
  <c r="AC191" i="17"/>
  <c r="AT191" i="17"/>
  <c r="AR191" i="17"/>
  <c r="AG191" i="17"/>
  <c r="AF191" i="17"/>
  <c r="S191" i="17"/>
  <c r="AH191" i="17"/>
  <c r="AU191" i="17"/>
  <c r="P191" i="17"/>
  <c r="AV191" i="17"/>
  <c r="AD191" i="17"/>
  <c r="T191" i="17"/>
  <c r="R191" i="17"/>
  <c r="AQ191" i="17"/>
  <c r="O191" i="17"/>
  <c r="Q191" i="17"/>
  <c r="AE191" i="17"/>
  <c r="AS191" i="17"/>
  <c r="AN51" i="4"/>
  <c r="D126" i="17" s="1"/>
  <c r="AP51" i="4"/>
  <c r="F126" i="17" s="1"/>
  <c r="AO51" i="4"/>
  <c r="E126" i="17" s="1"/>
  <c r="BB51" i="4"/>
  <c r="AZ51" i="4"/>
  <c r="BA51" i="4"/>
  <c r="AT48" i="4"/>
  <c r="F191" i="17" s="1"/>
  <c r="AS48" i="4"/>
  <c r="E191" i="17" s="1"/>
  <c r="AR48" i="4"/>
  <c r="D191" i="17" s="1"/>
  <c r="BD48" i="4"/>
  <c r="BE48" i="4"/>
  <c r="BF48" i="4"/>
  <c r="P136" i="13"/>
  <c r="G136" i="13"/>
  <c r="W136" i="13"/>
  <c r="AG136" i="13"/>
  <c r="AB136" i="13"/>
  <c r="S133" i="13"/>
  <c r="J133" i="13"/>
  <c r="AH133" i="13"/>
  <c r="X133" i="13"/>
  <c r="AC133" i="13"/>
  <c r="P16" i="7"/>
  <c r="R16" i="7" s="1"/>
  <c r="U16" i="7" s="1"/>
  <c r="AB16" i="8" s="1"/>
  <c r="AF16" i="8" s="1"/>
  <c r="AJ16" i="8" s="1"/>
  <c r="I134" i="13"/>
  <c r="I91" i="13"/>
  <c r="N18" i="7"/>
  <c r="P18" i="8" s="1"/>
  <c r="T18" i="8" s="1"/>
  <c r="X18" i="8" s="1"/>
  <c r="L18" i="7"/>
  <c r="N18" i="8" s="1"/>
  <c r="R18" i="8" s="1"/>
  <c r="V18" i="8" s="1"/>
  <c r="J90" i="13"/>
  <c r="S90" i="13"/>
  <c r="X90" i="13"/>
  <c r="AH90" i="13"/>
  <c r="AC90" i="13"/>
  <c r="I19" i="7"/>
  <c r="K19" i="7" s="1"/>
  <c r="L19" i="7" s="1"/>
  <c r="N19" i="8" s="1"/>
  <c r="R19" i="8" s="1"/>
  <c r="V19" i="8" s="1"/>
  <c r="F137" i="13"/>
  <c r="F94" i="13"/>
  <c r="T15" i="7"/>
  <c r="AA15" i="8" s="1"/>
  <c r="AE15" i="8" s="1"/>
  <c r="AI15" i="8" s="1"/>
  <c r="S15" i="7"/>
  <c r="Z15" i="8" s="1"/>
  <c r="AD15" i="8" s="1"/>
  <c r="AH15" i="8" s="1"/>
  <c r="U15" i="7"/>
  <c r="AB15" i="8" s="1"/>
  <c r="AF15" i="8" s="1"/>
  <c r="AJ15" i="8" s="1"/>
  <c r="P93" i="13"/>
  <c r="G93" i="13"/>
  <c r="AG93" i="13"/>
  <c r="AB93" i="13"/>
  <c r="W93" i="13"/>
  <c r="H50" i="4"/>
  <c r="P50" i="4" s="1"/>
  <c r="L49" i="4"/>
  <c r="B192" i="17" s="1"/>
  <c r="C53" i="4"/>
  <c r="O53" i="4" s="1"/>
  <c r="K52" i="4"/>
  <c r="B127" i="17" s="1"/>
  <c r="AQ127" i="17" l="1"/>
  <c r="AC127" i="17"/>
  <c r="AH127" i="17"/>
  <c r="AT127" i="17"/>
  <c r="P127" i="17"/>
  <c r="AG127" i="17"/>
  <c r="AR127" i="17"/>
  <c r="R127" i="17"/>
  <c r="O127" i="17"/>
  <c r="S127" i="17"/>
  <c r="AU127" i="17"/>
  <c r="AS127" i="17"/>
  <c r="AD127" i="17"/>
  <c r="AF127" i="17"/>
  <c r="T127" i="17"/>
  <c r="AV127" i="17"/>
  <c r="Q127" i="17"/>
  <c r="AE127" i="17"/>
  <c r="AD192" i="17"/>
  <c r="R192" i="17"/>
  <c r="P192" i="17"/>
  <c r="T192" i="17"/>
  <c r="AV192" i="17"/>
  <c r="AF192" i="17"/>
  <c r="AH192" i="17"/>
  <c r="AG192" i="17"/>
  <c r="AU192" i="17"/>
  <c r="AC192" i="17"/>
  <c r="O192" i="17"/>
  <c r="AS192" i="17"/>
  <c r="S192" i="17"/>
  <c r="AT192" i="17"/>
  <c r="AQ192" i="17"/>
  <c r="AR192" i="17"/>
  <c r="Q192" i="17"/>
  <c r="AE192" i="17"/>
  <c r="AS49" i="4"/>
  <c r="E192" i="17" s="1"/>
  <c r="AT49" i="4"/>
  <c r="F192" i="17" s="1"/>
  <c r="AR49" i="4"/>
  <c r="D192" i="17" s="1"/>
  <c r="BF49" i="4"/>
  <c r="BE49" i="4"/>
  <c r="BD49" i="4"/>
  <c r="AP52" i="4"/>
  <c r="F127" i="17" s="1"/>
  <c r="AN52" i="4"/>
  <c r="D127" i="17" s="1"/>
  <c r="AO52" i="4"/>
  <c r="E127" i="17" s="1"/>
  <c r="BB52" i="4"/>
  <c r="AZ52" i="4"/>
  <c r="BA52" i="4"/>
  <c r="S16" i="7"/>
  <c r="Z16" i="8" s="1"/>
  <c r="AD16" i="8" s="1"/>
  <c r="AH16" i="8" s="1"/>
  <c r="N19" i="7"/>
  <c r="P19" i="8" s="1"/>
  <c r="T19" i="8" s="1"/>
  <c r="X19" i="8" s="1"/>
  <c r="M19" i="7"/>
  <c r="O19" i="8" s="1"/>
  <c r="S19" i="8" s="1"/>
  <c r="W19" i="8" s="1"/>
  <c r="I20" i="7"/>
  <c r="K20" i="7" s="1"/>
  <c r="F138" i="13"/>
  <c r="F95" i="13"/>
  <c r="G94" i="13"/>
  <c r="P94" i="13"/>
  <c r="AB94" i="13"/>
  <c r="AG94" i="13"/>
  <c r="W94" i="13"/>
  <c r="G137" i="13"/>
  <c r="P137" i="13"/>
  <c r="W137" i="13"/>
  <c r="AG137" i="13"/>
  <c r="AB137" i="13"/>
  <c r="T16" i="7"/>
  <c r="AA16" i="8" s="1"/>
  <c r="AE16" i="8" s="1"/>
  <c r="AI16" i="8" s="1"/>
  <c r="J91" i="13"/>
  <c r="S91" i="13"/>
  <c r="AH91" i="13"/>
  <c r="X91" i="13"/>
  <c r="AC91" i="13"/>
  <c r="AH134" i="13"/>
  <c r="AC134" i="13"/>
  <c r="S134" i="13"/>
  <c r="J134" i="13"/>
  <c r="X134" i="13"/>
  <c r="P17" i="7"/>
  <c r="R17" i="7" s="1"/>
  <c r="T17" i="7" s="1"/>
  <c r="AA17" i="8" s="1"/>
  <c r="AE17" i="8" s="1"/>
  <c r="AI17" i="8" s="1"/>
  <c r="I135" i="13"/>
  <c r="I92" i="13"/>
  <c r="C54" i="4"/>
  <c r="O54" i="4" s="1"/>
  <c r="K53" i="4"/>
  <c r="B128" i="17" s="1"/>
  <c r="H51" i="4"/>
  <c r="P51" i="4" s="1"/>
  <c r="L50" i="4"/>
  <c r="B193" i="17" s="1"/>
  <c r="AD128" i="17" l="1"/>
  <c r="AQ128" i="17"/>
  <c r="AF128" i="17"/>
  <c r="P128" i="17"/>
  <c r="S128" i="17"/>
  <c r="AG128" i="17"/>
  <c r="R128" i="17"/>
  <c r="T128" i="17"/>
  <c r="AU128" i="17"/>
  <c r="AV128" i="17"/>
  <c r="O128" i="17"/>
  <c r="AH128" i="17"/>
  <c r="AR128" i="17"/>
  <c r="AC128" i="17"/>
  <c r="AT128" i="17"/>
  <c r="Q128" i="17"/>
  <c r="AE128" i="17"/>
  <c r="AS128" i="17"/>
  <c r="S193" i="17"/>
  <c r="AQ193" i="17"/>
  <c r="AV193" i="17"/>
  <c r="T193" i="17"/>
  <c r="AR193" i="17"/>
  <c r="AD193" i="17"/>
  <c r="P193" i="17"/>
  <c r="AG193" i="17"/>
  <c r="AT193" i="17"/>
  <c r="AC193" i="17"/>
  <c r="O193" i="17"/>
  <c r="AS193" i="17"/>
  <c r="AU193" i="17"/>
  <c r="R193" i="17"/>
  <c r="AF193" i="17"/>
  <c r="AH193" i="17"/>
  <c r="AE193" i="17"/>
  <c r="Q193" i="17"/>
  <c r="AR50" i="4"/>
  <c r="D193" i="17" s="1"/>
  <c r="AS50" i="4"/>
  <c r="E193" i="17" s="1"/>
  <c r="AT50" i="4"/>
  <c r="F193" i="17" s="1"/>
  <c r="BF50" i="4"/>
  <c r="BD50" i="4"/>
  <c r="BE50" i="4"/>
  <c r="AO53" i="4"/>
  <c r="E128" i="17" s="1"/>
  <c r="AP53" i="4"/>
  <c r="F128" i="17" s="1"/>
  <c r="AN53" i="4"/>
  <c r="D128" i="17" s="1"/>
  <c r="BB53" i="4"/>
  <c r="BA53" i="4"/>
  <c r="AZ53" i="4"/>
  <c r="L20" i="7"/>
  <c r="N20" i="8" s="1"/>
  <c r="R20" i="8" s="1"/>
  <c r="V20" i="8" s="1"/>
  <c r="N20" i="7"/>
  <c r="P20" i="8" s="1"/>
  <c r="T20" i="8" s="1"/>
  <c r="X20" i="8" s="1"/>
  <c r="M20" i="7"/>
  <c r="O20" i="8" s="1"/>
  <c r="S20" i="8" s="1"/>
  <c r="W20" i="8" s="1"/>
  <c r="J92" i="13"/>
  <c r="S92" i="13"/>
  <c r="X92" i="13"/>
  <c r="AC92" i="13"/>
  <c r="AH92" i="13"/>
  <c r="U17" i="7"/>
  <c r="AB17" i="8" s="1"/>
  <c r="AF17" i="8" s="1"/>
  <c r="AJ17" i="8" s="1"/>
  <c r="I21" i="7"/>
  <c r="K21" i="7" s="1"/>
  <c r="F139" i="13"/>
  <c r="F96" i="13"/>
  <c r="S135" i="13"/>
  <c r="AC135" i="13"/>
  <c r="J135" i="13"/>
  <c r="X135" i="13"/>
  <c r="AH135" i="13"/>
  <c r="S17" i="7"/>
  <c r="Z17" i="8" s="1"/>
  <c r="AD17" i="8" s="1"/>
  <c r="AH17" i="8" s="1"/>
  <c r="G95" i="13"/>
  <c r="P95" i="13"/>
  <c r="W95" i="13"/>
  <c r="AG95" i="13"/>
  <c r="AB95" i="13"/>
  <c r="G138" i="13"/>
  <c r="P138" i="13"/>
  <c r="W138" i="13"/>
  <c r="AG138" i="13"/>
  <c r="AB138" i="13"/>
  <c r="P18" i="7"/>
  <c r="R18" i="7" s="1"/>
  <c r="U18" i="7" s="1"/>
  <c r="AB18" i="8" s="1"/>
  <c r="AF18" i="8" s="1"/>
  <c r="AJ18" i="8" s="1"/>
  <c r="I136" i="13"/>
  <c r="I93" i="13"/>
  <c r="H52" i="4"/>
  <c r="P52" i="4" s="1"/>
  <c r="L51" i="4"/>
  <c r="B194" i="17" s="1"/>
  <c r="C55" i="4"/>
  <c r="O55" i="4" s="1"/>
  <c r="K54" i="4"/>
  <c r="B129" i="17" s="1"/>
  <c r="AG129" i="17" l="1"/>
  <c r="AT129" i="17"/>
  <c r="R129" i="17"/>
  <c r="AQ129" i="17"/>
  <c r="AC129" i="17"/>
  <c r="T129" i="17"/>
  <c r="O129" i="17"/>
  <c r="AD129" i="17"/>
  <c r="AV129" i="17"/>
  <c r="P129" i="17"/>
  <c r="AR129" i="17"/>
  <c r="AF129" i="17"/>
  <c r="AH129" i="17"/>
  <c r="AU129" i="17"/>
  <c r="S129" i="17"/>
  <c r="AS129" i="17"/>
  <c r="AE129" i="17"/>
  <c r="Q129" i="17"/>
  <c r="P194" i="17"/>
  <c r="T194" i="17"/>
  <c r="R194" i="17"/>
  <c r="AV194" i="17"/>
  <c r="S194" i="17"/>
  <c r="AR194" i="17"/>
  <c r="AH194" i="17"/>
  <c r="AT194" i="17"/>
  <c r="AG194" i="17"/>
  <c r="AF194" i="17"/>
  <c r="AU194" i="17"/>
  <c r="AD194" i="17"/>
  <c r="O194" i="17"/>
  <c r="AC194" i="17"/>
  <c r="AS194" i="17"/>
  <c r="AQ194" i="17"/>
  <c r="Q194" i="17"/>
  <c r="AE194" i="17"/>
  <c r="AS51" i="4"/>
  <c r="E194" i="17" s="1"/>
  <c r="AT51" i="4"/>
  <c r="F194" i="17" s="1"/>
  <c r="AR51" i="4"/>
  <c r="D194" i="17" s="1"/>
  <c r="BF51" i="4"/>
  <c r="BE51" i="4"/>
  <c r="BD51" i="4"/>
  <c r="AO54" i="4"/>
  <c r="E129" i="17" s="1"/>
  <c r="AP54" i="4"/>
  <c r="F129" i="17" s="1"/>
  <c r="AN54" i="4"/>
  <c r="D129" i="17" s="1"/>
  <c r="AZ54" i="4"/>
  <c r="BB54" i="4"/>
  <c r="BA54" i="4"/>
  <c r="L21" i="7"/>
  <c r="N21" i="8" s="1"/>
  <c r="R21" i="8" s="1"/>
  <c r="V21" i="8" s="1"/>
  <c r="P96" i="13"/>
  <c r="G96" i="13"/>
  <c r="W96" i="13"/>
  <c r="AB96" i="13"/>
  <c r="AG96" i="13"/>
  <c r="S93" i="13"/>
  <c r="J93" i="13"/>
  <c r="X93" i="13"/>
  <c r="AH93" i="13"/>
  <c r="AC93" i="13"/>
  <c r="G139" i="13"/>
  <c r="W139" i="13"/>
  <c r="P139" i="13"/>
  <c r="AG139" i="13"/>
  <c r="AB139" i="13"/>
  <c r="I22" i="7"/>
  <c r="K22" i="7" s="1"/>
  <c r="F140" i="13"/>
  <c r="F97" i="13"/>
  <c r="S18" i="7"/>
  <c r="Z18" i="8" s="1"/>
  <c r="AD18" i="8" s="1"/>
  <c r="AH18" i="8" s="1"/>
  <c r="S136" i="13"/>
  <c r="J136" i="13"/>
  <c r="AC136" i="13"/>
  <c r="X136" i="13"/>
  <c r="AH136" i="13"/>
  <c r="T18" i="7"/>
  <c r="AA18" i="8" s="1"/>
  <c r="AE18" i="8" s="1"/>
  <c r="AI18" i="8" s="1"/>
  <c r="P19" i="7"/>
  <c r="R19" i="7" s="1"/>
  <c r="S19" i="7" s="1"/>
  <c r="Z19" i="8" s="1"/>
  <c r="AD19" i="8" s="1"/>
  <c r="AH19" i="8" s="1"/>
  <c r="I137" i="13"/>
  <c r="I94" i="13"/>
  <c r="M21" i="7"/>
  <c r="O21" i="8" s="1"/>
  <c r="S21" i="8" s="1"/>
  <c r="W21" i="8" s="1"/>
  <c r="N21" i="7"/>
  <c r="P21" i="8" s="1"/>
  <c r="T21" i="8" s="1"/>
  <c r="X21" i="8" s="1"/>
  <c r="C56" i="4"/>
  <c r="O56" i="4" s="1"/>
  <c r="K55" i="4"/>
  <c r="B130" i="17" s="1"/>
  <c r="H53" i="4"/>
  <c r="P53" i="4" s="1"/>
  <c r="L52" i="4"/>
  <c r="B195" i="17" s="1"/>
  <c r="AR195" i="17" l="1"/>
  <c r="AT195" i="17"/>
  <c r="AC195" i="17"/>
  <c r="AG195" i="17"/>
  <c r="R195" i="17"/>
  <c r="O195" i="17"/>
  <c r="AQ195" i="17"/>
  <c r="AH195" i="17"/>
  <c r="P195" i="17"/>
  <c r="S195" i="17"/>
  <c r="AS195" i="17"/>
  <c r="AF195" i="17"/>
  <c r="AU195" i="17"/>
  <c r="T195" i="17"/>
  <c r="AV195" i="17"/>
  <c r="AD195" i="17"/>
  <c r="Q195" i="17"/>
  <c r="AE195" i="17"/>
  <c r="AT130" i="17"/>
  <c r="AV130" i="17"/>
  <c r="O130" i="17"/>
  <c r="AC130" i="17"/>
  <c r="AR130" i="17"/>
  <c r="AF130" i="17"/>
  <c r="AG130" i="17"/>
  <c r="P130" i="17"/>
  <c r="AE130" i="17"/>
  <c r="AQ130" i="17"/>
  <c r="S130" i="17"/>
  <c r="T130" i="17"/>
  <c r="AH130" i="17"/>
  <c r="AU130" i="17"/>
  <c r="AD130" i="17"/>
  <c r="R130" i="17"/>
  <c r="Q130" i="17"/>
  <c r="AS130" i="17"/>
  <c r="U19" i="7"/>
  <c r="AB19" i="8" s="1"/>
  <c r="AF19" i="8" s="1"/>
  <c r="AJ19" i="8" s="1"/>
  <c r="AT52" i="4"/>
  <c r="F195" i="17" s="1"/>
  <c r="AS52" i="4"/>
  <c r="E195" i="17" s="1"/>
  <c r="AR52" i="4"/>
  <c r="D195" i="17" s="1"/>
  <c r="BF52" i="4"/>
  <c r="BE52" i="4"/>
  <c r="BD52" i="4"/>
  <c r="AP55" i="4"/>
  <c r="F130" i="17" s="1"/>
  <c r="AO55" i="4"/>
  <c r="E130" i="17" s="1"/>
  <c r="AN55" i="4"/>
  <c r="D130" i="17" s="1"/>
  <c r="BA55" i="4"/>
  <c r="BB55" i="4"/>
  <c r="AZ55" i="4"/>
  <c r="T19" i="7"/>
  <c r="AA19" i="8" s="1"/>
  <c r="AE19" i="8" s="1"/>
  <c r="AI19" i="8" s="1"/>
  <c r="M22" i="7"/>
  <c r="O22" i="8" s="1"/>
  <c r="S22" i="8" s="1"/>
  <c r="W22" i="8" s="1"/>
  <c r="N22" i="7"/>
  <c r="P22" i="8" s="1"/>
  <c r="T22" i="8" s="1"/>
  <c r="X22" i="8" s="1"/>
  <c r="S94" i="13"/>
  <c r="J94" i="13"/>
  <c r="X94" i="13"/>
  <c r="AH94" i="13"/>
  <c r="AC94" i="13"/>
  <c r="G97" i="13"/>
  <c r="P97" i="13"/>
  <c r="AB97" i="13"/>
  <c r="AG97" i="13"/>
  <c r="W97" i="13"/>
  <c r="AC137" i="13"/>
  <c r="S137" i="13"/>
  <c r="J137" i="13"/>
  <c r="AH137" i="13"/>
  <c r="X137" i="13"/>
  <c r="G140" i="13"/>
  <c r="P140" i="13"/>
  <c r="W140" i="13"/>
  <c r="AB140" i="13"/>
  <c r="AG140" i="13"/>
  <c r="L22" i="7"/>
  <c r="N22" i="8" s="1"/>
  <c r="R22" i="8" s="1"/>
  <c r="V22" i="8" s="1"/>
  <c r="I23" i="7"/>
  <c r="K23" i="7" s="1"/>
  <c r="F141" i="13"/>
  <c r="F98" i="13"/>
  <c r="P20" i="7"/>
  <c r="R20" i="7" s="1"/>
  <c r="I138" i="13"/>
  <c r="I95" i="13"/>
  <c r="H54" i="4"/>
  <c r="P54" i="4" s="1"/>
  <c r="L53" i="4"/>
  <c r="B196" i="17" s="1"/>
  <c r="C57" i="4"/>
  <c r="O57" i="4" s="1"/>
  <c r="K56" i="4"/>
  <c r="B131" i="17" s="1"/>
  <c r="AQ131" i="17" l="1"/>
  <c r="AF131" i="17"/>
  <c r="P131" i="17"/>
  <c r="S131" i="17"/>
  <c r="AR131" i="17"/>
  <c r="AT131" i="17"/>
  <c r="AG131" i="17"/>
  <c r="AS131" i="17"/>
  <c r="Q131" i="17"/>
  <c r="AV131" i="17"/>
  <c r="R131" i="17"/>
  <c r="O131" i="17"/>
  <c r="AD131" i="17"/>
  <c r="T131" i="17"/>
  <c r="AC131" i="17"/>
  <c r="AH131" i="17"/>
  <c r="AU131" i="17"/>
  <c r="AE131" i="17"/>
  <c r="R196" i="17"/>
  <c r="P196" i="17"/>
  <c r="AG196" i="17"/>
  <c r="S196" i="17"/>
  <c r="AD196" i="17"/>
  <c r="T196" i="17"/>
  <c r="AQ196" i="17"/>
  <c r="AF196" i="17"/>
  <c r="AV196" i="17"/>
  <c r="AU196" i="17"/>
  <c r="AH196" i="17"/>
  <c r="AR196" i="17"/>
  <c r="AT196" i="17"/>
  <c r="AC196" i="17"/>
  <c r="O196" i="17"/>
  <c r="Q196" i="17"/>
  <c r="AS196" i="17"/>
  <c r="AE196" i="17"/>
  <c r="AO56" i="4"/>
  <c r="E131" i="17" s="1"/>
  <c r="AN56" i="4"/>
  <c r="D131" i="17" s="1"/>
  <c r="AP56" i="4"/>
  <c r="F131" i="17" s="1"/>
  <c r="BB56" i="4"/>
  <c r="AZ56" i="4"/>
  <c r="BA56" i="4"/>
  <c r="AR53" i="4"/>
  <c r="D196" i="17" s="1"/>
  <c r="AS53" i="4"/>
  <c r="E196" i="17" s="1"/>
  <c r="AT53" i="4"/>
  <c r="F196" i="17" s="1"/>
  <c r="BE53" i="4"/>
  <c r="BF53" i="4"/>
  <c r="BD53" i="4"/>
  <c r="S20" i="7"/>
  <c r="Z20" i="8" s="1"/>
  <c r="AD20" i="8" s="1"/>
  <c r="AH20" i="8" s="1"/>
  <c r="T20" i="7"/>
  <c r="AA20" i="8" s="1"/>
  <c r="AE20" i="8" s="1"/>
  <c r="AI20" i="8" s="1"/>
  <c r="N23" i="7"/>
  <c r="P23" i="8" s="1"/>
  <c r="T23" i="8" s="1"/>
  <c r="X23" i="8" s="1"/>
  <c r="L23" i="7"/>
  <c r="N23" i="8" s="1"/>
  <c r="R23" i="8" s="1"/>
  <c r="V23" i="8" s="1"/>
  <c r="M23" i="7"/>
  <c r="O23" i="8" s="1"/>
  <c r="S23" i="8" s="1"/>
  <c r="W23" i="8" s="1"/>
  <c r="U20" i="7"/>
  <c r="AB20" i="8" s="1"/>
  <c r="AF20" i="8" s="1"/>
  <c r="AJ20" i="8" s="1"/>
  <c r="P21" i="7"/>
  <c r="R21" i="7" s="1"/>
  <c r="I139" i="13"/>
  <c r="I96" i="13"/>
  <c r="G98" i="13"/>
  <c r="P98" i="13"/>
  <c r="AG98" i="13"/>
  <c r="AB98" i="13"/>
  <c r="W98" i="13"/>
  <c r="I24" i="7"/>
  <c r="K24" i="7" s="1"/>
  <c r="F99" i="13"/>
  <c r="F142" i="13"/>
  <c r="J95" i="13"/>
  <c r="S95" i="13"/>
  <c r="X95" i="13"/>
  <c r="AH95" i="13"/>
  <c r="AC95" i="13"/>
  <c r="G141" i="13"/>
  <c r="P141" i="13"/>
  <c r="W141" i="13"/>
  <c r="AG141" i="13"/>
  <c r="AB141" i="13"/>
  <c r="S138" i="13"/>
  <c r="J138" i="13"/>
  <c r="AH138" i="13"/>
  <c r="AC138" i="13"/>
  <c r="X138" i="13"/>
  <c r="C58" i="4"/>
  <c r="O58" i="4" s="1"/>
  <c r="K57" i="4"/>
  <c r="B132" i="17" s="1"/>
  <c r="H55" i="4"/>
  <c r="P55" i="4" s="1"/>
  <c r="L54" i="4"/>
  <c r="B197" i="17" s="1"/>
  <c r="AU132" i="17" l="1"/>
  <c r="O132" i="17"/>
  <c r="AQ132" i="17"/>
  <c r="AF132" i="17"/>
  <c r="AC132" i="17"/>
  <c r="R132" i="17"/>
  <c r="AH132" i="17"/>
  <c r="AR132" i="17"/>
  <c r="S132" i="17"/>
  <c r="P132" i="17"/>
  <c r="T132" i="17"/>
  <c r="AV132" i="17"/>
  <c r="AD132" i="17"/>
  <c r="AT132" i="17"/>
  <c r="AG132" i="17"/>
  <c r="AS132" i="17"/>
  <c r="Q132" i="17"/>
  <c r="AE132" i="17"/>
  <c r="AC197" i="17"/>
  <c r="R197" i="17"/>
  <c r="AT197" i="17"/>
  <c r="AQ197" i="17"/>
  <c r="AG197" i="17"/>
  <c r="P197" i="17"/>
  <c r="AF197" i="17"/>
  <c r="T197" i="17"/>
  <c r="AV197" i="17"/>
  <c r="AH197" i="17"/>
  <c r="AU197" i="17"/>
  <c r="S197" i="17"/>
  <c r="O197" i="17"/>
  <c r="AR197" i="17"/>
  <c r="AD197" i="17"/>
  <c r="AS197" i="17"/>
  <c r="AE197" i="17"/>
  <c r="Q197" i="17"/>
  <c r="AR54" i="4"/>
  <c r="D197" i="17" s="1"/>
  <c r="AT54" i="4"/>
  <c r="F197" i="17" s="1"/>
  <c r="AS54" i="4"/>
  <c r="E197" i="17" s="1"/>
  <c r="BF54" i="4"/>
  <c r="BE54" i="4"/>
  <c r="BD54" i="4"/>
  <c r="AO57" i="4"/>
  <c r="E132" i="17" s="1"/>
  <c r="AP57" i="4"/>
  <c r="F132" i="17" s="1"/>
  <c r="AN57" i="4"/>
  <c r="D132" i="17" s="1"/>
  <c r="BA57" i="4"/>
  <c r="BB57" i="4"/>
  <c r="AZ57" i="4"/>
  <c r="M24" i="7"/>
  <c r="O24" i="8" s="1"/>
  <c r="S24" i="8" s="1"/>
  <c r="W24" i="8" s="1"/>
  <c r="T21" i="7"/>
  <c r="AA21" i="8" s="1"/>
  <c r="AE21" i="8" s="1"/>
  <c r="AI21" i="8" s="1"/>
  <c r="S21" i="7"/>
  <c r="Z21" i="8" s="1"/>
  <c r="AD21" i="8" s="1"/>
  <c r="AH21" i="8" s="1"/>
  <c r="U21" i="7"/>
  <c r="AB21" i="8" s="1"/>
  <c r="AF21" i="8" s="1"/>
  <c r="AJ21" i="8" s="1"/>
  <c r="I25" i="7"/>
  <c r="K25" i="7" s="1"/>
  <c r="F100" i="13"/>
  <c r="F143" i="13"/>
  <c r="G99" i="13"/>
  <c r="P99" i="13"/>
  <c r="AG99" i="13"/>
  <c r="AB99" i="13"/>
  <c r="W99" i="13"/>
  <c r="J96" i="13"/>
  <c r="S96" i="13"/>
  <c r="X96" i="13"/>
  <c r="AC96" i="13"/>
  <c r="AH96" i="13"/>
  <c r="P22" i="7"/>
  <c r="R22" i="7" s="1"/>
  <c r="I140" i="13"/>
  <c r="I97" i="13"/>
  <c r="L24" i="7"/>
  <c r="N24" i="8" s="1"/>
  <c r="R24" i="8" s="1"/>
  <c r="V24" i="8" s="1"/>
  <c r="J139" i="13"/>
  <c r="AC139" i="13"/>
  <c r="AH139" i="13"/>
  <c r="X139" i="13"/>
  <c r="S139" i="13"/>
  <c r="N24" i="7"/>
  <c r="P24" i="8" s="1"/>
  <c r="T24" i="8" s="1"/>
  <c r="X24" i="8" s="1"/>
  <c r="P142" i="13"/>
  <c r="G142" i="13"/>
  <c r="AB142" i="13"/>
  <c r="W142" i="13"/>
  <c r="AG142" i="13"/>
  <c r="H56" i="4"/>
  <c r="P56" i="4" s="1"/>
  <c r="L55" i="4"/>
  <c r="B198" i="17" s="1"/>
  <c r="C59" i="4"/>
  <c r="O59" i="4" s="1"/>
  <c r="K58" i="4"/>
  <c r="B133" i="17" s="1"/>
  <c r="AT133" i="17" l="1"/>
  <c r="AQ133" i="17"/>
  <c r="AR133" i="17"/>
  <c r="AC133" i="17"/>
  <c r="R133" i="17"/>
  <c r="T133" i="17"/>
  <c r="AG133" i="17"/>
  <c r="O133" i="17"/>
  <c r="AU133" i="17"/>
  <c r="AH133" i="17"/>
  <c r="P133" i="17"/>
  <c r="S133" i="17"/>
  <c r="AD133" i="17"/>
  <c r="AF133" i="17"/>
  <c r="AV133" i="17"/>
  <c r="AE133" i="17"/>
  <c r="Q133" i="17"/>
  <c r="AS133" i="17"/>
  <c r="AR198" i="17"/>
  <c r="AC198" i="17"/>
  <c r="AV198" i="17"/>
  <c r="AT198" i="17"/>
  <c r="O198" i="17"/>
  <c r="AF198" i="17"/>
  <c r="AD198" i="17"/>
  <c r="AU198" i="17"/>
  <c r="S198" i="17"/>
  <c r="P198" i="17"/>
  <c r="R198" i="17"/>
  <c r="AQ198" i="17"/>
  <c r="AG198" i="17"/>
  <c r="AH198" i="17"/>
  <c r="AE198" i="17"/>
  <c r="T198" i="17"/>
  <c r="AS198" i="17"/>
  <c r="Q198" i="17"/>
  <c r="AT55" i="4"/>
  <c r="F198" i="17" s="1"/>
  <c r="AR55" i="4"/>
  <c r="D198" i="17" s="1"/>
  <c r="AS55" i="4"/>
  <c r="E198" i="17" s="1"/>
  <c r="BE55" i="4"/>
  <c r="BF55" i="4"/>
  <c r="BD55" i="4"/>
  <c r="AO58" i="4"/>
  <c r="E133" i="17" s="1"/>
  <c r="AP58" i="4"/>
  <c r="F133" i="17" s="1"/>
  <c r="AN58" i="4"/>
  <c r="D133" i="17" s="1"/>
  <c r="AZ58" i="4"/>
  <c r="BA58" i="4"/>
  <c r="BB58" i="4"/>
  <c r="U22" i="7"/>
  <c r="AB22" i="8" s="1"/>
  <c r="AF22" i="8" s="1"/>
  <c r="AJ22" i="8" s="1"/>
  <c r="T22" i="7"/>
  <c r="AA22" i="8" s="1"/>
  <c r="AE22" i="8" s="1"/>
  <c r="AI22" i="8" s="1"/>
  <c r="S22" i="7"/>
  <c r="Z22" i="8" s="1"/>
  <c r="AD22" i="8" s="1"/>
  <c r="AH22" i="8" s="1"/>
  <c r="M25" i="7"/>
  <c r="O25" i="8" s="1"/>
  <c r="S25" i="8" s="1"/>
  <c r="W25" i="8" s="1"/>
  <c r="N25" i="7"/>
  <c r="P25" i="8" s="1"/>
  <c r="T25" i="8" s="1"/>
  <c r="X25" i="8" s="1"/>
  <c r="L25" i="7"/>
  <c r="N25" i="8" s="1"/>
  <c r="R25" i="8" s="1"/>
  <c r="V25" i="8" s="1"/>
  <c r="I26" i="7"/>
  <c r="K26" i="7" s="1"/>
  <c r="L26" i="7" s="1"/>
  <c r="N26" i="8" s="1"/>
  <c r="R26" i="8" s="1"/>
  <c r="V26" i="8" s="1"/>
  <c r="F144" i="13"/>
  <c r="F101" i="13"/>
  <c r="P23" i="7"/>
  <c r="R23" i="7" s="1"/>
  <c r="S23" i="7" s="1"/>
  <c r="Z23" i="8" s="1"/>
  <c r="AD23" i="8" s="1"/>
  <c r="AH23" i="8" s="1"/>
  <c r="I98" i="13"/>
  <c r="I141" i="13"/>
  <c r="W143" i="13"/>
  <c r="P143" i="13"/>
  <c r="G143" i="13"/>
  <c r="AB143" i="13"/>
  <c r="AG143" i="13"/>
  <c r="S140" i="13"/>
  <c r="J140" i="13"/>
  <c r="AC140" i="13"/>
  <c r="AH140" i="13"/>
  <c r="X140" i="13"/>
  <c r="P100" i="13"/>
  <c r="G100" i="13"/>
  <c r="AB100" i="13"/>
  <c r="AG100" i="13"/>
  <c r="W100" i="13"/>
  <c r="S97" i="13"/>
  <c r="J97" i="13"/>
  <c r="AH97" i="13"/>
  <c r="AC97" i="13"/>
  <c r="X97" i="13"/>
  <c r="C60" i="4"/>
  <c r="O60" i="4" s="1"/>
  <c r="K59" i="4"/>
  <c r="B134" i="17" s="1"/>
  <c r="H57" i="4"/>
  <c r="P57" i="4" s="1"/>
  <c r="L56" i="4"/>
  <c r="B199" i="17" s="1"/>
  <c r="S199" i="17" l="1"/>
  <c r="AF199" i="17"/>
  <c r="AQ199" i="17"/>
  <c r="P199" i="17"/>
  <c r="AG199" i="17"/>
  <c r="AR199" i="17"/>
  <c r="AT199" i="17"/>
  <c r="AC199" i="17"/>
  <c r="Q199" i="17"/>
  <c r="AH199" i="17"/>
  <c r="AD199" i="17"/>
  <c r="AV199" i="17"/>
  <c r="O199" i="17"/>
  <c r="T199" i="17"/>
  <c r="AS199" i="17"/>
  <c r="R199" i="17"/>
  <c r="AU199" i="17"/>
  <c r="AE199" i="17"/>
  <c r="AH134" i="17"/>
  <c r="AV134" i="17"/>
  <c r="AU134" i="17"/>
  <c r="AG134" i="17"/>
  <c r="T134" i="17"/>
  <c r="AR134" i="17"/>
  <c r="AQ134" i="17"/>
  <c r="AC134" i="17"/>
  <c r="P134" i="17"/>
  <c r="AT134" i="17"/>
  <c r="AS134" i="17"/>
  <c r="AF134" i="17"/>
  <c r="AD134" i="17"/>
  <c r="S134" i="17"/>
  <c r="R134" i="17"/>
  <c r="O134" i="17"/>
  <c r="AE134" i="17"/>
  <c r="Q134" i="17"/>
  <c r="AS56" i="4"/>
  <c r="E199" i="17" s="1"/>
  <c r="AR56" i="4"/>
  <c r="D199" i="17" s="1"/>
  <c r="AT56" i="4"/>
  <c r="F199" i="17" s="1"/>
  <c r="BF56" i="4"/>
  <c r="BD56" i="4"/>
  <c r="BE56" i="4"/>
  <c r="AP59" i="4"/>
  <c r="F134" i="17" s="1"/>
  <c r="AO59" i="4"/>
  <c r="E134" i="17" s="1"/>
  <c r="AN59" i="4"/>
  <c r="D134" i="17" s="1"/>
  <c r="BB59" i="4"/>
  <c r="AZ59" i="4"/>
  <c r="BA59" i="4"/>
  <c r="U23" i="7"/>
  <c r="AB23" i="8" s="1"/>
  <c r="AF23" i="8" s="1"/>
  <c r="AJ23" i="8" s="1"/>
  <c r="N26" i="7"/>
  <c r="P26" i="8" s="1"/>
  <c r="T26" i="8" s="1"/>
  <c r="X26" i="8" s="1"/>
  <c r="M26" i="7"/>
  <c r="O26" i="8" s="1"/>
  <c r="S26" i="8" s="1"/>
  <c r="W26" i="8" s="1"/>
  <c r="S98" i="13"/>
  <c r="J98" i="13"/>
  <c r="X98" i="13"/>
  <c r="AC98" i="13"/>
  <c r="AH98" i="13"/>
  <c r="P24" i="7"/>
  <c r="R24" i="7" s="1"/>
  <c r="I142" i="13"/>
  <c r="I99" i="13"/>
  <c r="J141" i="13"/>
  <c r="AC141" i="13"/>
  <c r="X141" i="13"/>
  <c r="AH141" i="13"/>
  <c r="S141" i="13"/>
  <c r="I27" i="7"/>
  <c r="K27" i="7" s="1"/>
  <c r="F145" i="13"/>
  <c r="F102" i="13"/>
  <c r="P101" i="13"/>
  <c r="G101" i="13"/>
  <c r="AB101" i="13"/>
  <c r="AG101" i="13"/>
  <c r="W101" i="13"/>
  <c r="T23" i="7"/>
  <c r="AA23" i="8" s="1"/>
  <c r="AE23" i="8" s="1"/>
  <c r="AI23" i="8" s="1"/>
  <c r="P144" i="13"/>
  <c r="G144" i="13"/>
  <c r="W144" i="13"/>
  <c r="AB144" i="13"/>
  <c r="AG144" i="13"/>
  <c r="H58" i="4"/>
  <c r="P58" i="4" s="1"/>
  <c r="L57" i="4"/>
  <c r="B200" i="17" s="1"/>
  <c r="C61" i="4"/>
  <c r="O61" i="4" s="1"/>
  <c r="K60" i="4"/>
  <c r="B135" i="17" s="1"/>
  <c r="AC200" i="17" l="1"/>
  <c r="R200" i="17"/>
  <c r="AH200" i="17"/>
  <c r="AU200" i="17"/>
  <c r="AQ200" i="17"/>
  <c r="O200" i="17"/>
  <c r="AF200" i="17"/>
  <c r="P200" i="17"/>
  <c r="AD200" i="17"/>
  <c r="S200" i="17"/>
  <c r="T200" i="17"/>
  <c r="AT200" i="17"/>
  <c r="AR200" i="17"/>
  <c r="AG200" i="17"/>
  <c r="AV200" i="17"/>
  <c r="AS200" i="17"/>
  <c r="Q200" i="17"/>
  <c r="AE200" i="17"/>
  <c r="AT135" i="17"/>
  <c r="AU135" i="17"/>
  <c r="AC135" i="17"/>
  <c r="AF135" i="17"/>
  <c r="O135" i="17"/>
  <c r="R135" i="17"/>
  <c r="AG135" i="17"/>
  <c r="AR135" i="17"/>
  <c r="AE135" i="17"/>
  <c r="AQ135" i="17"/>
  <c r="AH135" i="17"/>
  <c r="P135" i="17"/>
  <c r="T135" i="17"/>
  <c r="S135" i="17"/>
  <c r="AD135" i="17"/>
  <c r="AV135" i="17"/>
  <c r="Q135" i="17"/>
  <c r="AS135" i="17"/>
  <c r="AN60" i="4"/>
  <c r="D135" i="17" s="1"/>
  <c r="AO60" i="4"/>
  <c r="E135" i="17" s="1"/>
  <c r="AP60" i="4"/>
  <c r="F135" i="17" s="1"/>
  <c r="BA60" i="4"/>
  <c r="BB60" i="4"/>
  <c r="AZ60" i="4"/>
  <c r="AS57" i="4"/>
  <c r="E200" i="17" s="1"/>
  <c r="AT57" i="4"/>
  <c r="F200" i="17" s="1"/>
  <c r="AR57" i="4"/>
  <c r="D200" i="17" s="1"/>
  <c r="BE57" i="4"/>
  <c r="BF57" i="4"/>
  <c r="BD57" i="4"/>
  <c r="L27" i="7"/>
  <c r="N27" i="8" s="1"/>
  <c r="R27" i="8" s="1"/>
  <c r="V27" i="8" s="1"/>
  <c r="M27" i="7"/>
  <c r="O27" i="8" s="1"/>
  <c r="S27" i="8" s="1"/>
  <c r="W27" i="8" s="1"/>
  <c r="U24" i="7"/>
  <c r="AB24" i="8" s="1"/>
  <c r="AF24" i="8" s="1"/>
  <c r="AJ24" i="8" s="1"/>
  <c r="T24" i="7"/>
  <c r="AA24" i="8" s="1"/>
  <c r="AE24" i="8" s="1"/>
  <c r="AI24" i="8" s="1"/>
  <c r="N27" i="7"/>
  <c r="P27" i="8" s="1"/>
  <c r="T27" i="8" s="1"/>
  <c r="X27" i="8" s="1"/>
  <c r="J99" i="13"/>
  <c r="S99" i="13"/>
  <c r="AH99" i="13"/>
  <c r="AC99" i="13"/>
  <c r="X99" i="13"/>
  <c r="J142" i="13"/>
  <c r="AH142" i="13"/>
  <c r="S142" i="13"/>
  <c r="AC142" i="13"/>
  <c r="X142" i="13"/>
  <c r="P102" i="13"/>
  <c r="G102" i="13"/>
  <c r="AB102" i="13"/>
  <c r="W102" i="13"/>
  <c r="AG102" i="13"/>
  <c r="P25" i="7"/>
  <c r="R25" i="7" s="1"/>
  <c r="I143" i="13"/>
  <c r="I100" i="13"/>
  <c r="S24" i="7"/>
  <c r="Z24" i="8" s="1"/>
  <c r="AD24" i="8" s="1"/>
  <c r="AH24" i="8" s="1"/>
  <c r="P145" i="13"/>
  <c r="W145" i="13"/>
  <c r="G145" i="13"/>
  <c r="AG145" i="13"/>
  <c r="AB145" i="13"/>
  <c r="I28" i="7"/>
  <c r="K28" i="7" s="1"/>
  <c r="L28" i="7" s="1"/>
  <c r="N28" i="8" s="1"/>
  <c r="R28" i="8" s="1"/>
  <c r="V28" i="8" s="1"/>
  <c r="F146" i="13"/>
  <c r="F103" i="13"/>
  <c r="C62" i="4"/>
  <c r="O62" i="4" s="1"/>
  <c r="K61" i="4"/>
  <c r="B136" i="17" s="1"/>
  <c r="H59" i="4"/>
  <c r="P59" i="4" s="1"/>
  <c r="L58" i="4"/>
  <c r="B201" i="17" s="1"/>
  <c r="AU136" i="17" l="1"/>
  <c r="AD136" i="17"/>
  <c r="AV136" i="17"/>
  <c r="AH136" i="17"/>
  <c r="P136" i="17"/>
  <c r="AT136" i="17"/>
  <c r="R136" i="17"/>
  <c r="S136" i="17"/>
  <c r="AQ136" i="17"/>
  <c r="AC136" i="17"/>
  <c r="AF136" i="17"/>
  <c r="AE136" i="17"/>
  <c r="O136" i="17"/>
  <c r="AR136" i="17"/>
  <c r="T136" i="17"/>
  <c r="AS136" i="17"/>
  <c r="AG136" i="17"/>
  <c r="Q136" i="17"/>
  <c r="AT201" i="17"/>
  <c r="AQ201" i="17"/>
  <c r="AC201" i="17"/>
  <c r="AR201" i="17"/>
  <c r="AU201" i="17"/>
  <c r="AD201" i="17"/>
  <c r="AV201" i="17"/>
  <c r="T201" i="17"/>
  <c r="P201" i="17"/>
  <c r="AH201" i="17"/>
  <c r="O201" i="17"/>
  <c r="AF201" i="17"/>
  <c r="S201" i="17"/>
  <c r="R201" i="17"/>
  <c r="AG201" i="17"/>
  <c r="Q201" i="17"/>
  <c r="AS201" i="17"/>
  <c r="AE201" i="17"/>
  <c r="AS58" i="4"/>
  <c r="E201" i="17" s="1"/>
  <c r="AT58" i="4"/>
  <c r="F201" i="17" s="1"/>
  <c r="AR58" i="4"/>
  <c r="D201" i="17" s="1"/>
  <c r="BD58" i="4"/>
  <c r="BE58" i="4"/>
  <c r="BF58" i="4"/>
  <c r="AN61" i="4"/>
  <c r="D136" i="17" s="1"/>
  <c r="AP61" i="4"/>
  <c r="F136" i="17" s="1"/>
  <c r="AO61" i="4"/>
  <c r="E136" i="17" s="1"/>
  <c r="BA61" i="4"/>
  <c r="BB61" i="4"/>
  <c r="AZ61" i="4"/>
  <c r="U25" i="7"/>
  <c r="AB25" i="8" s="1"/>
  <c r="AF25" i="8" s="1"/>
  <c r="AJ25" i="8" s="1"/>
  <c r="S25" i="7"/>
  <c r="Z25" i="8" s="1"/>
  <c r="AD25" i="8" s="1"/>
  <c r="AH25" i="8" s="1"/>
  <c r="M28" i="7"/>
  <c r="O28" i="8" s="1"/>
  <c r="S28" i="8" s="1"/>
  <c r="W28" i="8" s="1"/>
  <c r="N28" i="7"/>
  <c r="P28" i="8" s="1"/>
  <c r="T28" i="8" s="1"/>
  <c r="X28" i="8" s="1"/>
  <c r="P26" i="7"/>
  <c r="R26" i="7" s="1"/>
  <c r="I144" i="13"/>
  <c r="I101" i="13"/>
  <c r="J100" i="13"/>
  <c r="S100" i="13"/>
  <c r="AC100" i="13"/>
  <c r="AH100" i="13"/>
  <c r="X100" i="13"/>
  <c r="I29" i="7"/>
  <c r="K29" i="7" s="1"/>
  <c r="L29" i="7" s="1"/>
  <c r="N29" i="8" s="1"/>
  <c r="R29" i="8" s="1"/>
  <c r="V29" i="8" s="1"/>
  <c r="F147" i="13"/>
  <c r="F104" i="13"/>
  <c r="AH143" i="13"/>
  <c r="S143" i="13"/>
  <c r="J143" i="13"/>
  <c r="AC143" i="13"/>
  <c r="X143" i="13"/>
  <c r="T25" i="7"/>
  <c r="AA25" i="8" s="1"/>
  <c r="AE25" i="8" s="1"/>
  <c r="AI25" i="8" s="1"/>
  <c r="P103" i="13"/>
  <c r="G103" i="13"/>
  <c r="AG103" i="13"/>
  <c r="AB103" i="13"/>
  <c r="W103" i="13"/>
  <c r="P146" i="13"/>
  <c r="G146" i="13"/>
  <c r="AG146" i="13"/>
  <c r="AB146" i="13"/>
  <c r="W146" i="13"/>
  <c r="H60" i="4"/>
  <c r="P60" i="4" s="1"/>
  <c r="L59" i="4"/>
  <c r="B202" i="17" s="1"/>
  <c r="C63" i="4"/>
  <c r="O63" i="4" s="1"/>
  <c r="K62" i="4"/>
  <c r="B137" i="17" s="1"/>
  <c r="AF137" i="17" l="1"/>
  <c r="AU137" i="17"/>
  <c r="P137" i="17"/>
  <c r="AT137" i="17"/>
  <c r="AS137" i="17"/>
  <c r="AQ137" i="17"/>
  <c r="T137" i="17"/>
  <c r="AV137" i="17"/>
  <c r="AG137" i="17"/>
  <c r="S137" i="17"/>
  <c r="O137" i="17"/>
  <c r="Q137" i="17"/>
  <c r="AH137" i="17"/>
  <c r="AD137" i="17"/>
  <c r="AR137" i="17"/>
  <c r="AC137" i="17"/>
  <c r="R137" i="17"/>
  <c r="AE137" i="17"/>
  <c r="AH202" i="17"/>
  <c r="AU202" i="17"/>
  <c r="AV202" i="17"/>
  <c r="AG202" i="17"/>
  <c r="P202" i="17"/>
  <c r="T202" i="17"/>
  <c r="AS202" i="17"/>
  <c r="R202" i="17"/>
  <c r="AD202" i="17"/>
  <c r="AT202" i="17"/>
  <c r="AQ202" i="17"/>
  <c r="S202" i="17"/>
  <c r="AF202" i="17"/>
  <c r="AC202" i="17"/>
  <c r="AR202" i="17"/>
  <c r="O202" i="17"/>
  <c r="AE202" i="17"/>
  <c r="Q202" i="17"/>
  <c r="AP62" i="4"/>
  <c r="F137" i="17" s="1"/>
  <c r="AN62" i="4"/>
  <c r="D137" i="17" s="1"/>
  <c r="AO62" i="4"/>
  <c r="E137" i="17" s="1"/>
  <c r="AZ62" i="4"/>
  <c r="BB62" i="4"/>
  <c r="BA62" i="4"/>
  <c r="AS59" i="4"/>
  <c r="E202" i="17" s="1"/>
  <c r="AT59" i="4"/>
  <c r="F202" i="17" s="1"/>
  <c r="AR59" i="4"/>
  <c r="D202" i="17" s="1"/>
  <c r="BF59" i="4"/>
  <c r="BD59" i="4"/>
  <c r="BE59" i="4"/>
  <c r="U26" i="7"/>
  <c r="AB26" i="8" s="1"/>
  <c r="AF26" i="8" s="1"/>
  <c r="AJ26" i="8" s="1"/>
  <c r="N29" i="7"/>
  <c r="P29" i="8" s="1"/>
  <c r="T29" i="8" s="1"/>
  <c r="X29" i="8" s="1"/>
  <c r="S26" i="7"/>
  <c r="Z26" i="8" s="1"/>
  <c r="AD26" i="8" s="1"/>
  <c r="AH26" i="8" s="1"/>
  <c r="T26" i="7"/>
  <c r="AA26" i="8" s="1"/>
  <c r="AE26" i="8" s="1"/>
  <c r="AI26" i="8" s="1"/>
  <c r="I30" i="7"/>
  <c r="K30" i="7" s="1"/>
  <c r="L30" i="7" s="1"/>
  <c r="N30" i="8" s="1"/>
  <c r="R30" i="8" s="1"/>
  <c r="V30" i="8" s="1"/>
  <c r="F148" i="13"/>
  <c r="F105" i="13"/>
  <c r="M29" i="7"/>
  <c r="O29" i="8" s="1"/>
  <c r="S29" i="8" s="1"/>
  <c r="W29" i="8" s="1"/>
  <c r="P27" i="7"/>
  <c r="R27" i="7" s="1"/>
  <c r="S27" i="7" s="1"/>
  <c r="Z27" i="8" s="1"/>
  <c r="AD27" i="8" s="1"/>
  <c r="AH27" i="8" s="1"/>
  <c r="I145" i="13"/>
  <c r="I102" i="13"/>
  <c r="P104" i="13"/>
  <c r="G104" i="13"/>
  <c r="AG104" i="13"/>
  <c r="AB104" i="13"/>
  <c r="W104" i="13"/>
  <c r="S101" i="13"/>
  <c r="J101" i="13"/>
  <c r="AH101" i="13"/>
  <c r="X101" i="13"/>
  <c r="AC101" i="13"/>
  <c r="G147" i="13"/>
  <c r="P147" i="13"/>
  <c r="AG147" i="13"/>
  <c r="AB147" i="13"/>
  <c r="W147" i="13"/>
  <c r="S144" i="13"/>
  <c r="J144" i="13"/>
  <c r="AC144" i="13"/>
  <c r="AH144" i="13"/>
  <c r="X144" i="13"/>
  <c r="C64" i="4"/>
  <c r="K63" i="4"/>
  <c r="B138" i="17" s="1"/>
  <c r="H61" i="4"/>
  <c r="P61" i="4" s="1"/>
  <c r="L60" i="4"/>
  <c r="B203" i="17" s="1"/>
  <c r="AG203" i="17" l="1"/>
  <c r="R203" i="17"/>
  <c r="AT203" i="17"/>
  <c r="AF203" i="17"/>
  <c r="AC203" i="17"/>
  <c r="O203" i="17"/>
  <c r="AU203" i="17"/>
  <c r="S203" i="17"/>
  <c r="AR203" i="17"/>
  <c r="AV203" i="17"/>
  <c r="P203" i="17"/>
  <c r="AH203" i="17"/>
  <c r="T203" i="17"/>
  <c r="AD203" i="17"/>
  <c r="AQ203" i="17"/>
  <c r="AE203" i="17"/>
  <c r="AS203" i="17"/>
  <c r="Q203" i="17"/>
  <c r="AU138" i="17"/>
  <c r="AG138" i="17"/>
  <c r="T138" i="17"/>
  <c r="S138" i="17"/>
  <c r="AV138" i="17"/>
  <c r="AR138" i="17"/>
  <c r="AQ138" i="17"/>
  <c r="AD138" i="17"/>
  <c r="R138" i="17"/>
  <c r="AF138" i="17"/>
  <c r="AH138" i="17"/>
  <c r="AT138" i="17"/>
  <c r="O138" i="17"/>
  <c r="AC138" i="17"/>
  <c r="AE138" i="17"/>
  <c r="P138" i="17"/>
  <c r="Q138" i="17"/>
  <c r="AS138" i="17"/>
  <c r="AR60" i="4"/>
  <c r="D203" i="17" s="1"/>
  <c r="AS60" i="4"/>
  <c r="E203" i="17" s="1"/>
  <c r="AT60" i="4"/>
  <c r="F203" i="17" s="1"/>
  <c r="BE60" i="4"/>
  <c r="BD60" i="4"/>
  <c r="BF60" i="4"/>
  <c r="AO63" i="4"/>
  <c r="E138" i="17" s="1"/>
  <c r="AP63" i="4"/>
  <c r="F138" i="17" s="1"/>
  <c r="AN63" i="4"/>
  <c r="D138" i="17" s="1"/>
  <c r="BA63" i="4"/>
  <c r="BB63" i="4"/>
  <c r="AZ63" i="4"/>
  <c r="K64" i="4"/>
  <c r="B139" i="17" s="1"/>
  <c r="O64" i="4"/>
  <c r="T27" i="7"/>
  <c r="AA27" i="8" s="1"/>
  <c r="AE27" i="8" s="1"/>
  <c r="AI27" i="8" s="1"/>
  <c r="N30" i="7"/>
  <c r="P30" i="8" s="1"/>
  <c r="T30" i="8" s="1"/>
  <c r="X30" i="8" s="1"/>
  <c r="M30" i="7"/>
  <c r="O30" i="8" s="1"/>
  <c r="S30" i="8" s="1"/>
  <c r="W30" i="8" s="1"/>
  <c r="P28" i="7"/>
  <c r="R28" i="7" s="1"/>
  <c r="T28" i="7" s="1"/>
  <c r="AA28" i="8" s="1"/>
  <c r="AE28" i="8" s="1"/>
  <c r="AI28" i="8" s="1"/>
  <c r="I146" i="13"/>
  <c r="I103" i="13"/>
  <c r="J102" i="13"/>
  <c r="S102" i="13"/>
  <c r="X102" i="13"/>
  <c r="AH102" i="13"/>
  <c r="AC102" i="13"/>
  <c r="X145" i="13"/>
  <c r="S145" i="13"/>
  <c r="J145" i="13"/>
  <c r="AH145" i="13"/>
  <c r="AC145" i="13"/>
  <c r="P105" i="13"/>
  <c r="G105" i="13"/>
  <c r="W105" i="13"/>
  <c r="AB105" i="13"/>
  <c r="AG105" i="13"/>
  <c r="G148" i="13"/>
  <c r="P148" i="13"/>
  <c r="AB148" i="13"/>
  <c r="AG148" i="13"/>
  <c r="W148" i="13"/>
  <c r="I31" i="7"/>
  <c r="K31" i="7" s="1"/>
  <c r="F149" i="13"/>
  <c r="F106" i="13"/>
  <c r="I32" i="7"/>
  <c r="K32" i="7" s="1"/>
  <c r="L32" i="7" s="1"/>
  <c r="N32" i="8" s="1"/>
  <c r="R32" i="8" s="1"/>
  <c r="V32" i="8" s="1"/>
  <c r="U27" i="7"/>
  <c r="AB27" i="8" s="1"/>
  <c r="AF27" i="8" s="1"/>
  <c r="AJ27" i="8" s="1"/>
  <c r="H62" i="4"/>
  <c r="P62" i="4" s="1"/>
  <c r="L61" i="4"/>
  <c r="B204" i="17" s="1"/>
  <c r="AV139" i="17" l="1"/>
  <c r="S139" i="17"/>
  <c r="P139" i="17"/>
  <c r="AU139" i="17"/>
  <c r="AD139" i="17"/>
  <c r="AE139" i="17"/>
  <c r="AQ139" i="17"/>
  <c r="AT139" i="17"/>
  <c r="AC139" i="17"/>
  <c r="AR139" i="17"/>
  <c r="AS139" i="17"/>
  <c r="AF139" i="17"/>
  <c r="AG139" i="17"/>
  <c r="R139" i="17"/>
  <c r="O139" i="17"/>
  <c r="T139" i="17"/>
  <c r="AH139" i="17"/>
  <c r="Q139" i="17"/>
  <c r="F107" i="13"/>
  <c r="G107" i="13" s="1"/>
  <c r="U16" i="13" s="1"/>
  <c r="U17" i="13" s="1"/>
  <c r="AH204" i="17"/>
  <c r="P204" i="17"/>
  <c r="AV204" i="17"/>
  <c r="AD204" i="17"/>
  <c r="AT204" i="17"/>
  <c r="AU204" i="17"/>
  <c r="S204" i="17"/>
  <c r="AR204" i="17"/>
  <c r="AE204" i="17"/>
  <c r="O204" i="17"/>
  <c r="AF204" i="17"/>
  <c r="R204" i="17"/>
  <c r="AQ204" i="17"/>
  <c r="AC204" i="17"/>
  <c r="AS204" i="17"/>
  <c r="T204" i="17"/>
  <c r="AG204" i="17"/>
  <c r="Q204" i="17"/>
  <c r="F150" i="13"/>
  <c r="AB150" i="13" s="1"/>
  <c r="U13" i="13"/>
  <c r="U14" i="13" s="1"/>
  <c r="U10" i="13"/>
  <c r="U11" i="13" s="1"/>
  <c r="O67" i="4"/>
  <c r="O66" i="4"/>
  <c r="AS61" i="4"/>
  <c r="E204" i="17" s="1"/>
  <c r="AT61" i="4"/>
  <c r="F204" i="17" s="1"/>
  <c r="AR61" i="4"/>
  <c r="D204" i="17" s="1"/>
  <c r="BE61" i="4"/>
  <c r="BF61" i="4"/>
  <c r="BD61" i="4"/>
  <c r="AO64" i="4"/>
  <c r="E139" i="17" s="1"/>
  <c r="AZ52" i="17" s="1"/>
  <c r="AP64" i="4"/>
  <c r="F139" i="17" s="1"/>
  <c r="BA52" i="17" s="1"/>
  <c r="AN64" i="4"/>
  <c r="D139" i="17" s="1"/>
  <c r="AY52" i="17" s="1"/>
  <c r="BB64" i="4"/>
  <c r="AZ64" i="4"/>
  <c r="BA64" i="4"/>
  <c r="K66" i="4"/>
  <c r="U28" i="7"/>
  <c r="AB28" i="8" s="1"/>
  <c r="AF28" i="8" s="1"/>
  <c r="AJ28" i="8" s="1"/>
  <c r="S28" i="7"/>
  <c r="Z28" i="8" s="1"/>
  <c r="AD28" i="8" s="1"/>
  <c r="AH28" i="8" s="1"/>
  <c r="N32" i="7"/>
  <c r="P32" i="8" s="1"/>
  <c r="T32" i="8" s="1"/>
  <c r="X32" i="8" s="1"/>
  <c r="N31" i="7"/>
  <c r="P31" i="8" s="1"/>
  <c r="T31" i="8" s="1"/>
  <c r="X31" i="8" s="1"/>
  <c r="X36" i="8" s="1"/>
  <c r="M31" i="7"/>
  <c r="O31" i="8" s="1"/>
  <c r="S31" i="8" s="1"/>
  <c r="W31" i="8" s="1"/>
  <c r="W35" i="8" s="1"/>
  <c r="L31" i="7"/>
  <c r="N31" i="8" s="1"/>
  <c r="R31" i="8" s="1"/>
  <c r="V31" i="8" s="1"/>
  <c r="M32" i="7"/>
  <c r="O32" i="8" s="1"/>
  <c r="S32" i="8" s="1"/>
  <c r="W32" i="8" s="1"/>
  <c r="G150" i="13"/>
  <c r="P150" i="13"/>
  <c r="AG150" i="13"/>
  <c r="W150" i="13"/>
  <c r="P29" i="7"/>
  <c r="R29" i="7" s="1"/>
  <c r="I147" i="13"/>
  <c r="I104" i="13"/>
  <c r="G149" i="13"/>
  <c r="P149" i="13"/>
  <c r="W149" i="13"/>
  <c r="AB149" i="13"/>
  <c r="AG149" i="13"/>
  <c r="P106" i="13"/>
  <c r="G106" i="13"/>
  <c r="AB106" i="13"/>
  <c r="AG106" i="13"/>
  <c r="W106" i="13"/>
  <c r="S103" i="13"/>
  <c r="J103" i="13"/>
  <c r="AC103" i="13"/>
  <c r="X103" i="13"/>
  <c r="AH103" i="13"/>
  <c r="AH146" i="13"/>
  <c r="S146" i="13"/>
  <c r="J146" i="13"/>
  <c r="AC146" i="13"/>
  <c r="X146" i="13"/>
  <c r="H63" i="4"/>
  <c r="L62" i="4"/>
  <c r="B205" i="17" s="1"/>
  <c r="AU205" i="17" l="1"/>
  <c r="AF205" i="17"/>
  <c r="P205" i="17"/>
  <c r="R205" i="17"/>
  <c r="S205" i="17"/>
  <c r="AV205" i="17"/>
  <c r="Q205" i="17"/>
  <c r="AC205" i="17"/>
  <c r="AR205" i="17"/>
  <c r="O205" i="17"/>
  <c r="AT205" i="17"/>
  <c r="AH205" i="17"/>
  <c r="AQ205" i="17"/>
  <c r="AD205" i="17"/>
  <c r="AG205" i="17"/>
  <c r="T205" i="17"/>
  <c r="AS205" i="17"/>
  <c r="AE205" i="17"/>
  <c r="W107" i="13"/>
  <c r="W10" i="13" s="1"/>
  <c r="P107" i="13"/>
  <c r="F18" i="13" s="1"/>
  <c r="C17" i="13"/>
  <c r="AB107" i="13"/>
  <c r="W13" i="13" s="1"/>
  <c r="AY51" i="17"/>
  <c r="AG107" i="13"/>
  <c r="W16" i="13" s="1"/>
  <c r="AZ51" i="17"/>
  <c r="BA51" i="17"/>
  <c r="AT62" i="4"/>
  <c r="F205" i="17" s="1"/>
  <c r="AS62" i="4"/>
  <c r="E205" i="17" s="1"/>
  <c r="AR62" i="4"/>
  <c r="D205" i="17" s="1"/>
  <c r="BD62" i="4"/>
  <c r="BF62" i="4"/>
  <c r="BE62" i="4"/>
  <c r="F155" i="13"/>
  <c r="G155" i="13" s="1"/>
  <c r="L63" i="4"/>
  <c r="B206" i="17" s="1"/>
  <c r="P63" i="4"/>
  <c r="U29" i="7"/>
  <c r="AB29" i="8" s="1"/>
  <c r="AF29" i="8" s="1"/>
  <c r="AJ29" i="8" s="1"/>
  <c r="S29" i="7"/>
  <c r="Z29" i="8" s="1"/>
  <c r="AD29" i="8" s="1"/>
  <c r="AH29" i="8" s="1"/>
  <c r="T29" i="7"/>
  <c r="AA29" i="8" s="1"/>
  <c r="AE29" i="8" s="1"/>
  <c r="AI29" i="8" s="1"/>
  <c r="X35" i="8"/>
  <c r="W36" i="8"/>
  <c r="I21" i="13"/>
  <c r="X147" i="13"/>
  <c r="J147" i="13"/>
  <c r="AC147" i="13"/>
  <c r="AH147" i="13"/>
  <c r="S147" i="13"/>
  <c r="S104" i="13"/>
  <c r="J104" i="13"/>
  <c r="AH104" i="13"/>
  <c r="AC104" i="13"/>
  <c r="X104" i="13"/>
  <c r="P30" i="7"/>
  <c r="R30" i="7" s="1"/>
  <c r="U30" i="7" s="1"/>
  <c r="AB30" i="8" s="1"/>
  <c r="AF30" i="8" s="1"/>
  <c r="AJ30" i="8" s="1"/>
  <c r="I148" i="13"/>
  <c r="I105" i="13"/>
  <c r="AR206" i="17" l="1"/>
  <c r="AD206" i="17"/>
  <c r="AU206" i="17"/>
  <c r="S206" i="17"/>
  <c r="T206" i="17"/>
  <c r="AG206" i="17"/>
  <c r="AQ206" i="17"/>
  <c r="AV206" i="17"/>
  <c r="O206" i="17"/>
  <c r="AE206" i="17"/>
  <c r="R206" i="17"/>
  <c r="AT206" i="17"/>
  <c r="AH206" i="17"/>
  <c r="P206" i="17"/>
  <c r="AC206" i="17"/>
  <c r="AF206" i="17"/>
  <c r="AS206" i="17"/>
  <c r="Q206" i="17"/>
  <c r="I18" i="13"/>
  <c r="I106" i="13"/>
  <c r="S106" i="13" s="1"/>
  <c r="I19" i="13"/>
  <c r="V16" i="13"/>
  <c r="V17" i="13" s="1"/>
  <c r="V10" i="13"/>
  <c r="V11" i="13" s="1"/>
  <c r="V13" i="13"/>
  <c r="V14" i="13" s="1"/>
  <c r="AR63" i="4"/>
  <c r="D206" i="17" s="1"/>
  <c r="AS63" i="4"/>
  <c r="E206" i="17" s="1"/>
  <c r="AT63" i="4"/>
  <c r="F206" i="17" s="1"/>
  <c r="BE63" i="4"/>
  <c r="BD63" i="4"/>
  <c r="BF63" i="4"/>
  <c r="I149" i="13"/>
  <c r="J149" i="13" s="1"/>
  <c r="P31" i="7"/>
  <c r="R31" i="7" s="1"/>
  <c r="S31" i="7" s="1"/>
  <c r="Z31" i="8" s="1"/>
  <c r="AD31" i="8" s="1"/>
  <c r="AH31" i="8" s="1"/>
  <c r="J106" i="13"/>
  <c r="S105" i="13"/>
  <c r="J105" i="13"/>
  <c r="AH105" i="13"/>
  <c r="AC105" i="13"/>
  <c r="X105" i="13"/>
  <c r="J148" i="13"/>
  <c r="AH148" i="13"/>
  <c r="X148" i="13"/>
  <c r="AC148" i="13"/>
  <c r="S148" i="13"/>
  <c r="X11" i="13"/>
  <c r="X17" i="13"/>
  <c r="S30" i="7"/>
  <c r="Z30" i="8" s="1"/>
  <c r="AD30" i="8" s="1"/>
  <c r="AH30" i="8" s="1"/>
  <c r="T30" i="7"/>
  <c r="AA30" i="8" s="1"/>
  <c r="AE30" i="8" s="1"/>
  <c r="AI30" i="8" s="1"/>
  <c r="X14" i="13"/>
  <c r="W14" i="13"/>
  <c r="X106" i="13" l="1"/>
  <c r="AC106" i="13"/>
  <c r="W17" i="13"/>
  <c r="W11" i="13"/>
  <c r="AH106" i="13"/>
  <c r="T31" i="7"/>
  <c r="AA31" i="8" s="1"/>
  <c r="AE31" i="8" s="1"/>
  <c r="AI31" i="8" s="1"/>
  <c r="AI35" i="8" s="1"/>
  <c r="U31" i="7"/>
  <c r="AB31" i="8" s="1"/>
  <c r="AF31" i="8" s="1"/>
  <c r="AJ31" i="8" s="1"/>
  <c r="AJ35" i="8" s="1"/>
  <c r="S149" i="13"/>
  <c r="X149" i="13"/>
  <c r="AH149" i="13"/>
  <c r="AC149" i="13"/>
  <c r="AI36" i="8" l="1"/>
  <c r="AJ36" i="8"/>
</calcChain>
</file>

<file path=xl/sharedStrings.xml><?xml version="1.0" encoding="utf-8"?>
<sst xmlns="http://schemas.openxmlformats.org/spreadsheetml/2006/main" count="1279" uniqueCount="448">
  <si>
    <t>Year</t>
  </si>
  <si>
    <t>Historical Emissions</t>
  </si>
  <si>
    <t>SOURCE</t>
  </si>
  <si>
    <t>IEA, CM</t>
  </si>
  <si>
    <t xml:space="preserve">2021: estimated by scaling emissions from the Carbon Monitor (https://carbonmonitor.org/) by 13%, which is the difference in 2020 between CM and IEA </t>
  </si>
  <si>
    <t>1990-2018: IEA https://www.oecd-ilibrary.org/energy/data/iea-co2-emissions-from-fuel-combustion-statistics/detailed-co2-estimates_data-00429-en</t>
  </si>
  <si>
    <t>2019-2020: IEA https://www.iea.org/fuels-and-technologies/aviation</t>
  </si>
  <si>
    <t>Historical passenger demand</t>
  </si>
  <si>
    <t>ICAO</t>
  </si>
  <si>
    <t>(Mt CO2)</t>
  </si>
  <si>
    <t>(billion passenger-km)</t>
  </si>
  <si>
    <t>2020: https://www.icao.int/annual-report-2020/Documents/ARC_2020_Air%20Transport%20Statistics_final_sched.pdf</t>
  </si>
  <si>
    <t>2021: estimate based on 2019 ratio of emissions to demand</t>
  </si>
  <si>
    <t>2010-2019: https://www.icao.int/annual-report-2019/Pages/the-world-of-air-transport-in-2019.aspx</t>
  </si>
  <si>
    <t>1990-2010: https://www.icao.int/sustainability/documents/AirTransport-figures.pdf</t>
  </si>
  <si>
    <t>Historical Freight demand</t>
  </si>
  <si>
    <t>(million ton-kilometer)</t>
  </si>
  <si>
    <t>WB from ICAO</t>
  </si>
  <si>
    <t>2021: IATA estimate: https://www.freightwaves.com/news/iata-forecasts-2021-air-cargo-revenues-to-hit-record-175b</t>
  </si>
  <si>
    <t>1990-2020: https://data.worldbank.org/indicator/IS.AIR.GOOD.MT.K1</t>
  </si>
  <si>
    <t>Percentage of world traffic on passenger-kilometers (domestic and internaitonal) -&gt; Table 4 Appendix I of Annual Reports</t>
  </si>
  <si>
    <t>Europe</t>
  </si>
  <si>
    <t>Africa</t>
  </si>
  <si>
    <t>Middle East</t>
  </si>
  <si>
    <t>Asia and Pacific</t>
  </si>
  <si>
    <t>North America</t>
  </si>
  <si>
    <t>Latin America and Caribbean</t>
  </si>
  <si>
    <t>Total demand (10^9 passenger-km)</t>
  </si>
  <si>
    <t>https://www.icao.int/publications/Documents/9898_en.pdf</t>
  </si>
  <si>
    <t>https://www.icao.int/publications/Documents/9916_en.pdf</t>
  </si>
  <si>
    <t>https://www.icao.int/publications/Documents/9921_en.pdf</t>
  </si>
  <si>
    <t>https://www.icao.int/publications/Documents/9952_en.pdf</t>
  </si>
  <si>
    <t>https://www.icao.int/publications/Documents/9975_en.pdf</t>
  </si>
  <si>
    <t>https://www.icao.int/publications/Documents/10001_en.pdf</t>
  </si>
  <si>
    <t>https://www.icao.int/annual-report-2013/Documents/Appendix_1_en.pdf</t>
  </si>
  <si>
    <t>https://www.icao.int/annual-report-2014/Documents/Appendix_1_en.pdf</t>
  </si>
  <si>
    <t>https://www.icao.int/annual-report-2015/Documents/Appendix_1_en.pdf</t>
  </si>
  <si>
    <t>https://www.icao.int/annual-report-2016/Documents/ARC_2016_Air%20Transport%20Statistics.pdf</t>
  </si>
  <si>
    <t>https://www.icao.int/annual-report-2017/Documents/Annual.Report.2017_Air%20Transport%20Statistics.pdf</t>
  </si>
  <si>
    <t>https://www.icao.int/annual-report-2018/Documents/Annual.Report.2018_Air%20Transport%20Statistics.pdf</t>
  </si>
  <si>
    <t>https://www.icao.int/annual-report-2019/Documents/ARC_2019_Air%20Transport%20Statistics.pdf</t>
  </si>
  <si>
    <t>https://www.icao.int/annual-report-2020/Documents/ARC_2020_Air%20Transport%20Statistics_final_sched.pdf</t>
  </si>
  <si>
    <t>Change by 2019 vs 2007</t>
  </si>
  <si>
    <t>Percentage of world traffic on freight tonne-km (domestic and internaitonal)</t>
  </si>
  <si>
    <t>Total demand (10^9 freight ton-km)</t>
  </si>
  <si>
    <t>Historical demand combined</t>
  </si>
  <si>
    <t>(million ton-km equivalent)</t>
  </si>
  <si>
    <t>1. Convert billion passenger-km to million passenger-km</t>
  </si>
  <si>
    <t>2.Then multiply by 90 kg (asusmed from IEA: https://www.iea.org/data-and-statistics/charts/energy-intensity-of-passenger-aviation-in-the-net-zero-scenario-2000-2030)</t>
  </si>
  <si>
    <t>3. Then divide by 1000 to get value in tons</t>
  </si>
  <si>
    <t>4. Then add frieght</t>
  </si>
  <si>
    <t>Energy intensity</t>
  </si>
  <si>
    <t>Aviation fuels Net inland consumption (thousand barrels / day)</t>
  </si>
  <si>
    <t>in m3</t>
  </si>
  <si>
    <t>TJ (10^12 J)</t>
  </si>
  <si>
    <t>MJ (10^6 J)</t>
  </si>
  <si>
    <t>Historical emissions (Mt CO2)</t>
  </si>
  <si>
    <t>Mt CO2 / MJ</t>
  </si>
  <si>
    <t>g CO2 / MJ</t>
  </si>
  <si>
    <t>http://wds.iea.org/wds/pdf/WORLDBES_Documentation.pdf</t>
  </si>
  <si>
    <t>WORLD_BBL.IVT Oil demand by product Oil consumption (4 flows for 9 oil product categories) (kbbl/d). Detailed definitions of each flow and product are presented in sections Flow definitions and Product definitions.</t>
  </si>
  <si>
    <t>Expressed in thousand barrels/day (converted from kt using volume to mass ratios in barrels/tonne).</t>
  </si>
  <si>
    <t>Conversions</t>
  </si>
  <si>
    <t>U.S. barrel</t>
  </si>
  <si>
    <t>=</t>
  </si>
  <si>
    <t>m3</t>
  </si>
  <si>
    <t>10^3 M3 aviation gasoline</t>
  </si>
  <si>
    <t>Terajoules</t>
  </si>
  <si>
    <t>m3 of petroleum</t>
  </si>
  <si>
    <t>kg of aviaiton fuel</t>
  </si>
  <si>
    <t>1990-2019: https://stats.oecd.org/BrandedView.aspx?oecd_bv_id=enestats-data-en&amp;doi=data-00510-en#</t>
  </si>
  <si>
    <t>2020-2021: calculated based on 2019 relationship of aviation fuel consumption an aviaiton emissions</t>
  </si>
  <si>
    <t>CONVERSIONS</t>
  </si>
  <si>
    <t>Source: https://www150.statcan.gc.ca/n1/pub/57-601-x/2011003/appendix-appendice1-eng.htm</t>
  </si>
  <si>
    <t>Fuel consumption</t>
  </si>
  <si>
    <t>MJ</t>
  </si>
  <si>
    <t>OECD from IEA</t>
  </si>
  <si>
    <t>2020-2021: calculated based on ratio of fuel demand to emissions for 2019</t>
  </si>
  <si>
    <t>Calculated</t>
  </si>
  <si>
    <t>1.convert historical demand for frieght and passenger (ton-km equivalent)</t>
  </si>
  <si>
    <t>2. divide fuel demand in MJ by aviaiotn demand</t>
  </si>
  <si>
    <t>Carbon intensity</t>
  </si>
  <si>
    <t>gCO2/MJ</t>
  </si>
  <si>
    <t>1. convert emissions from Mt to g</t>
  </si>
  <si>
    <t>2. divide by fuel consumption in MJ</t>
  </si>
  <si>
    <t>Business-as-usual</t>
  </si>
  <si>
    <t>Industry Projections</t>
  </si>
  <si>
    <t>Ambitious Projections</t>
  </si>
  <si>
    <t>Aviation linearly recovers by 2024 (same values as 2019), and increases at a 4% from then onwards, following average GDP growth from IMF</t>
  </si>
  <si>
    <t>Passenger demand returns to 2019 levels by 2024, following ICAO's "central" projection; future post-covid growth follows ICAO "low-growth scenario" of 2.9% change per year(https://www.icao.int/sustainability/Documents/Post-COVID-19%20forecasts%20scenarios%20tables.pdf</t>
  </si>
  <si>
    <t>12% decrease by 2050 vs 2019</t>
  </si>
  <si>
    <t>(million ton-km)</t>
  </si>
  <si>
    <t>NOTES</t>
  </si>
  <si>
    <t>we use ICAO post-covid estimate on their low scenario 2.6% growth</t>
  </si>
  <si>
    <t>aviaiton freight demand grwos with GDP. Based on IMF, GDP has grown on average 4% from 1980-2020</t>
  </si>
  <si>
    <t>12% increase by 2050 vs 2019</t>
  </si>
  <si>
    <t>MJ/ton-km-eq</t>
  </si>
  <si>
    <t>Follows historical 1% improvement into the future</t>
  </si>
  <si>
    <t>Total emissions</t>
  </si>
  <si>
    <t>Follow's ICAO's resolution of 2% improvement</t>
  </si>
  <si>
    <t>NZE IEA</t>
  </si>
  <si>
    <t>MJ/RTK equi</t>
  </si>
  <si>
    <t>Percentage change</t>
  </si>
  <si>
    <t xml:space="preserve">We extrapolate IEA/s changes to this case: 2019 10.9 MJ/RTKeq, 2025=6.9 and 2030 = 6.1. </t>
  </si>
  <si>
    <t>extras</t>
  </si>
  <si>
    <t>% of total idstance flown (values from 2006) Wilkerson 2010</t>
  </si>
  <si>
    <t>% short-hau</t>
  </si>
  <si>
    <t>% medium-haul</t>
  </si>
  <si>
    <t>% long-haul</t>
  </si>
  <si>
    <t>SCENARIOS</t>
  </si>
  <si>
    <t>CARBON INTENSIVE</t>
  </si>
  <si>
    <t>NET-ZERO</t>
  </si>
  <si>
    <t>BAU -&gt; 100% jet-fuel</t>
  </si>
  <si>
    <t>IATA -&gt; 65% SAF + 13% new propulsion (EV/hydrogen)</t>
  </si>
  <si>
    <t>ambitious -&gt; 100% SAF + 50% short-haul EV</t>
  </si>
  <si>
    <t>Short-, Medium- &amp; Long-haul</t>
  </si>
  <si>
    <t>Medium- &amp; Long-haul</t>
  </si>
  <si>
    <t>Short-haul</t>
  </si>
  <si>
    <t>diff Biofuels</t>
  </si>
  <si>
    <t>REDUCED CARBON</t>
  </si>
  <si>
    <t>Constants</t>
  </si>
  <si>
    <t>Carbon Intensive</t>
  </si>
  <si>
    <t>Reduced Carbon</t>
  </si>
  <si>
    <t>Short</t>
  </si>
  <si>
    <t>Medium &amp; Long</t>
  </si>
  <si>
    <t>Total</t>
  </si>
  <si>
    <t>Net-zero</t>
  </si>
  <si>
    <t>Fossil jet fuel continues to power aviaiton</t>
  </si>
  <si>
    <t>Fossil jet fuel</t>
  </si>
  <si>
    <t>SAF</t>
  </si>
  <si>
    <t>Electricity / hydrogen</t>
  </si>
  <si>
    <t>by 2050 35% and 65% of meidum and log haul flights are powered by jet fuel and SAF, respectively. Short haul is 13% electric, 30% fossil jtt fuel and 57% SAF</t>
  </si>
  <si>
    <t>By 2050 100% SAF for long and medium haul flights. For short haul the split is 50-50 between SAF and electricity/hydrogen technologies</t>
  </si>
  <si>
    <t>De</t>
  </si>
  <si>
    <t>f</t>
  </si>
  <si>
    <t>Passenger Demand (D)</t>
  </si>
  <si>
    <t>Freight demand (D)</t>
  </si>
  <si>
    <t>Demand Combined (D)</t>
  </si>
  <si>
    <t>Carbon intensity (f)</t>
  </si>
  <si>
    <t>Emissions (F)</t>
  </si>
  <si>
    <t>Demand (ton-km equivalent)</t>
  </si>
  <si>
    <t>Enegry Intensity (MJ/RTKe)</t>
  </si>
  <si>
    <t>total fuel needed MJ</t>
  </si>
  <si>
    <t>Enegry Intensity (MJ/ton-km-eq)</t>
  </si>
  <si>
    <t>Energy intensity (e)</t>
  </si>
  <si>
    <t>total SAF needed (EJ)</t>
  </si>
  <si>
    <t>Historical global biofuel production</t>
  </si>
  <si>
    <t>https://www.iea.org/data-and-statistics/charts/global-biofuel-production-in-2019-and-forecast-to-2025</t>
  </si>
  <si>
    <t>billion L</t>
  </si>
  <si>
    <t>MJ (10^6)</t>
  </si>
  <si>
    <t>EJ (10^18)</t>
  </si>
  <si>
    <t>ethanol</t>
  </si>
  <si>
    <t>biodiesel</t>
  </si>
  <si>
    <t>hydrotreated vegetable oil HVO (renewbale diesel)</t>
  </si>
  <si>
    <t>TOTAL</t>
  </si>
  <si>
    <t>Energy density of ethanol</t>
  </si>
  <si>
    <t>https://www.ren21.net/gsr-2018/pages/units/units/</t>
  </si>
  <si>
    <t>MJ / l</t>
  </si>
  <si>
    <t>HVO</t>
  </si>
  <si>
    <t>average density</t>
  </si>
  <si>
    <t>2019 biofuel produciton</t>
  </si>
  <si>
    <t xml:space="preserve">Rulli et al 2016 </t>
  </si>
  <si>
    <t>https://www.nature.com/articles/srep22521#Tab1</t>
  </si>
  <si>
    <t>For year 2013</t>
  </si>
  <si>
    <t>IN HECTARES PER EJ (10^18)</t>
  </si>
  <si>
    <t>area cultivated (10^3 ha)</t>
  </si>
  <si>
    <t>biofuel energy consumed 10^3 TJ/yr</t>
  </si>
  <si>
    <t>land in ha</t>
  </si>
  <si>
    <t>biofuel in EJ</t>
  </si>
  <si>
    <t>ha/EJ</t>
  </si>
  <si>
    <t>bioethanol</t>
  </si>
  <si>
    <t>2019 total cropland  1,560,853.75  1,000ha</t>
  </si>
  <si>
    <t>hectares</t>
  </si>
  <si>
    <t>https://www.fao.org/faostat/en/#data/RL</t>
  </si>
  <si>
    <t>total land in million hectares</t>
  </si>
  <si>
    <t>percentage of croland 2019</t>
  </si>
  <si>
    <t xml:space="preserve">Industry Projections					</t>
  </si>
  <si>
    <t>Ambitious</t>
  </si>
  <si>
    <t>2019 estimated land for biofuels</t>
  </si>
  <si>
    <t>million hectares</t>
  </si>
  <si>
    <t>Multipliers from Lee et al 2021</t>
  </si>
  <si>
    <t>GWP20</t>
  </si>
  <si>
    <t>GWP50</t>
  </si>
  <si>
    <t>GWP100</t>
  </si>
  <si>
    <t>GTP20</t>
  </si>
  <si>
    <t>GTP50</t>
  </si>
  <si>
    <t>GTP100</t>
  </si>
  <si>
    <t>BAU (De)</t>
  </si>
  <si>
    <t>Non CO2 only</t>
  </si>
  <si>
    <t>Reduced Fossil</t>
  </si>
  <si>
    <t>BAU, Carbon Intensive</t>
  </si>
  <si>
    <t>BAU, Reduced Fossil</t>
  </si>
  <si>
    <t>BAU, Net-zero</t>
  </si>
  <si>
    <t>Gt CO2eq</t>
  </si>
  <si>
    <t>Industry (De)</t>
  </si>
  <si>
    <t>Industry, Carbon Intensive</t>
  </si>
  <si>
    <t>Industry, Reduced Fossil</t>
  </si>
  <si>
    <t>Industry, Net-zero</t>
  </si>
  <si>
    <t>Ambitious (De)</t>
  </si>
  <si>
    <t>Ambitious, Carbon Intensive</t>
  </si>
  <si>
    <t>Ambitious, Reduced Fossil</t>
  </si>
  <si>
    <t>Ambitious, Net-zero</t>
  </si>
  <si>
    <t>Synfuel cost was based on the mass balance. Below are the used cost equations.</t>
  </si>
  <si>
    <t>kg of jet fuel per liter</t>
  </si>
  <si>
    <t>H cost ($/kg H2)</t>
  </si>
  <si>
    <t>Carbon cost ($/kg CO2)</t>
  </si>
  <si>
    <t>* Note: here we want x and y axes in USD/kg, but the cell value in USD/liter</t>
  </si>
  <si>
    <t>Density of syntehtic fuel</t>
  </si>
  <si>
    <t>Density of biodiesel</t>
  </si>
  <si>
    <t>kg/L</t>
  </si>
  <si>
    <t>L/kg</t>
  </si>
  <si>
    <t>https://www.ingentaconnect.com/content/asp/jbmb/2016/00000010/00000001/art00005;jsessionid=18j9o9jd0s73u.x-ic-live-01</t>
  </si>
  <si>
    <t>CO2 per kg of fuel</t>
  </si>
  <si>
    <t>kg CO2 per kg of fuel</t>
  </si>
  <si>
    <t>https://www.sciencedirect.com/science/article/pii/S1352231020305689#bib156</t>
  </si>
  <si>
    <t>per kg of fuel</t>
  </si>
  <si>
    <t>per liter of fuel</t>
  </si>
  <si>
    <t>Multipliers</t>
  </si>
  <si>
    <t>total GHG in kg</t>
  </si>
  <si>
    <t>total non-CO2s in kg</t>
  </si>
  <si>
    <t>Cost of removing that carbon in $ per ton</t>
  </si>
  <si>
    <t>CH2 = (Hydrogen unit cost x 0.4 + CO2 unit cost x 3.14 ) / conversion eff (0.8).</t>
  </si>
  <si>
    <t>1. Here is the cost per liter</t>
  </si>
  <si>
    <t xml:space="preserve">Synfuel </t>
  </si>
  <si>
    <t>HEFA</t>
  </si>
  <si>
    <t>Equation : CAPEX – 4.3 USD/GJ biofuel (0.17 USD/kg biomass), OPEX - 8.6 USD/GJ biofuel (0.34 USD/kg biomass)</t>
  </si>
  <si>
    <t>Cost = (0.17 + 0.34 + Feedstock cost ) * Y (Inversed efficiency)</t>
  </si>
  <si>
    <t>conversion efficiency (kg biomass / kg fuel)*</t>
  </si>
  <si>
    <r>
      <rPr>
        <sz val="12"/>
        <color theme="1"/>
        <rFont val="Calibri"/>
        <family val="2"/>
        <scheme val="minor"/>
      </rPr>
      <t>c</t>
    </r>
    <r>
      <rPr>
        <b/>
        <sz val="12"/>
        <color theme="1"/>
        <rFont val="Calibri"/>
        <family val="2"/>
        <scheme val="minor"/>
      </rPr>
      <t>ost of delivered biomass ($/kg of biomass)</t>
    </r>
  </si>
  <si>
    <t>* multiplying at the end by density from biodiesel</t>
  </si>
  <si>
    <t>Synthetic Fuels</t>
  </si>
  <si>
    <t>FT biojet</t>
  </si>
  <si>
    <t>CAPEX – 7.6 USD/GJ biofuel (0.07 USD/kg biomass), OPEX – 13.5 USD/GJ biofuel (0.12 USD/kg biomass)</t>
  </si>
  <si>
    <t>Cost = (0.07 + 0.12 + Feedstock cost ) * Y (Inversed efficiency)</t>
  </si>
  <si>
    <t>Conversion efficiency (kg biomass / kg fuel)</t>
  </si>
  <si>
    <t>cost of delivered biocmass ($/kg biomass)</t>
  </si>
  <si>
    <t>FT</t>
  </si>
  <si>
    <t>HISTORICAL</t>
  </si>
  <si>
    <t>CO2 ONLY</t>
  </si>
  <si>
    <t>GHG (Based on multiplier)</t>
  </si>
  <si>
    <t>Historical emissions (Mt CO2eq GWP100)</t>
  </si>
  <si>
    <t>Mt CO2 eq / MJ</t>
  </si>
  <si>
    <t>g CO2 eq / MJ</t>
  </si>
  <si>
    <t>CARBON INTENSIVE -&gt; 100% jet-fuel</t>
  </si>
  <si>
    <t>BAU</t>
  </si>
  <si>
    <t>REDUCED FOSSIL -&gt; 65% SAF + 13% new propulsion (EV/hydrogen)</t>
  </si>
  <si>
    <t>Net-Zero  -&gt; 100% SAF + 50% short-haul EV</t>
  </si>
  <si>
    <t>gCO2eq/MJ</t>
  </si>
  <si>
    <t>passenger</t>
  </si>
  <si>
    <t>freight</t>
  </si>
  <si>
    <t>2019 Percentage split passenger freight</t>
  </si>
  <si>
    <t>Decreases in 2020 compared to 2019</t>
  </si>
  <si>
    <t>Passenger demand in 2021 compared to 2019</t>
  </si>
  <si>
    <t>Paper values</t>
  </si>
  <si>
    <t>Same as version 2, but we do it with GHGs (CO2 and non-CO2). We assume that remaining emisison have to be offset so that every single scenario reaches net-zero</t>
  </si>
  <si>
    <t>GWP100, km based for contrails</t>
  </si>
  <si>
    <t>*CHARTS HAVE REMAINING EMISSIONS BASED ON DEMAND -&gt; EFFICIENCY -&gt; C-INTENSITY</t>
  </si>
  <si>
    <t>*Based on percentage changes on 2020 emissions: e.g. +240% from 2020 emissions for demand, -15% for energy intensity based on emissions from demand</t>
  </si>
  <si>
    <t xml:space="preserve"> Emissions 2050</t>
  </si>
  <si>
    <t>DEMAND</t>
  </si>
  <si>
    <t>ENERGY INTENSITY</t>
  </si>
  <si>
    <t>CARBON INTENSITY</t>
  </si>
  <si>
    <t>BAU (Historical 1% Efficiency)</t>
  </si>
  <si>
    <t>Carbon Intensive Intensity</t>
  </si>
  <si>
    <t>demand</t>
  </si>
  <si>
    <t>Reduced Fossil Intensity</t>
  </si>
  <si>
    <t>IEA Intensity</t>
  </si>
  <si>
    <t>NZ Intensity</t>
  </si>
  <si>
    <t>Industry</t>
  </si>
  <si>
    <t>Industry (ICAO 2% Efficiency)</t>
  </si>
  <si>
    <t>Alternative Fuels Intensity</t>
  </si>
  <si>
    <t>Ambiitous</t>
  </si>
  <si>
    <t>Ambiitous (IEA Efficiency)</t>
  </si>
  <si>
    <t>Abstract</t>
  </si>
  <si>
    <t>reduciton in demand by 2050 in Ambitious vs BAU</t>
  </si>
  <si>
    <t xml:space="preserve">reduciton in energy efficiency by 2050 in Ambitious vs BAU </t>
  </si>
  <si>
    <t>Total GHG Emissions in Gt CO2 eq based on GWP100 based on multiplier</t>
  </si>
  <si>
    <t>Demand (billion ton-km eq)</t>
  </si>
  <si>
    <t>Carbon Intensity (g CO2 eq /MJ) CO2 based</t>
  </si>
  <si>
    <t>Emissions based on changes in demand only, assuming same energy and cabron intensity of 2021</t>
  </si>
  <si>
    <t>Emissions based on changes in energy intensity and demand, asusming same carbon intensity</t>
  </si>
  <si>
    <t>Emissions based on changes in energy intensity and demand AND carbon intensity</t>
  </si>
  <si>
    <t>Net Zero</t>
  </si>
  <si>
    <t>(ton-km equivalent)</t>
  </si>
  <si>
    <t>Emisisons in Gt CO2eq</t>
  </si>
  <si>
    <t>(MJ/RTKe)</t>
  </si>
  <si>
    <t>Carbon Intensity</t>
  </si>
  <si>
    <t>Energy Intensity</t>
  </si>
  <si>
    <t>MJ/ RTK e</t>
  </si>
  <si>
    <t>energy intensity</t>
  </si>
  <si>
    <t>cabron intensity</t>
  </si>
  <si>
    <t>CDR</t>
  </si>
  <si>
    <t>Land breakdown</t>
  </si>
  <si>
    <t>total cropland</t>
  </si>
  <si>
    <t>land for biofuels</t>
  </si>
  <si>
    <t>country</t>
  </si>
  <si>
    <t>year</t>
  </si>
  <si>
    <t>item</t>
  </si>
  <si>
    <t>emissions</t>
  </si>
  <si>
    <t>Brazil</t>
  </si>
  <si>
    <t>Domestic Aviation</t>
  </si>
  <si>
    <t>China</t>
  </si>
  <si>
    <t>EU27 &amp; UK</t>
  </si>
  <si>
    <t>France</t>
  </si>
  <si>
    <t>Germany</t>
  </si>
  <si>
    <t>India</t>
  </si>
  <si>
    <t>Italy</t>
  </si>
  <si>
    <t>Japan</t>
  </si>
  <si>
    <t>ROW</t>
  </si>
  <si>
    <t>Russia</t>
  </si>
  <si>
    <t>Spain</t>
  </si>
  <si>
    <t>UK</t>
  </si>
  <si>
    <t>US</t>
  </si>
  <si>
    <t>International Aviation</t>
  </si>
  <si>
    <t>WORLD</t>
  </si>
  <si>
    <t>PERCENTAGES</t>
  </si>
  <si>
    <t>Regional emissions from the Carbon Monitor</t>
  </si>
  <si>
    <t>https://carbonmonitor.org/</t>
  </si>
  <si>
    <t>NON-CO2 &amp; CO2</t>
  </si>
  <si>
    <t>ONLY CO2</t>
  </si>
  <si>
    <t>Emisisons in Gt CO2</t>
  </si>
  <si>
    <t>SAF Cost in $/L</t>
  </si>
  <si>
    <t>CDR Cost in $/tCO2</t>
  </si>
  <si>
    <t>non-CO2</t>
  </si>
  <si>
    <t>CO2</t>
  </si>
  <si>
    <t>CO2 Breakdown GWP100 by 2050</t>
  </si>
  <si>
    <t>GDP per capita</t>
  </si>
  <si>
    <t>https://data.worldbank.org/indicator/NY.GDP.PCAP.PP.CD</t>
  </si>
  <si>
    <t>WB</t>
  </si>
  <si>
    <t>current international $</t>
  </si>
  <si>
    <t>Carbon sequestration cost ($/tCO2)</t>
  </si>
  <si>
    <t>CDR Quantity (GtCO2)</t>
  </si>
  <si>
    <t>*Cost in trillion dollars</t>
  </si>
  <si>
    <t>Ton-km equivalent</t>
  </si>
  <si>
    <t>MJ/ton-km equivalent</t>
  </si>
  <si>
    <t>Historical</t>
  </si>
  <si>
    <t>Projections</t>
  </si>
  <si>
    <t>Future emissions projected based on different parameters from the Kaya identity.</t>
  </si>
  <si>
    <t xml:space="preserve">Future demand scenarios follow three pathways: </t>
  </si>
  <si>
    <t xml:space="preserve">Future energy intensity scenarios follow three pathways: </t>
  </si>
  <si>
    <t xml:space="preserve">Future carbon intensity scenarios follow three trajectories: </t>
  </si>
  <si>
    <r>
      <t>Emissions (</t>
    </r>
    <r>
      <rPr>
        <b/>
        <i/>
        <sz val="14"/>
        <color theme="1"/>
        <rFont val="Helvetica"/>
        <family val="2"/>
      </rPr>
      <t>F</t>
    </r>
    <r>
      <rPr>
        <b/>
        <sz val="14"/>
        <color theme="1"/>
        <rFont val="Helvetica"/>
        <family val="2"/>
      </rPr>
      <t>)</t>
    </r>
  </si>
  <si>
    <r>
      <t>Demand (</t>
    </r>
    <r>
      <rPr>
        <b/>
        <i/>
        <sz val="14"/>
        <color theme="1"/>
        <rFont val="Helvetica"/>
        <family val="2"/>
      </rPr>
      <t>D</t>
    </r>
    <r>
      <rPr>
        <b/>
        <sz val="14"/>
        <color theme="1"/>
        <rFont val="Helvetica"/>
        <family val="2"/>
      </rPr>
      <t>)</t>
    </r>
  </si>
  <si>
    <r>
      <t>Energy intensity (</t>
    </r>
    <r>
      <rPr>
        <b/>
        <i/>
        <sz val="14"/>
        <color theme="1"/>
        <rFont val="Helvetica"/>
        <family val="2"/>
      </rPr>
      <t>e = E/D</t>
    </r>
    <r>
      <rPr>
        <b/>
        <sz val="14"/>
        <color theme="1"/>
        <rFont val="Helvetica"/>
        <family val="2"/>
      </rPr>
      <t>)</t>
    </r>
  </si>
  <si>
    <r>
      <t>Carbon intensity (</t>
    </r>
    <r>
      <rPr>
        <b/>
        <i/>
        <sz val="14"/>
        <color theme="1"/>
        <rFont val="Helvetica"/>
        <family val="2"/>
      </rPr>
      <t>f = F/E</t>
    </r>
    <r>
      <rPr>
        <b/>
        <sz val="14"/>
        <color theme="1"/>
        <rFont val="Helvetica"/>
        <family val="2"/>
      </rPr>
      <t>)</t>
    </r>
  </si>
  <si>
    <r>
      <t>Mt CO</t>
    </r>
    <r>
      <rPr>
        <i/>
        <vertAlign val="subscript"/>
        <sz val="12"/>
        <color theme="1"/>
        <rFont val="Helvetica"/>
        <family val="2"/>
      </rPr>
      <t>2</t>
    </r>
  </si>
  <si>
    <r>
      <t>gCO</t>
    </r>
    <r>
      <rPr>
        <i/>
        <vertAlign val="subscript"/>
        <sz val="12"/>
        <color theme="1"/>
        <rFont val="Helvetica"/>
        <family val="2"/>
      </rPr>
      <t>2</t>
    </r>
    <r>
      <rPr>
        <i/>
        <sz val="12"/>
        <color theme="1"/>
        <rFont val="Helvetica"/>
        <family val="2"/>
      </rPr>
      <t>/ MJ and gCO</t>
    </r>
    <r>
      <rPr>
        <i/>
        <vertAlign val="subscript"/>
        <sz val="12"/>
        <color theme="1"/>
        <rFont val="Helvetica"/>
        <family val="2"/>
      </rPr>
      <t>2-eq</t>
    </r>
    <r>
      <rPr>
        <i/>
        <sz val="12"/>
        <color theme="1"/>
        <rFont val="Helvetica"/>
        <family val="2"/>
      </rPr>
      <t>/MJ</t>
    </r>
  </si>
  <si>
    <r>
      <t>Historical emissions (1990-2020) from IEA</t>
    </r>
    <r>
      <rPr>
        <vertAlign val="superscript"/>
        <sz val="12"/>
        <color theme="1"/>
        <rFont val="Helvetica"/>
        <family val="2"/>
      </rPr>
      <t>18</t>
    </r>
    <r>
      <rPr>
        <sz val="12"/>
        <color theme="1"/>
        <rFont val="Helvetica"/>
        <family val="2"/>
      </rPr>
      <t>. 2021 emissions from CMP and adjusted by previous year difference between CMP and IEA (13%)</t>
    </r>
    <r>
      <rPr>
        <vertAlign val="superscript"/>
        <sz val="12"/>
        <color theme="1"/>
        <rFont val="Helvetica"/>
        <family val="2"/>
      </rPr>
      <t>19</t>
    </r>
    <r>
      <rPr>
        <sz val="12"/>
        <color theme="1"/>
        <rFont val="Helvetica"/>
        <family val="2"/>
      </rPr>
      <t>.</t>
    </r>
  </si>
  <si>
    <r>
      <t>Passenger demand from ICAO (1990-2020)</t>
    </r>
    <r>
      <rPr>
        <vertAlign val="superscript"/>
        <sz val="12"/>
        <color theme="1"/>
        <rFont val="Helvetica"/>
        <family val="2"/>
      </rPr>
      <t>20,21</t>
    </r>
    <r>
      <rPr>
        <sz val="12"/>
        <color theme="1"/>
        <rFont val="Helvetica"/>
        <family val="2"/>
      </rPr>
      <t>. 2021 values were estimated based on emissions</t>
    </r>
    <r>
      <rPr>
        <vertAlign val="superscript"/>
        <sz val="12"/>
        <color theme="1"/>
        <rFont val="Helvetica"/>
        <family val="2"/>
      </rPr>
      <t>19</t>
    </r>
    <r>
      <rPr>
        <sz val="12"/>
        <color theme="1"/>
        <rFont val="Helvetica"/>
        <family val="2"/>
      </rPr>
      <t>.</t>
    </r>
  </si>
  <si>
    <r>
      <t>Energy intensity was calculated for 1990-2021 based on total aviation demand (passenger and freight)</t>
    </r>
    <r>
      <rPr>
        <vertAlign val="superscript"/>
        <sz val="12"/>
        <color theme="1"/>
        <rFont val="Helvetica"/>
        <family val="2"/>
      </rPr>
      <t>20–22</t>
    </r>
    <r>
      <rPr>
        <sz val="12"/>
        <color theme="1"/>
        <rFont val="Helvetica"/>
        <family val="2"/>
      </rPr>
      <t xml:space="preserve"> and total aviation fuel consumption from IEA’s World Energy Statistics and Balances</t>
    </r>
    <r>
      <rPr>
        <vertAlign val="superscript"/>
        <sz val="12"/>
        <color theme="1"/>
        <rFont val="Helvetica"/>
        <family val="2"/>
      </rPr>
      <t>25</t>
    </r>
    <r>
      <rPr>
        <sz val="12"/>
        <color theme="1"/>
        <rFont val="Helvetica"/>
        <family val="2"/>
      </rPr>
      <t>.</t>
    </r>
  </si>
  <si>
    <r>
      <t>Freight demand from 1990-2020 from the World Bank Data</t>
    </r>
    <r>
      <rPr>
        <vertAlign val="superscript"/>
        <sz val="12"/>
        <color theme="1"/>
        <rFont val="Helvetica"/>
        <family val="2"/>
      </rPr>
      <t>22</t>
    </r>
    <r>
      <rPr>
        <sz val="12"/>
        <color theme="1"/>
        <rFont val="Helvetica"/>
        <family val="2"/>
      </rPr>
      <t>. For 2021 we assume that cargo demand grew 7.9% in 2021 compared to 2019 based on IATA’s estimates</t>
    </r>
    <r>
      <rPr>
        <vertAlign val="superscript"/>
        <sz val="12"/>
        <color theme="1"/>
        <rFont val="Helvetica"/>
        <family val="2"/>
      </rPr>
      <t>23</t>
    </r>
    <r>
      <rPr>
        <sz val="12"/>
        <color theme="1"/>
        <rFont val="Helvetica"/>
        <family val="2"/>
      </rPr>
      <t>.</t>
    </r>
  </si>
  <si>
    <r>
      <t>Passenger demand was converted from “passenger-km” to “ton-km-equivalent” assuming 90 kg by passenger on average, consistent with IEA</t>
    </r>
    <r>
      <rPr>
        <vertAlign val="superscript"/>
        <sz val="12"/>
        <color theme="1"/>
        <rFont val="Helvetica"/>
        <family val="2"/>
      </rPr>
      <t>24</t>
    </r>
    <r>
      <rPr>
        <sz val="12"/>
        <color theme="1"/>
        <rFont val="Helvetica"/>
        <family val="2"/>
      </rPr>
      <t>.</t>
    </r>
  </si>
  <si>
    <r>
      <t xml:space="preserve">1. </t>
    </r>
    <r>
      <rPr>
        <b/>
        <i/>
        <sz val="12"/>
        <color rgb="FFED7D31"/>
        <rFont val="Helvetica"/>
        <family val="2"/>
      </rPr>
      <t>Business-as-usual</t>
    </r>
    <r>
      <rPr>
        <b/>
        <sz val="12"/>
        <color rgb="FFED7D31"/>
        <rFont val="Helvetica"/>
        <family val="2"/>
      </rPr>
      <t xml:space="preserve"> </t>
    </r>
    <r>
      <rPr>
        <sz val="12"/>
        <color theme="1"/>
        <rFont val="Helvetica"/>
        <family val="2"/>
      </rPr>
      <t>scenario following historical GDP growth of 4% per year, which represents the 1980-2019 average</t>
    </r>
    <r>
      <rPr>
        <vertAlign val="superscript"/>
        <sz val="12"/>
        <color theme="1"/>
        <rFont val="Helvetica"/>
        <family val="2"/>
      </rPr>
      <t>26</t>
    </r>
    <r>
      <rPr>
        <sz val="12"/>
        <color theme="1"/>
        <rFont val="Helvetica"/>
        <family val="2"/>
      </rPr>
      <t xml:space="preserve"> with industry-based</t>
    </r>
    <r>
      <rPr>
        <vertAlign val="superscript"/>
        <sz val="12"/>
        <color theme="1"/>
        <rFont val="Helvetica"/>
        <family val="2"/>
      </rPr>
      <t>27</t>
    </r>
    <r>
      <rPr>
        <sz val="12"/>
        <color theme="1"/>
        <rFont val="Helvetica"/>
        <family val="2"/>
      </rPr>
      <t xml:space="preserve"> passenger recovery of returning to 2019 levels by 2024. </t>
    </r>
  </si>
  <si>
    <r>
      <t xml:space="preserve">1. </t>
    </r>
    <r>
      <rPr>
        <b/>
        <i/>
        <sz val="12"/>
        <color rgb="FFED7D31"/>
        <rFont val="Helvetica"/>
        <family val="2"/>
      </rPr>
      <t>Business-as-usual</t>
    </r>
    <r>
      <rPr>
        <b/>
        <sz val="12"/>
        <color rgb="FFED7D31"/>
        <rFont val="Helvetica"/>
        <family val="2"/>
      </rPr>
      <t xml:space="preserve"> </t>
    </r>
    <r>
      <rPr>
        <sz val="12"/>
        <color theme="1"/>
        <rFont val="Helvetica"/>
        <family val="2"/>
      </rPr>
      <t>scenario following 1% yearly energy intensity improvements continue into the future</t>
    </r>
    <r>
      <rPr>
        <vertAlign val="superscript"/>
        <sz val="12"/>
        <color theme="1"/>
        <rFont val="Helvetica"/>
        <family val="2"/>
      </rPr>
      <t>28</t>
    </r>
    <r>
      <rPr>
        <sz val="12"/>
        <color theme="1"/>
        <rFont val="Helvetica"/>
        <family val="2"/>
      </rPr>
      <t xml:space="preserve">. </t>
    </r>
  </si>
  <si>
    <r>
      <t xml:space="preserve">1. </t>
    </r>
    <r>
      <rPr>
        <b/>
        <i/>
        <sz val="12"/>
        <color rgb="FFFF0000"/>
        <rFont val="Helvetica"/>
        <family val="2"/>
      </rPr>
      <t>Carbon</t>
    </r>
    <r>
      <rPr>
        <b/>
        <sz val="12"/>
        <color rgb="FFFF0000"/>
        <rFont val="Helvetica"/>
        <family val="2"/>
      </rPr>
      <t xml:space="preserve"> </t>
    </r>
    <r>
      <rPr>
        <b/>
        <i/>
        <sz val="12"/>
        <color rgb="FFFF0000"/>
        <rFont val="Helvetica"/>
        <family val="2"/>
      </rPr>
      <t>Intensive</t>
    </r>
    <r>
      <rPr>
        <sz val="12"/>
        <color rgb="FFFF0000"/>
        <rFont val="Helvetica"/>
        <family val="2"/>
      </rPr>
      <t xml:space="preserve"> </t>
    </r>
    <r>
      <rPr>
        <sz val="12"/>
        <color theme="1"/>
        <rFont val="Helvetica"/>
        <family val="2"/>
      </rPr>
      <t>scenario where fossil jet fuel continues to power 100% of planes to 2050 (Supplementary Table 2).</t>
    </r>
  </si>
  <si>
    <r>
      <t xml:space="preserve">2. </t>
    </r>
    <r>
      <rPr>
        <b/>
        <i/>
        <sz val="12"/>
        <color rgb="FF4472C4"/>
        <rFont val="Helvetica"/>
        <family val="2"/>
      </rPr>
      <t>Industry projections</t>
    </r>
    <r>
      <rPr>
        <b/>
        <sz val="12"/>
        <color rgb="FF4472C4"/>
        <rFont val="Helvetica"/>
        <family val="2"/>
      </rPr>
      <t xml:space="preserve"> </t>
    </r>
    <r>
      <rPr>
        <sz val="12"/>
        <color theme="1"/>
        <rFont val="Helvetica"/>
        <family val="2"/>
      </rPr>
      <t>scenario low-growth projection of 2.9% per year for passenger demand and 2.6% yearly increase for freight</t>
    </r>
    <r>
      <rPr>
        <vertAlign val="superscript"/>
        <sz val="12"/>
        <color theme="1"/>
        <rFont val="Helvetica"/>
        <family val="2"/>
      </rPr>
      <t>27</t>
    </r>
    <r>
      <rPr>
        <sz val="12"/>
        <color theme="1"/>
        <rFont val="Helvetica"/>
        <family val="2"/>
      </rPr>
      <t>, with industry-based</t>
    </r>
    <r>
      <rPr>
        <vertAlign val="superscript"/>
        <sz val="12"/>
        <color theme="1"/>
        <rFont val="Helvetica"/>
        <family val="2"/>
      </rPr>
      <t>27</t>
    </r>
    <r>
      <rPr>
        <sz val="12"/>
        <color theme="1"/>
        <rFont val="Helvetica"/>
        <family val="2"/>
      </rPr>
      <t xml:space="preserve"> passenger recovery of returning to 2019 levels by 2024.</t>
    </r>
  </si>
  <si>
    <r>
      <t xml:space="preserve">2. </t>
    </r>
    <r>
      <rPr>
        <b/>
        <i/>
        <sz val="12"/>
        <color rgb="FF4472C4"/>
        <rFont val="Helvetica"/>
        <family val="2"/>
      </rPr>
      <t>Industry projections</t>
    </r>
    <r>
      <rPr>
        <b/>
        <sz val="12"/>
        <color rgb="FF4472C4"/>
        <rFont val="Helvetica"/>
        <family val="2"/>
      </rPr>
      <t xml:space="preserve"> </t>
    </r>
    <r>
      <rPr>
        <sz val="12"/>
        <color theme="1"/>
        <rFont val="Helvetica"/>
        <family val="2"/>
      </rPr>
      <t>scenario commitment of achieving 2% increases per year</t>
    </r>
    <r>
      <rPr>
        <vertAlign val="superscript"/>
        <sz val="12"/>
        <color theme="1"/>
        <rFont val="Helvetica"/>
        <family val="2"/>
      </rPr>
      <t>29</t>
    </r>
    <r>
      <rPr>
        <sz val="12"/>
        <color theme="1"/>
        <rFont val="Helvetica"/>
        <family val="2"/>
      </rPr>
      <t xml:space="preserve">. </t>
    </r>
  </si>
  <si>
    <r>
      <t xml:space="preserve">2. A </t>
    </r>
    <r>
      <rPr>
        <b/>
        <i/>
        <sz val="12"/>
        <color rgb="FF2E74B5"/>
        <rFont val="Helvetica"/>
        <family val="2"/>
      </rPr>
      <t>Reduced fossil</t>
    </r>
    <r>
      <rPr>
        <b/>
        <sz val="12"/>
        <color rgb="FF2E74B5"/>
        <rFont val="Helvetica"/>
        <family val="2"/>
      </rPr>
      <t xml:space="preserve"> </t>
    </r>
    <r>
      <rPr>
        <sz val="12"/>
        <color theme="1"/>
        <rFont val="Helvetica"/>
        <family val="2"/>
      </rPr>
      <t>scenario that follows a pathway with 65% of medium and long-haul aviation powered by sustainable aviation fuels and 13% of short-haul planes powered by non-emitting propulsion systems (electric planes or hydrogen) by 2050, following IATA’s net zero emissions plan</t>
    </r>
    <r>
      <rPr>
        <vertAlign val="superscript"/>
        <sz val="12"/>
        <color theme="1"/>
        <rFont val="Helvetica"/>
        <family val="2"/>
      </rPr>
      <t>30</t>
    </r>
    <r>
      <rPr>
        <sz val="12"/>
        <color theme="1"/>
        <rFont val="Helvetica"/>
        <family val="2"/>
      </rPr>
      <t xml:space="preserve"> (Supplementary Table 3).</t>
    </r>
  </si>
  <si>
    <r>
      <t xml:space="preserve">3. An </t>
    </r>
    <r>
      <rPr>
        <b/>
        <i/>
        <sz val="12"/>
        <color rgb="FF70AD47"/>
        <rFont val="Helvetica"/>
        <family val="2"/>
      </rPr>
      <t>Ambitious reductions</t>
    </r>
    <r>
      <rPr>
        <b/>
        <sz val="12"/>
        <color rgb="FF70AD47"/>
        <rFont val="Helvetica"/>
        <family val="2"/>
      </rPr>
      <t xml:space="preserve"> </t>
    </r>
    <r>
      <rPr>
        <sz val="12"/>
        <color theme="1"/>
        <rFont val="Helvetica"/>
        <family val="2"/>
      </rPr>
      <t>scenario where demand remains nearly flat, increasing by 12% by 2050 compared to 2019, consistent with the assumptions from the IEA’s Net-zero scenario</t>
    </r>
    <r>
      <rPr>
        <vertAlign val="superscript"/>
        <sz val="12"/>
        <color theme="1"/>
        <rFont val="Helvetica"/>
        <family val="2"/>
      </rPr>
      <t>31</t>
    </r>
    <r>
      <rPr>
        <sz val="12"/>
        <color theme="1"/>
        <rFont val="Helvetica"/>
        <family val="2"/>
      </rPr>
      <t>. No recovery.</t>
    </r>
  </si>
  <si>
    <r>
      <t xml:space="preserve">3. An </t>
    </r>
    <r>
      <rPr>
        <b/>
        <i/>
        <sz val="12"/>
        <color rgb="FF70AD47"/>
        <rFont val="Helvetica"/>
        <family val="2"/>
      </rPr>
      <t>Ambitious reductions</t>
    </r>
    <r>
      <rPr>
        <b/>
        <sz val="12"/>
        <color rgb="FF70AD47"/>
        <rFont val="Helvetica"/>
        <family val="2"/>
      </rPr>
      <t xml:space="preserve"> </t>
    </r>
    <r>
      <rPr>
        <sz val="12"/>
        <color theme="1"/>
        <rFont val="Helvetica"/>
        <family val="2"/>
      </rPr>
      <t>scenario where energy intensities improve at an average 4% per year, consistent with the IEA’s Net-zero scenario</t>
    </r>
    <r>
      <rPr>
        <vertAlign val="superscript"/>
        <sz val="12"/>
        <color theme="1"/>
        <rFont val="Helvetica"/>
        <family val="2"/>
      </rPr>
      <t>8</t>
    </r>
    <r>
      <rPr>
        <sz val="12"/>
        <color theme="1"/>
        <rFont val="Helvetica"/>
        <family val="2"/>
      </rPr>
      <t>, which we extend to 2050.</t>
    </r>
  </si>
  <si>
    <r>
      <t xml:space="preserve">3. A </t>
    </r>
    <r>
      <rPr>
        <b/>
        <i/>
        <sz val="12"/>
        <color rgb="FF538135"/>
        <rFont val="Helvetica"/>
        <family val="2"/>
      </rPr>
      <t>Net-Zero</t>
    </r>
    <r>
      <rPr>
        <sz val="12"/>
        <color rgb="FF538135"/>
        <rFont val="Helvetica"/>
        <family val="2"/>
      </rPr>
      <t xml:space="preserve"> </t>
    </r>
    <r>
      <rPr>
        <sz val="12"/>
        <color theme="1"/>
        <rFont val="Helvetica"/>
        <family val="2"/>
      </rPr>
      <t>scenario where biofuels power 100% of medium- and long-haul aviation by 2050, and non-emitting propulsion systems power 50% of short-haul flights, with the remainder being powered by biofuels (Supplementary Table 4).</t>
    </r>
  </si>
  <si>
    <t>(million passenger-km-equivalent)</t>
  </si>
  <si>
    <t>(million passenger-km)</t>
  </si>
  <si>
    <t>MJ/pass-km-eq</t>
  </si>
  <si>
    <t>1.convert historical demand for frieght and passenger (pass-km equivalent)</t>
  </si>
  <si>
    <t>(million pass-km equivalent)</t>
  </si>
  <si>
    <t>fuel (MJ)</t>
  </si>
  <si>
    <t>demand (pass-km-eq)</t>
  </si>
  <si>
    <t>MJ per pass-km-eq</t>
  </si>
  <si>
    <t xml:space="preserve">MJ/kg of jet fuel </t>
  </si>
  <si>
    <t>https://hypertextbook.com/facts/2003/EvelynGofman.shtml</t>
  </si>
  <si>
    <t>Lee te al: https://www.sciencedirect.com/science/article/pii/S1352231020305689</t>
  </si>
  <si>
    <t>Multiplier for GWP100 from Lee et al</t>
  </si>
  <si>
    <t>Amount of CO2 kg</t>
  </si>
  <si>
    <t>Amount of non-CO2 kg</t>
  </si>
  <si>
    <t>demand (ton-km-eq)</t>
  </si>
  <si>
    <t>fuel(MJ)</t>
  </si>
  <si>
    <t>MJ per ton km eq</t>
  </si>
  <si>
    <t xml:space="preserve"> For 2019</t>
  </si>
  <si>
    <t>Total GHG kg</t>
  </si>
  <si>
    <t>CDR removal amount in kg</t>
  </si>
  <si>
    <t>MJ/kg for biodiesel</t>
  </si>
  <si>
    <t>MJ/kg for ethanol</t>
  </si>
  <si>
    <t>https://energyeducation.ca/encyclopedia/Energy_density</t>
  </si>
  <si>
    <t>kg of jet fuel per pass-km-eq</t>
  </si>
  <si>
    <t>kg of biofuel per pass-km</t>
  </si>
  <si>
    <t>MJ/kg average</t>
  </si>
  <si>
    <t>kg/liter density biodiesel</t>
  </si>
  <si>
    <t>liters of biofuel per pass-km-eq</t>
  </si>
  <si>
    <t>kg of biofuel per ton-km-eq</t>
  </si>
  <si>
    <t>liters of biofuel per ton-km-eq</t>
  </si>
  <si>
    <t>SAF amount in L</t>
  </si>
  <si>
    <t>pass-km-eq</t>
  </si>
  <si>
    <t>ton-km-eq</t>
  </si>
  <si>
    <t>$ per pass-km-eq</t>
  </si>
  <si>
    <t>$ per ton-km-eq</t>
  </si>
  <si>
    <t>kg of jet fuel per ton-km-eq</t>
  </si>
  <si>
    <t>buildings and agriculture (modern solid bioenergy)</t>
  </si>
  <si>
    <t>Industry (modern solid bioenergy)</t>
  </si>
  <si>
    <t>Electricity and heat (modern solid bioenergy)</t>
  </si>
  <si>
    <t>Traditional use of biomass</t>
  </si>
  <si>
    <t>Biogases</t>
  </si>
  <si>
    <t>Conversion losses</t>
  </si>
  <si>
    <t>https://www.iea.org/reports/bioenergy</t>
  </si>
  <si>
    <t>Bioenegry use by sector EJ for 2019</t>
  </si>
  <si>
    <t>Liquid biofuels</t>
  </si>
  <si>
    <t>$ per passenger-km</t>
  </si>
  <si>
    <t>*Jump per point</t>
  </si>
  <si>
    <t>$ per ton-km</t>
  </si>
  <si>
    <t>long &amp; medium-haul</t>
  </si>
  <si>
    <t>short haul</t>
  </si>
  <si>
    <t>2021 GHG emissions</t>
  </si>
  <si>
    <t>g CO2 eq / MJ fossil jet fuel</t>
  </si>
  <si>
    <t>g CO2 eq / MJ SAF</t>
  </si>
  <si>
    <t>Business-as-usual (GtCO2)</t>
  </si>
  <si>
    <t>Industry Projections (GtCO2)</t>
  </si>
  <si>
    <t>Ambitious Projections (GtCO2)</t>
  </si>
  <si>
    <t>Business-as-usual (GtCO2-eq)</t>
  </si>
  <si>
    <t>Industry Projections (GtCO2-eq)</t>
  </si>
  <si>
    <t>Ambitious Projections (GtCO2-eq)</t>
  </si>
  <si>
    <t>Emissions (F) GWP100</t>
  </si>
  <si>
    <t>Demand</t>
  </si>
  <si>
    <t>Gt CO2-eq</t>
  </si>
  <si>
    <t>CO2 Emissions</t>
  </si>
  <si>
    <t>GtCO2</t>
  </si>
  <si>
    <t>*Here we estimate total GHGs based on different GWP, but we need specific carbon intensity, otherwise we are assuming electricity and hydrogen to have non-CO2s</t>
  </si>
  <si>
    <t>We consider tank-to-wake emissions only, which excludes fuel production and includes only carbon combustion emissions for all fuels with values from16, which are 73.5 gCO2/MJ (124.9 gCO2-eq/MJ) for fossil jet fuel. Assumed carbon intensity is 0 gCO2/MJ (51.4 gCO2-eq/MJ) for biofuels and synthetic fuels (GWP100). Alternative technologies (EV-powered planes and green hydrogen) are assumed to be 0 gCO2/MJ (0 gCO2-eq/MJ).</t>
  </si>
  <si>
    <t>*Note for fossil jet fuel we include both CO2 and non-CO2</t>
  </si>
  <si>
    <t>*Note for SAF we only want the non-CO2</t>
  </si>
  <si>
    <t>*Hidden colums have proprietary data</t>
  </si>
  <si>
    <t>*Hidden column with proprietary data</t>
  </si>
  <si>
    <t>*V2: here we use different multipliers, and we do not end up adding these values to the cost of the fuel. Instead, we show only the cost of offsetting the non-CO2s of burning that fuel</t>
  </si>
  <si>
    <t>Here we add the table for SM figure 7</t>
  </si>
  <si>
    <t xml:space="preserve">Cost of offsetting non-CO2s </t>
  </si>
  <si>
    <t>Cost of CO2 removal</t>
  </si>
  <si>
    <t>$/tCO2</t>
  </si>
  <si>
    <t>2. Here is the synhetic fuel cost after adding the cost of removing the carbon equivalent of non-CO2 emissions of burning 1 liter, assuming multiplier of 1.7 (GWP100) and CO2 cost of 700</t>
  </si>
  <si>
    <t>kg CO2</t>
  </si>
  <si>
    <t>2. Here is the HEFA fuel cost after adding the cost of removing the carbon equivalent of non-CO2 emissions of burning 1 liter, assuming multiplier of 1.7 (GWP100) and CO2 cost of 700</t>
  </si>
  <si>
    <t>total non'CO2</t>
  </si>
  <si>
    <t>Net-zero emissions aviation</t>
  </si>
  <si>
    <r>
      <t>Candelaria Bergero</t>
    </r>
    <r>
      <rPr>
        <vertAlign val="superscript"/>
        <sz val="12"/>
        <color theme="1"/>
        <rFont val="Helvetica"/>
        <family val="2"/>
      </rPr>
      <t>1*</t>
    </r>
    <r>
      <rPr>
        <sz val="12"/>
        <color theme="1"/>
        <rFont val="Helvetica"/>
        <family val="2"/>
      </rPr>
      <t>, Greer Gosnell</t>
    </r>
    <r>
      <rPr>
        <vertAlign val="superscript"/>
        <sz val="12"/>
        <color theme="1"/>
        <rFont val="Helvetica"/>
        <family val="2"/>
      </rPr>
      <t>2</t>
    </r>
    <r>
      <rPr>
        <sz val="12"/>
        <color theme="1"/>
        <rFont val="Helvetica"/>
        <family val="2"/>
      </rPr>
      <t>, Dolf Gielen</t>
    </r>
    <r>
      <rPr>
        <vertAlign val="superscript"/>
        <sz val="12"/>
        <color theme="1"/>
        <rFont val="Helvetica"/>
        <family val="2"/>
      </rPr>
      <t>3</t>
    </r>
    <r>
      <rPr>
        <sz val="12"/>
        <color theme="1"/>
        <rFont val="Helvetica"/>
        <family val="2"/>
      </rPr>
      <t>, Seungwoo Kang</t>
    </r>
    <r>
      <rPr>
        <vertAlign val="superscript"/>
        <sz val="12"/>
        <color theme="1"/>
        <rFont val="Helvetica"/>
        <family val="2"/>
      </rPr>
      <t>3,4</t>
    </r>
    <r>
      <rPr>
        <sz val="12"/>
        <color theme="1"/>
        <rFont val="Helvetica"/>
        <family val="2"/>
      </rPr>
      <t>, Morgan Bazilian</t>
    </r>
    <r>
      <rPr>
        <vertAlign val="superscript"/>
        <sz val="12"/>
        <color theme="1"/>
        <rFont val="Helvetica"/>
        <family val="2"/>
      </rPr>
      <t>5</t>
    </r>
    <r>
      <rPr>
        <sz val="12"/>
        <color theme="1"/>
        <rFont val="Helvetica"/>
        <family val="2"/>
      </rPr>
      <t>, and Steven J. Davis</t>
    </r>
    <r>
      <rPr>
        <vertAlign val="superscript"/>
        <sz val="12"/>
        <color theme="1"/>
        <rFont val="Helvetica"/>
        <family val="2"/>
      </rPr>
      <t>1,6*</t>
    </r>
  </si>
  <si>
    <r>
      <t>1</t>
    </r>
    <r>
      <rPr>
        <i/>
        <sz val="10"/>
        <color theme="1"/>
        <rFont val="Helvetica"/>
        <family val="2"/>
      </rPr>
      <t xml:space="preserve"> Department of Earth System Science, University of California, Irvine, Irvine, CA</t>
    </r>
  </si>
  <si>
    <r>
      <t xml:space="preserve">2 </t>
    </r>
    <r>
      <rPr>
        <i/>
        <sz val="10"/>
        <color theme="1"/>
        <rFont val="Helvetica"/>
        <family val="2"/>
      </rPr>
      <t>Division of Economics and Business, Colorado School of Mines, Golden, CO</t>
    </r>
  </si>
  <si>
    <r>
      <t>3</t>
    </r>
    <r>
      <rPr>
        <i/>
        <sz val="10"/>
        <color theme="1"/>
        <rFont val="Helvetica"/>
        <family val="2"/>
      </rPr>
      <t xml:space="preserve"> Innovation and Technology Center, International Renewable Energy Agency, Bonn, Germany</t>
    </r>
  </si>
  <si>
    <r>
      <t>4</t>
    </r>
    <r>
      <rPr>
        <i/>
        <sz val="10"/>
        <color theme="1"/>
        <rFont val="Helvetica"/>
        <family val="2"/>
      </rPr>
      <t xml:space="preserve"> OneTech, TotalEnergies, Paris-Saclay, France</t>
    </r>
  </si>
  <si>
    <r>
      <t xml:space="preserve">5 </t>
    </r>
    <r>
      <rPr>
        <i/>
        <sz val="10"/>
        <color theme="1"/>
        <rFont val="Helvetica"/>
        <family val="2"/>
      </rPr>
      <t>The Payne Institute for Public Policy, Colorado School of Mines, Golden, CO</t>
    </r>
  </si>
  <si>
    <r>
      <t>6</t>
    </r>
    <r>
      <rPr>
        <i/>
        <sz val="10"/>
        <color theme="1"/>
        <rFont val="Helvetica"/>
        <family val="2"/>
      </rPr>
      <t xml:space="preserve"> Department of Civil and Environmental Engineering, University of California, Irvine, Irvine, 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</si>
</sst>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0.000"/>
    <numFmt numFmtId="166" formatCode="0.0"/>
    <numFmt numFmtId="167" formatCode="0.0%"/>
    <numFmt numFmtId="168" formatCode="_(* #,##0.0_);_(* \(#,##0.0\);_(* &quot;-&quot;??_);_(@_)"/>
    <numFmt numFmtId="169" formatCode="_(* #,##0_);_(* \(#,##0\);_(* &quot;-&quot;??_);_(@_)"/>
  </numFmts>
  <fonts count="6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9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theme="6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9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92D050"/>
      <name val="Calibri"/>
      <family val="2"/>
      <scheme val="minor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b/>
      <sz val="8.5"/>
      <color theme="1"/>
      <name val="Helvetica"/>
      <family val="2"/>
    </font>
    <font>
      <b/>
      <sz val="14"/>
      <color theme="1"/>
      <name val="Helvetica"/>
      <family val="2"/>
    </font>
    <font>
      <b/>
      <i/>
      <sz val="14"/>
      <color theme="1"/>
      <name val="Helvetica"/>
      <family val="2"/>
    </font>
    <font>
      <i/>
      <sz val="12"/>
      <color theme="1"/>
      <name val="Helvetica"/>
      <family val="2"/>
    </font>
    <font>
      <i/>
      <vertAlign val="subscript"/>
      <sz val="12"/>
      <color theme="1"/>
      <name val="Helvetica"/>
      <family val="2"/>
    </font>
    <font>
      <vertAlign val="superscript"/>
      <sz val="12"/>
      <color theme="1"/>
      <name val="Helvetica"/>
      <family val="2"/>
    </font>
    <font>
      <b/>
      <i/>
      <sz val="12"/>
      <color rgb="FFED7D31"/>
      <name val="Helvetica"/>
      <family val="2"/>
    </font>
    <font>
      <b/>
      <sz val="12"/>
      <color rgb="FFED7D31"/>
      <name val="Helvetica"/>
      <family val="2"/>
    </font>
    <font>
      <b/>
      <i/>
      <sz val="12"/>
      <color rgb="FFFF0000"/>
      <name val="Helvetica"/>
      <family val="2"/>
    </font>
    <font>
      <b/>
      <sz val="12"/>
      <color rgb="FFFF0000"/>
      <name val="Helvetica"/>
      <family val="2"/>
    </font>
    <font>
      <sz val="12"/>
      <color rgb="FFFF0000"/>
      <name val="Helvetica"/>
      <family val="2"/>
    </font>
    <font>
      <b/>
      <i/>
      <sz val="12"/>
      <color rgb="FF4472C4"/>
      <name val="Helvetica"/>
      <family val="2"/>
    </font>
    <font>
      <b/>
      <sz val="12"/>
      <color rgb="FF4472C4"/>
      <name val="Helvetica"/>
      <family val="2"/>
    </font>
    <font>
      <b/>
      <i/>
      <sz val="12"/>
      <color rgb="FF2E74B5"/>
      <name val="Helvetica"/>
      <family val="2"/>
    </font>
    <font>
      <b/>
      <sz val="12"/>
      <color rgb="FF2E74B5"/>
      <name val="Helvetica"/>
      <family val="2"/>
    </font>
    <font>
      <b/>
      <i/>
      <sz val="12"/>
      <color rgb="FF70AD47"/>
      <name val="Helvetica"/>
      <family val="2"/>
    </font>
    <font>
      <b/>
      <sz val="12"/>
      <color rgb="FF70AD47"/>
      <name val="Helvetica"/>
      <family val="2"/>
    </font>
    <font>
      <b/>
      <i/>
      <sz val="12"/>
      <color rgb="FF538135"/>
      <name val="Helvetica"/>
      <family val="2"/>
    </font>
    <font>
      <sz val="12"/>
      <color rgb="FF538135"/>
      <name val="Helvetica"/>
      <family val="2"/>
    </font>
    <font>
      <sz val="12"/>
      <color rgb="FF7030A0"/>
      <name val="Calibri"/>
      <family val="2"/>
      <scheme val="minor"/>
    </font>
    <font>
      <sz val="8"/>
      <color theme="1"/>
      <name val="Arial"/>
      <family val="2"/>
    </font>
    <font>
      <b/>
      <sz val="16"/>
      <color theme="1"/>
      <name val="Helvetica"/>
      <family val="2"/>
    </font>
    <font>
      <sz val="11"/>
      <color theme="1"/>
      <name val="Helvetica"/>
      <family val="2"/>
    </font>
    <font>
      <i/>
      <vertAlign val="superscript"/>
      <sz val="10"/>
      <color theme="1"/>
      <name val="Helvetica"/>
      <family val="2"/>
    </font>
    <font>
      <i/>
      <sz val="10"/>
      <color theme="1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9"/>
        <bgColor rgb="FF000000"/>
      </patternFill>
    </fill>
  </fills>
  <borders count="3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2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3" fontId="0" fillId="0" borderId="0" xfId="0" applyNumberFormat="1"/>
    <xf numFmtId="0" fontId="3" fillId="0" borderId="0" xfId="0" applyFont="1"/>
    <xf numFmtId="0" fontId="4" fillId="0" borderId="0" xfId="3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9" fontId="0" fillId="0" borderId="0" xfId="2" applyFont="1"/>
    <xf numFmtId="0" fontId="3" fillId="0" borderId="0" xfId="0" applyFont="1" applyAlignment="1">
      <alignment vertical="center" wrapText="1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4" fillId="0" borderId="0" xfId="3"/>
    <xf numFmtId="10" fontId="0" fillId="0" borderId="0" xfId="2" applyNumberFormat="1" applyFont="1"/>
    <xf numFmtId="0" fontId="2" fillId="0" borderId="0" xfId="0" applyFont="1"/>
    <xf numFmtId="0" fontId="7" fillId="0" borderId="0" xfId="0" applyFont="1"/>
    <xf numFmtId="10" fontId="2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Font="1" applyAlignment="1">
      <alignment wrapText="1"/>
    </xf>
    <xf numFmtId="166" fontId="0" fillId="0" borderId="0" xfId="0" applyNumberFormat="1" applyFont="1"/>
    <xf numFmtId="0" fontId="4" fillId="0" borderId="0" xfId="3" applyFont="1"/>
    <xf numFmtId="0" fontId="8" fillId="0" borderId="1" xfId="0" applyFont="1" applyBorder="1" applyAlignment="1">
      <alignment horizontal="right"/>
    </xf>
    <xf numFmtId="0" fontId="0" fillId="0" borderId="2" xfId="0" applyBorder="1"/>
    <xf numFmtId="43" fontId="0" fillId="0" borderId="2" xfId="0" applyNumberFormat="1" applyBorder="1"/>
    <xf numFmtId="0" fontId="3" fillId="0" borderId="2" xfId="0" applyFont="1" applyBorder="1"/>
    <xf numFmtId="0" fontId="12" fillId="0" borderId="0" xfId="0" applyFont="1"/>
    <xf numFmtId="0" fontId="1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7" fontId="11" fillId="0" borderId="0" xfId="2" applyNumberFormat="1" applyFont="1"/>
    <xf numFmtId="2" fontId="11" fillId="0" borderId="0" xfId="0" applyNumberFormat="1" applyFont="1"/>
    <xf numFmtId="2" fontId="0" fillId="4" borderId="0" xfId="0" applyNumberFormat="1" applyFill="1"/>
    <xf numFmtId="2" fontId="13" fillId="0" borderId="0" xfId="0" applyNumberFormat="1" applyFont="1"/>
    <xf numFmtId="168" fontId="0" fillId="0" borderId="0" xfId="0" applyNumberFormat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165" fontId="0" fillId="0" borderId="11" xfId="0" applyNumberFormat="1" applyBorder="1"/>
    <xf numFmtId="165" fontId="0" fillId="0" borderId="12" xfId="0" applyNumberFormat="1" applyBorder="1"/>
    <xf numFmtId="2" fontId="0" fillId="0" borderId="11" xfId="0" applyNumberFormat="1" applyBorder="1" applyAlignment="1">
      <alignment horizontal="center"/>
    </xf>
    <xf numFmtId="2" fontId="0" fillId="0" borderId="12" xfId="0" applyNumberFormat="1" applyBorder="1"/>
    <xf numFmtId="2" fontId="0" fillId="7" borderId="0" xfId="0" applyNumberFormat="1" applyFill="1"/>
    <xf numFmtId="165" fontId="0" fillId="0" borderId="13" xfId="0" applyNumberFormat="1" applyBorder="1"/>
    <xf numFmtId="165" fontId="0" fillId="0" borderId="2" xfId="0" applyNumberFormat="1" applyBorder="1"/>
    <xf numFmtId="165" fontId="0" fillId="0" borderId="14" xfId="0" applyNumberFormat="1" applyBorder="1"/>
    <xf numFmtId="2" fontId="0" fillId="0" borderId="13" xfId="0" applyNumberFormat="1" applyBorder="1" applyAlignment="1">
      <alignment horizontal="center"/>
    </xf>
    <xf numFmtId="2" fontId="0" fillId="7" borderId="2" xfId="0" applyNumberFormat="1" applyFill="1" applyBorder="1"/>
    <xf numFmtId="2" fontId="0" fillId="0" borderId="2" xfId="0" applyNumberFormat="1" applyBorder="1"/>
    <xf numFmtId="2" fontId="0" fillId="0" borderId="14" xfId="0" applyNumberFormat="1" applyBorder="1"/>
    <xf numFmtId="165" fontId="0" fillId="7" borderId="2" xfId="0" applyNumberFormat="1" applyFill="1" applyBorder="1"/>
    <xf numFmtId="0" fontId="0" fillId="0" borderId="0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5" xfId="0" applyFont="1" applyBorder="1"/>
    <xf numFmtId="0" fontId="11" fillId="0" borderId="0" xfId="0" applyFont="1" applyBorder="1"/>
    <xf numFmtId="0" fontId="11" fillId="0" borderId="9" xfId="0" applyFont="1" applyBorder="1"/>
    <xf numFmtId="0" fontId="0" fillId="0" borderId="0" xfId="0" applyBorder="1" applyAlignment="1">
      <alignment horizontal="center" vertical="center" wrapText="1"/>
    </xf>
    <xf numFmtId="0" fontId="3" fillId="0" borderId="7" xfId="0" applyFont="1" applyBorder="1"/>
    <xf numFmtId="43" fontId="0" fillId="0" borderId="7" xfId="0" applyNumberFormat="1" applyBorder="1"/>
    <xf numFmtId="168" fontId="0" fillId="0" borderId="7" xfId="0" applyNumberFormat="1" applyBorder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1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0" fillId="2" borderId="0" xfId="0" applyFill="1"/>
    <xf numFmtId="43" fontId="0" fillId="7" borderId="0" xfId="1" applyFont="1" applyFill="1"/>
    <xf numFmtId="43" fontId="24" fillId="7" borderId="0" xfId="0" applyNumberFormat="1" applyFont="1" applyFill="1"/>
    <xf numFmtId="0" fontId="0" fillId="0" borderId="0" xfId="0" applyFill="1"/>
    <xf numFmtId="0" fontId="0" fillId="0" borderId="15" xfId="0" applyBorder="1"/>
    <xf numFmtId="0" fontId="0" fillId="0" borderId="8" xfId="0" applyBorder="1"/>
    <xf numFmtId="0" fontId="0" fillId="0" borderId="16" xfId="0" applyBorder="1"/>
    <xf numFmtId="0" fontId="0" fillId="0" borderId="10" xfId="0" applyBorder="1"/>
    <xf numFmtId="2" fontId="0" fillId="0" borderId="7" xfId="0" applyNumberFormat="1" applyBorder="1"/>
    <xf numFmtId="0" fontId="0" fillId="8" borderId="7" xfId="0" applyFill="1" applyBorder="1"/>
    <xf numFmtId="0" fontId="28" fillId="0" borderId="0" xfId="0" applyFont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2" fontId="0" fillId="0" borderId="9" xfId="0" applyNumberFormat="1" applyBorder="1"/>
    <xf numFmtId="2" fontId="0" fillId="0" borderId="10" xfId="0" applyNumberFormat="1" applyBorder="1"/>
    <xf numFmtId="0" fontId="0" fillId="0" borderId="12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12" xfId="0" applyFill="1" applyBorder="1"/>
    <xf numFmtId="0" fontId="3" fillId="0" borderId="2" xfId="0" applyFont="1" applyFill="1" applyBorder="1"/>
    <xf numFmtId="2" fontId="0" fillId="0" borderId="12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3" fillId="0" borderId="0" xfId="0" applyFont="1" applyFill="1"/>
    <xf numFmtId="0" fontId="3" fillId="0" borderId="3" xfId="0" applyFont="1" applyBorder="1"/>
    <xf numFmtId="0" fontId="3" fillId="0" borderId="4" xfId="0" applyFont="1" applyBorder="1"/>
    <xf numFmtId="0" fontId="3" fillId="0" borderId="8" xfId="0" applyFont="1" applyFill="1" applyBorder="1"/>
    <xf numFmtId="2" fontId="0" fillId="0" borderId="9" xfId="0" applyNumberFormat="1" applyFill="1" applyBorder="1"/>
    <xf numFmtId="2" fontId="0" fillId="0" borderId="10" xfId="0" applyNumberFormat="1" applyFill="1" applyBorder="1"/>
    <xf numFmtId="0" fontId="3" fillId="0" borderId="5" xfId="0" applyFont="1" applyBorder="1"/>
    <xf numFmtId="2" fontId="0" fillId="0" borderId="7" xfId="0" applyNumberFormat="1" applyFill="1" applyBorder="1"/>
    <xf numFmtId="0" fontId="0" fillId="0" borderId="15" xfId="0" applyFill="1" applyBorder="1"/>
    <xf numFmtId="2" fontId="0" fillId="0" borderId="16" xfId="0" applyNumberFormat="1" applyFill="1" applyBorder="1"/>
    <xf numFmtId="0" fontId="0" fillId="0" borderId="13" xfId="0" applyFill="1" applyBorder="1"/>
    <xf numFmtId="0" fontId="3" fillId="0" borderId="20" xfId="0" applyFont="1" applyFill="1" applyBorder="1"/>
    <xf numFmtId="2" fontId="0" fillId="0" borderId="5" xfId="0" applyNumberFormat="1" applyBorder="1"/>
    <xf numFmtId="2" fontId="0" fillId="0" borderId="6" xfId="0" applyNumberFormat="1" applyBorder="1"/>
    <xf numFmtId="2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2" fontId="3" fillId="0" borderId="12" xfId="0" applyNumberFormat="1" applyFont="1" applyBorder="1"/>
    <xf numFmtId="0" fontId="3" fillId="8" borderId="0" xfId="0" applyFont="1" applyFill="1" applyAlignment="1">
      <alignment horizont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3" fillId="0" borderId="3" xfId="0" applyFont="1" applyFill="1" applyBorder="1"/>
    <xf numFmtId="0" fontId="3" fillId="0" borderId="4" xfId="0" applyFon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0" fontId="3" fillId="0" borderId="3" xfId="0" applyFont="1" applyBorder="1" applyAlignment="1">
      <alignment vertical="center" wrapText="1"/>
    </xf>
    <xf numFmtId="0" fontId="0" fillId="0" borderId="23" xfId="0" applyBorder="1"/>
    <xf numFmtId="0" fontId="0" fillId="0" borderId="0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10" fontId="0" fillId="8" borderId="0" xfId="2" applyNumberFormat="1" applyFont="1" applyFill="1"/>
    <xf numFmtId="0" fontId="2" fillId="8" borderId="0" xfId="0" applyFont="1" applyFill="1"/>
    <xf numFmtId="0" fontId="0" fillId="8" borderId="0" xfId="0" applyFill="1" applyAlignment="1">
      <alignment wrapText="1"/>
    </xf>
    <xf numFmtId="166" fontId="0" fillId="0" borderId="7" xfId="0" applyNumberFormat="1" applyBorder="1"/>
    <xf numFmtId="0" fontId="5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168" fontId="0" fillId="8" borderId="0" xfId="0" applyNumberFormat="1" applyFill="1"/>
    <xf numFmtId="168" fontId="0" fillId="2" borderId="0" xfId="0" applyNumberFormat="1" applyFill="1"/>
    <xf numFmtId="0" fontId="3" fillId="8" borderId="0" xfId="0" applyFont="1" applyFill="1"/>
    <xf numFmtId="0" fontId="0" fillId="8" borderId="23" xfId="0" applyFill="1" applyBorder="1"/>
    <xf numFmtId="0" fontId="13" fillId="0" borderId="0" xfId="0" applyFont="1"/>
    <xf numFmtId="0" fontId="0" fillId="8" borderId="2" xfId="0" applyFill="1" applyBorder="1"/>
    <xf numFmtId="166" fontId="0" fillId="0" borderId="14" xfId="0" applyNumberFormat="1" applyBorder="1"/>
    <xf numFmtId="0" fontId="13" fillId="8" borderId="0" xfId="0" applyFont="1" applyFill="1"/>
    <xf numFmtId="2" fontId="0" fillId="8" borderId="0" xfId="0" applyNumberFormat="1" applyFill="1"/>
    <xf numFmtId="0" fontId="31" fillId="8" borderId="0" xfId="0" applyFont="1" applyFill="1"/>
    <xf numFmtId="9" fontId="0" fillId="0" borderId="7" xfId="2" applyFont="1" applyFill="1" applyBorder="1"/>
    <xf numFmtId="0" fontId="3" fillId="8" borderId="4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0" fillId="8" borderId="5" xfId="0" applyFill="1" applyBorder="1"/>
    <xf numFmtId="0" fontId="0" fillId="8" borderId="9" xfId="0" applyFill="1" applyBorder="1"/>
    <xf numFmtId="0" fontId="3" fillId="5" borderId="5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3" fillId="5" borderId="1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6" fontId="0" fillId="0" borderId="4" xfId="0" applyNumberFormat="1" applyBorder="1"/>
    <xf numFmtId="0" fontId="0" fillId="0" borderId="6" xfId="0" applyBorder="1" applyAlignment="1">
      <alignment horizontal="center" vertical="center" wrapText="1"/>
    </xf>
    <xf numFmtId="2" fontId="0" fillId="0" borderId="0" xfId="2" applyNumberFormat="1" applyFont="1"/>
    <xf numFmtId="0" fontId="0" fillId="0" borderId="0" xfId="2" applyNumberFormat="1" applyFont="1"/>
    <xf numFmtId="11" fontId="0" fillId="0" borderId="5" xfId="0" applyNumberFormat="1" applyBorder="1"/>
    <xf numFmtId="0" fontId="0" fillId="8" borderId="0" xfId="0" applyFill="1" applyBorder="1"/>
    <xf numFmtId="0" fontId="3" fillId="5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1" fontId="0" fillId="0" borderId="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16" fillId="0" borderId="0" xfId="0" applyFont="1" applyBorder="1"/>
    <xf numFmtId="0" fontId="3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5" borderId="5" xfId="0" applyFont="1" applyFill="1" applyBorder="1" applyAlignment="1">
      <alignment horizontal="center" vertical="center" wrapText="1"/>
    </xf>
    <xf numFmtId="43" fontId="0" fillId="8" borderId="0" xfId="0" applyNumberFormat="1" applyFill="1"/>
    <xf numFmtId="166" fontId="0" fillId="0" borderId="24" xfId="0" applyNumberFormat="1" applyBorder="1"/>
    <xf numFmtId="166" fontId="0" fillId="0" borderId="12" xfId="0" applyNumberFormat="1" applyBorder="1"/>
    <xf numFmtId="166" fontId="13" fillId="0" borderId="12" xfId="0" applyNumberFormat="1" applyFont="1" applyBorder="1"/>
    <xf numFmtId="9" fontId="0" fillId="0" borderId="0" xfId="0" applyNumberFormat="1"/>
    <xf numFmtId="0" fontId="35" fillId="0" borderId="0" xfId="0" applyFont="1"/>
    <xf numFmtId="0" fontId="36" fillId="0" borderId="0" xfId="0" applyFont="1"/>
    <xf numFmtId="167" fontId="0" fillId="0" borderId="0" xfId="2" applyNumberFormat="1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14" fillId="0" borderId="0" xfId="0" applyFont="1"/>
    <xf numFmtId="0" fontId="10" fillId="0" borderId="0" xfId="0" applyFont="1"/>
    <xf numFmtId="2" fontId="2" fillId="0" borderId="0" xfId="0" applyNumberFormat="1" applyFont="1"/>
    <xf numFmtId="0" fontId="0" fillId="0" borderId="13" xfId="0" applyBorder="1"/>
    <xf numFmtId="0" fontId="0" fillId="0" borderId="9" xfId="0" applyBorder="1"/>
    <xf numFmtId="0" fontId="38" fillId="0" borderId="26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6" fillId="8" borderId="0" xfId="0" applyFont="1" applyFill="1"/>
    <xf numFmtId="0" fontId="7" fillId="0" borderId="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43" fontId="0" fillId="0" borderId="12" xfId="0" applyNumberFormat="1" applyBorder="1"/>
    <xf numFmtId="0" fontId="0" fillId="0" borderId="2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2" fontId="0" fillId="0" borderId="27" xfId="0" applyNumberFormat="1" applyBorder="1"/>
    <xf numFmtId="43" fontId="0" fillId="0" borderId="7" xfId="0" applyNumberFormat="1" applyBorder="1" applyAlignment="1">
      <alignment horizontal="center" vertical="center"/>
    </xf>
    <xf numFmtId="43" fontId="0" fillId="0" borderId="3" xfId="0" applyNumberFormat="1" applyBorder="1"/>
    <xf numFmtId="0" fontId="3" fillId="0" borderId="12" xfId="0" applyFont="1" applyBorder="1"/>
    <xf numFmtId="2" fontId="3" fillId="0" borderId="13" xfId="0" applyNumberFormat="1" applyFont="1" applyBorder="1"/>
    <xf numFmtId="2" fontId="3" fillId="0" borderId="20" xfId="0" applyNumberFormat="1" applyFont="1" applyBorder="1"/>
    <xf numFmtId="43" fontId="0" fillId="0" borderId="5" xfId="0" applyNumberFormat="1" applyBorder="1"/>
    <xf numFmtId="43" fontId="3" fillId="0" borderId="0" xfId="0" applyNumberFormat="1" applyFont="1" applyBorder="1" applyAlignment="1">
      <alignment horizontal="center"/>
    </xf>
    <xf numFmtId="43" fontId="3" fillId="0" borderId="9" xfId="0" applyNumberFormat="1" applyFont="1" applyBorder="1" applyAlignment="1">
      <alignment horizontal="center"/>
    </xf>
    <xf numFmtId="1" fontId="57" fillId="0" borderId="0" xfId="0" applyNumberFormat="1" applyFont="1" applyAlignment="1">
      <alignment horizontal="right"/>
    </xf>
    <xf numFmtId="0" fontId="3" fillId="0" borderId="12" xfId="0" applyFont="1" applyFill="1" applyBorder="1"/>
    <xf numFmtId="0" fontId="3" fillId="0" borderId="16" xfId="0" applyFont="1" applyFill="1" applyBorder="1"/>
    <xf numFmtId="2" fontId="3" fillId="0" borderId="24" xfId="0" applyNumberFormat="1" applyFont="1" applyBorder="1"/>
    <xf numFmtId="2" fontId="0" fillId="0" borderId="16" xfId="0" applyNumberFormat="1" applyBorder="1"/>
    <xf numFmtId="2" fontId="3" fillId="0" borderId="2" xfId="0" applyNumberFormat="1" applyFont="1" applyBorder="1"/>
    <xf numFmtId="2" fontId="0" fillId="0" borderId="20" xfId="0" applyNumberFormat="1" applyBorder="1"/>
    <xf numFmtId="169" fontId="0" fillId="0" borderId="0" xfId="0" applyNumberFormat="1"/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166" fontId="24" fillId="0" borderId="0" xfId="0" applyNumberFormat="1" applyFont="1" applyAlignment="1">
      <alignment horizontal="center" vertical="center"/>
    </xf>
    <xf numFmtId="0" fontId="0" fillId="3" borderId="3" xfId="0" applyFill="1" applyBorder="1" applyAlignment="1">
      <alignment horizontal="left"/>
    </xf>
    <xf numFmtId="166" fontId="0" fillId="0" borderId="0" xfId="0" applyNumberFormat="1" applyBorder="1"/>
    <xf numFmtId="0" fontId="3" fillId="0" borderId="0" xfId="0" applyFont="1" applyFill="1" applyBorder="1"/>
    <xf numFmtId="166" fontId="0" fillId="0" borderId="0" xfId="0" applyNumberFormat="1" applyFill="1" applyBorder="1"/>
    <xf numFmtId="0" fontId="2" fillId="8" borderId="0" xfId="0" applyFont="1" applyFill="1" applyBorder="1"/>
    <xf numFmtId="0" fontId="2" fillId="0" borderId="0" xfId="0" applyFont="1" applyFill="1" applyBorder="1"/>
    <xf numFmtId="0" fontId="0" fillId="0" borderId="0" xfId="0" applyFont="1" applyAlignment="1">
      <alignment horizontal="center"/>
    </xf>
    <xf numFmtId="0" fontId="31" fillId="0" borderId="0" xfId="0" applyFont="1"/>
    <xf numFmtId="0" fontId="31" fillId="0" borderId="7" xfId="0" applyFont="1" applyBorder="1"/>
    <xf numFmtId="166" fontId="31" fillId="0" borderId="0" xfId="0" applyNumberFormat="1" applyFont="1"/>
    <xf numFmtId="168" fontId="31" fillId="0" borderId="0" xfId="0" applyNumberFormat="1" applyFont="1"/>
    <xf numFmtId="0" fontId="2" fillId="8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166" fontId="31" fillId="0" borderId="7" xfId="0" applyNumberFormat="1" applyFont="1" applyBorder="1"/>
    <xf numFmtId="0" fontId="2" fillId="0" borderId="0" xfId="0" applyFont="1" applyFill="1"/>
    <xf numFmtId="0" fontId="14" fillId="0" borderId="0" xfId="0" applyFont="1" applyFill="1"/>
    <xf numFmtId="0" fontId="10" fillId="0" borderId="0" xfId="0" applyFont="1" applyFill="1"/>
    <xf numFmtId="168" fontId="0" fillId="2" borderId="7" xfId="0" applyNumberFormat="1" applyFill="1" applyBorder="1"/>
    <xf numFmtId="168" fontId="0" fillId="0" borderId="0" xfId="0" applyNumberFormat="1" applyFill="1"/>
    <xf numFmtId="168" fontId="0" fillId="0" borderId="7" xfId="0" applyNumberFormat="1" applyFill="1" applyBorder="1"/>
    <xf numFmtId="168" fontId="13" fillId="0" borderId="0" xfId="0" applyNumberFormat="1" applyFont="1"/>
    <xf numFmtId="168" fontId="31" fillId="8" borderId="0" xfId="0" applyNumberFormat="1" applyFont="1" applyFill="1"/>
    <xf numFmtId="166" fontId="0" fillId="0" borderId="0" xfId="2" applyNumberFormat="1" applyFont="1"/>
    <xf numFmtId="0" fontId="3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2" applyNumberFormat="1" applyFont="1" applyFill="1"/>
    <xf numFmtId="168" fontId="0" fillId="0" borderId="2" xfId="0" applyNumberFormat="1" applyBorder="1"/>
    <xf numFmtId="166" fontId="0" fillId="8" borderId="0" xfId="0" applyNumberFormat="1" applyFill="1" applyBorder="1"/>
    <xf numFmtId="43" fontId="0" fillId="0" borderId="0" xfId="0" applyNumberFormat="1" applyFill="1" applyBorder="1"/>
    <xf numFmtId="9" fontId="0" fillId="0" borderId="0" xfId="2" applyNumberFormat="1" applyFont="1" applyFill="1" applyBorder="1"/>
    <xf numFmtId="0" fontId="13" fillId="0" borderId="0" xfId="0" applyFont="1" applyFill="1" applyBorder="1"/>
    <xf numFmtId="2" fontId="13" fillId="0" borderId="0" xfId="0" applyNumberFormat="1" applyFont="1" applyFill="1" applyBorder="1"/>
    <xf numFmtId="9" fontId="0" fillId="0" borderId="0" xfId="2" applyFont="1" applyFill="1" applyBorder="1"/>
    <xf numFmtId="9" fontId="13" fillId="0" borderId="0" xfId="2" applyNumberFormat="1" applyFont="1" applyFill="1" applyBorder="1"/>
    <xf numFmtId="9" fontId="13" fillId="0" borderId="0" xfId="2" applyFont="1" applyFill="1" applyBorder="1"/>
    <xf numFmtId="0" fontId="0" fillId="0" borderId="0" xfId="0" applyFill="1" applyBorder="1" applyAlignment="1">
      <alignment wrapText="1"/>
    </xf>
    <xf numFmtId="10" fontId="0" fillId="0" borderId="0" xfId="2" applyNumberFormat="1" applyFont="1" applyFill="1" applyBorder="1"/>
    <xf numFmtId="10" fontId="0" fillId="0" borderId="0" xfId="0" applyNumberFormat="1" applyFill="1" applyBorder="1"/>
    <xf numFmtId="0" fontId="0" fillId="0" borderId="0" xfId="0" applyFill="1" applyBorder="1" applyAlignment="1">
      <alignment vertical="center" wrapText="1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0" fillId="0" borderId="28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7" xfId="0" applyBorder="1" applyProtection="1"/>
    <xf numFmtId="0" fontId="0" fillId="0" borderId="0" xfId="0" applyProtection="1"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30" xfId="0" applyBorder="1"/>
    <xf numFmtId="0" fontId="0" fillId="0" borderId="31" xfId="0" applyBorder="1"/>
    <xf numFmtId="2" fontId="0" fillId="0" borderId="2" xfId="0" applyNumberFormat="1" applyFill="1" applyBorder="1"/>
    <xf numFmtId="2" fontId="0" fillId="0" borderId="20" xfId="0" applyNumberFormat="1" applyFill="1" applyBorder="1"/>
    <xf numFmtId="0" fontId="37" fillId="0" borderId="25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textRotation="90" wrapText="1"/>
    </xf>
    <xf numFmtId="0" fontId="38" fillId="0" borderId="17" xfId="0" applyFont="1" applyBorder="1" applyAlignment="1">
      <alignment horizontal="center" vertical="center" textRotation="90" wrapText="1"/>
    </xf>
    <xf numFmtId="0" fontId="38" fillId="0" borderId="18" xfId="0" applyFont="1" applyBorder="1" applyAlignment="1">
      <alignment horizontal="center" vertical="center" textRotation="90" wrapText="1"/>
    </xf>
    <xf numFmtId="0" fontId="12" fillId="0" borderId="25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27" fillId="5" borderId="0" xfId="0" applyFont="1" applyFill="1" applyAlignment="1">
      <alignment horizontal="left" vertical="center"/>
    </xf>
    <xf numFmtId="0" fontId="27" fillId="6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9" fillId="8" borderId="0" xfId="0" applyFont="1" applyFill="1" applyAlignment="1">
      <alignment horizontal="center"/>
    </xf>
    <xf numFmtId="0" fontId="30" fillId="10" borderId="0" xfId="0" applyFont="1" applyFill="1" applyAlignment="1">
      <alignment horizontal="center" vertical="center" wrapText="1"/>
    </xf>
    <xf numFmtId="0" fontId="30" fillId="11" borderId="2" xfId="0" applyFont="1" applyFill="1" applyBorder="1" applyAlignment="1">
      <alignment horizontal="center" vertical="center" wrapText="1"/>
    </xf>
    <xf numFmtId="0" fontId="30" fillId="12" borderId="2" xfId="0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8" fontId="0" fillId="0" borderId="23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9" fillId="7" borderId="0" xfId="0" applyFont="1" applyFill="1" applyAlignment="1">
      <alignment horizontal="left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vertical="top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43" fontId="3" fillId="0" borderId="4" xfId="0" applyNumberFormat="1" applyFont="1" applyBorder="1" applyAlignment="1">
      <alignment horizontal="center"/>
    </xf>
    <xf numFmtId="43" fontId="3" fillId="0" borderId="8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5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Fig1_future_Kaya!$J$3</c:f>
              <c:strCache>
                <c:ptCount val="1"/>
                <c:pt idx="0">
                  <c:v>Business-as-usual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Fig1_future_Kaya!$J$4:$J$64</c:f>
              <c:numCache>
                <c:formatCode>_(* #,##0.00_);_(* \(#,##0.00\);_(* "-"??_);_(@_)</c:formatCode>
                <c:ptCount val="61"/>
                <c:pt idx="0">
                  <c:v>232884.90035010839</c:v>
                </c:pt>
                <c:pt idx="1">
                  <c:v>228843.30008095471</c:v>
                </c:pt>
                <c:pt idx="2">
                  <c:v>240647.1997384947</c:v>
                </c:pt>
                <c:pt idx="3">
                  <c:v>249952.6001899917</c:v>
                </c:pt>
                <c:pt idx="4">
                  <c:v>274769.30033116811</c:v>
                </c:pt>
                <c:pt idx="5">
                  <c:v>293095.20039783453</c:v>
                </c:pt>
                <c:pt idx="6">
                  <c:v>317053.5999806</c:v>
                </c:pt>
                <c:pt idx="7">
                  <c:v>341799.10121963196</c:v>
                </c:pt>
                <c:pt idx="8">
                  <c:v>349018.27430563699</c:v>
                </c:pt>
                <c:pt idx="9">
                  <c:v>372383.61824587302</c:v>
                </c:pt>
                <c:pt idx="10">
                  <c:v>399903.21100000001</c:v>
                </c:pt>
                <c:pt idx="11">
                  <c:v>384334.83500009502</c:v>
                </c:pt>
                <c:pt idx="12">
                  <c:v>393788.67300000001</c:v>
                </c:pt>
                <c:pt idx="13">
                  <c:v>410151.19900000002</c:v>
                </c:pt>
                <c:pt idx="14">
                  <c:v>462087.94</c:v>
                </c:pt>
                <c:pt idx="15">
                  <c:v>490665.603</c:v>
                </c:pt>
                <c:pt idx="16">
                  <c:v>520142.60399999999</c:v>
                </c:pt>
                <c:pt idx="17">
                  <c:v>555537.946</c:v>
                </c:pt>
                <c:pt idx="18">
                  <c:v>561363.87400000007</c:v>
                </c:pt>
                <c:pt idx="19">
                  <c:v>579816.34365439601</c:v>
                </c:pt>
                <c:pt idx="20">
                  <c:v>625062.68707797001</c:v>
                </c:pt>
                <c:pt idx="21">
                  <c:v>655216.83005902299</c:v>
                </c:pt>
                <c:pt idx="22">
                  <c:v>672489.35224884306</c:v>
                </c:pt>
                <c:pt idx="23">
                  <c:v>700590.30781354802</c:v>
                </c:pt>
                <c:pt idx="24">
                  <c:v>740956.85946141905</c:v>
                </c:pt>
                <c:pt idx="25">
                  <c:v>785595.67631234508</c:v>
                </c:pt>
                <c:pt idx="26">
                  <c:v>836909.76509403402</c:v>
                </c:pt>
                <c:pt idx="27">
                  <c:v>905814.44717206201</c:v>
                </c:pt>
                <c:pt idx="28">
                  <c:v>954497.96583072376</c:v>
                </c:pt>
                <c:pt idx="29">
                  <c:v>995212.48929121357</c:v>
                </c:pt>
                <c:pt idx="30">
                  <c:v>449630.976503552</c:v>
                </c:pt>
                <c:pt idx="31">
                  <c:v>786165.89525788592</c:v>
                </c:pt>
                <c:pt idx="32">
                  <c:v>871240.57189419679</c:v>
                </c:pt>
                <c:pt idx="33">
                  <c:v>956697.63880917069</c:v>
                </c:pt>
                <c:pt idx="34">
                  <c:v>1042552.391613954</c:v>
                </c:pt>
                <c:pt idx="35">
                  <c:v>1084254.4872785122</c:v>
                </c:pt>
                <c:pt idx="36">
                  <c:v>1127624.6667696529</c:v>
                </c:pt>
                <c:pt idx="37">
                  <c:v>1172729.6534404391</c:v>
                </c:pt>
                <c:pt idx="38">
                  <c:v>1219638.8395780567</c:v>
                </c:pt>
                <c:pt idx="39">
                  <c:v>1268424.393161179</c:v>
                </c:pt>
                <c:pt idx="40">
                  <c:v>1319161.3688876261</c:v>
                </c:pt>
                <c:pt idx="41">
                  <c:v>1371927.8236431314</c:v>
                </c:pt>
                <c:pt idx="42">
                  <c:v>1426804.9365888569</c:v>
                </c:pt>
                <c:pt idx="43">
                  <c:v>1483877.134052411</c:v>
                </c:pt>
                <c:pt idx="44">
                  <c:v>1543232.2194145077</c:v>
                </c:pt>
                <c:pt idx="45">
                  <c:v>1604961.5081910877</c:v>
                </c:pt>
                <c:pt idx="46">
                  <c:v>1669159.9685187314</c:v>
                </c:pt>
                <c:pt idx="47">
                  <c:v>1735926.367259481</c:v>
                </c:pt>
                <c:pt idx="48">
                  <c:v>1805363.4219498599</c:v>
                </c:pt>
                <c:pt idx="49">
                  <c:v>1877577.9588278546</c:v>
                </c:pt>
                <c:pt idx="50">
                  <c:v>1952681.0771809691</c:v>
                </c:pt>
                <c:pt idx="51">
                  <c:v>2030788.3202682075</c:v>
                </c:pt>
                <c:pt idx="52">
                  <c:v>2112019.8530789362</c:v>
                </c:pt>
                <c:pt idx="53">
                  <c:v>2196500.6472020936</c:v>
                </c:pt>
                <c:pt idx="54">
                  <c:v>2284360.6730901776</c:v>
                </c:pt>
                <c:pt idx="55">
                  <c:v>2375735.1000137841</c:v>
                </c:pt>
                <c:pt idx="56">
                  <c:v>2470764.504014336</c:v>
                </c:pt>
                <c:pt idx="57">
                  <c:v>2569595.0841749096</c:v>
                </c:pt>
                <c:pt idx="58">
                  <c:v>2672378.887541906</c:v>
                </c:pt>
                <c:pt idx="59">
                  <c:v>2779274.0430435822</c:v>
                </c:pt>
                <c:pt idx="60">
                  <c:v>2890445.0047653257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EB4A-AF40-A9451C92BB39}"/>
            </c:ext>
          </c:extLst>
        </c:ser>
        <c:ser>
          <c:idx val="1"/>
          <c:order val="1"/>
          <c:tx>
            <c:strRef>
              <c:f>Fig1_future_Kaya!$K$3</c:f>
              <c:strCache>
                <c:ptCount val="1"/>
                <c:pt idx="0">
                  <c:v>Industry Projections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Fig1_future_Kaya!$K$4:$K$64</c:f>
              <c:numCache>
                <c:formatCode>_(* #,##0.00_);_(* \(#,##0.00\);_(* "-"??_);_(@_)</c:formatCode>
                <c:ptCount val="61"/>
                <c:pt idx="0">
                  <c:v>232884.90035010839</c:v>
                </c:pt>
                <c:pt idx="1">
                  <c:v>228843.30008095471</c:v>
                </c:pt>
                <c:pt idx="2">
                  <c:v>240647.1997384947</c:v>
                </c:pt>
                <c:pt idx="3">
                  <c:v>249952.6001899917</c:v>
                </c:pt>
                <c:pt idx="4">
                  <c:v>274769.30033116811</c:v>
                </c:pt>
                <c:pt idx="5">
                  <c:v>293095.20039783453</c:v>
                </c:pt>
                <c:pt idx="6">
                  <c:v>317053.5999806</c:v>
                </c:pt>
                <c:pt idx="7">
                  <c:v>341799.10121963196</c:v>
                </c:pt>
                <c:pt idx="8">
                  <c:v>349018.27430563699</c:v>
                </c:pt>
                <c:pt idx="9">
                  <c:v>372383.61824587302</c:v>
                </c:pt>
                <c:pt idx="10">
                  <c:v>399903.21100000001</c:v>
                </c:pt>
                <c:pt idx="11">
                  <c:v>384334.83500009502</c:v>
                </c:pt>
                <c:pt idx="12">
                  <c:v>393788.67300000001</c:v>
                </c:pt>
                <c:pt idx="13">
                  <c:v>410151.19900000002</c:v>
                </c:pt>
                <c:pt idx="14">
                  <c:v>462087.94</c:v>
                </c:pt>
                <c:pt idx="15">
                  <c:v>490665.603</c:v>
                </c:pt>
                <c:pt idx="16">
                  <c:v>520142.60399999999</c:v>
                </c:pt>
                <c:pt idx="17">
                  <c:v>555537.946</c:v>
                </c:pt>
                <c:pt idx="18">
                  <c:v>561363.87400000007</c:v>
                </c:pt>
                <c:pt idx="19">
                  <c:v>579816.34365439601</c:v>
                </c:pt>
                <c:pt idx="20">
                  <c:v>625062.68707797001</c:v>
                </c:pt>
                <c:pt idx="21">
                  <c:v>655216.83005902299</c:v>
                </c:pt>
                <c:pt idx="22">
                  <c:v>672489.35224884306</c:v>
                </c:pt>
                <c:pt idx="23">
                  <c:v>700590.30781354802</c:v>
                </c:pt>
                <c:pt idx="24">
                  <c:v>740956.85946141905</c:v>
                </c:pt>
                <c:pt idx="25">
                  <c:v>785595.67631234508</c:v>
                </c:pt>
                <c:pt idx="26">
                  <c:v>836909.76509403402</c:v>
                </c:pt>
                <c:pt idx="27">
                  <c:v>905814.44717206201</c:v>
                </c:pt>
                <c:pt idx="28">
                  <c:v>954497.96583072376</c:v>
                </c:pt>
                <c:pt idx="29">
                  <c:v>995212.48929121357</c:v>
                </c:pt>
                <c:pt idx="30">
                  <c:v>449630.976503552</c:v>
                </c:pt>
                <c:pt idx="31">
                  <c:v>786165.89525788592</c:v>
                </c:pt>
                <c:pt idx="32">
                  <c:v>867894.65695589618</c:v>
                </c:pt>
                <c:pt idx="33">
                  <c:v>949784.97854664188</c:v>
                </c:pt>
                <c:pt idx="34">
                  <c:v>1031841.0605873335</c:v>
                </c:pt>
                <c:pt idx="35">
                  <c:v>1060990.0783529128</c:v>
                </c:pt>
                <c:pt idx="36">
                  <c:v>1090964.2839359157</c:v>
                </c:pt>
                <c:pt idx="37">
                  <c:v>1121787.0843069055</c:v>
                </c:pt>
                <c:pt idx="38">
                  <c:v>1153482.5516282122</c:v>
                </c:pt>
                <c:pt idx="39">
                  <c:v>1186075.4421906236</c:v>
                </c:pt>
                <c:pt idx="40">
                  <c:v>1219591.2158900397</c:v>
                </c:pt>
                <c:pt idx="41">
                  <c:v>1254056.0562595122</c:v>
                </c:pt>
                <c:pt idx="42">
                  <c:v>1289496.8910725242</c:v>
                </c:pt>
                <c:pt idx="43">
                  <c:v>1325941.4135338324</c:v>
                </c:pt>
                <c:pt idx="44">
                  <c:v>1363418.1040746439</c:v>
                </c:pt>
                <c:pt idx="45">
                  <c:v>1401956.2527693955</c:v>
                </c:pt>
                <c:pt idx="46">
                  <c:v>1441585.9823918859</c:v>
                </c:pt>
                <c:pt idx="47">
                  <c:v>1482338.2721290258</c:v>
                </c:pt>
                <c:pt idx="48">
                  <c:v>1524244.9819709845</c:v>
                </c:pt>
                <c:pt idx="49">
                  <c:v>1567338.8777970658</c:v>
                </c:pt>
                <c:pt idx="50">
                  <c:v>1611653.6571771752</c:v>
                </c:pt>
                <c:pt idx="51">
                  <c:v>1657223.9759093316</c:v>
                </c:pt>
                <c:pt idx="52">
                  <c:v>1704085.4753142451</c:v>
                </c:pt>
                <c:pt idx="53">
                  <c:v>1752274.8103085933</c:v>
                </c:pt>
                <c:pt idx="54">
                  <c:v>1801829.6782792439</c:v>
                </c:pt>
                <c:pt idx="55">
                  <c:v>1852788.8487813072</c:v>
                </c:pt>
                <c:pt idx="56">
                  <c:v>1905192.1940835619</c:v>
                </c:pt>
                <c:pt idx="57">
                  <c:v>1959080.7205854594</c:v>
                </c:pt>
                <c:pt idx="58">
                  <c:v>2014496.6011306217</c:v>
                </c:pt>
                <c:pt idx="59">
                  <c:v>2071483.2082424473</c:v>
                </c:pt>
                <c:pt idx="60">
                  <c:v>2130085.14830817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E-EB4A-AF40-A9451C92BB39}"/>
            </c:ext>
          </c:extLst>
        </c:ser>
        <c:ser>
          <c:idx val="2"/>
          <c:order val="2"/>
          <c:tx>
            <c:strRef>
              <c:f>Fig1_future_Kaya!$L$3</c:f>
              <c:strCache>
                <c:ptCount val="1"/>
                <c:pt idx="0">
                  <c:v>Ambitious Projections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Fig1_future_Kaya!$L$4:$L$64</c:f>
              <c:numCache>
                <c:formatCode>_(* #,##0.00_);_(* \(#,##0.00\);_(* "-"??_);_(@_)</c:formatCode>
                <c:ptCount val="61"/>
                <c:pt idx="0">
                  <c:v>232884.90035010839</c:v>
                </c:pt>
                <c:pt idx="1">
                  <c:v>228843.30008095471</c:v>
                </c:pt>
                <c:pt idx="2">
                  <c:v>240647.1997384947</c:v>
                </c:pt>
                <c:pt idx="3">
                  <c:v>249952.6001899917</c:v>
                </c:pt>
                <c:pt idx="4">
                  <c:v>274769.30033116811</c:v>
                </c:pt>
                <c:pt idx="5">
                  <c:v>293095.20039783453</c:v>
                </c:pt>
                <c:pt idx="6">
                  <c:v>317053.5999806</c:v>
                </c:pt>
                <c:pt idx="7">
                  <c:v>341799.10121963196</c:v>
                </c:pt>
                <c:pt idx="8">
                  <c:v>349018.27430563699</c:v>
                </c:pt>
                <c:pt idx="9">
                  <c:v>372383.61824587302</c:v>
                </c:pt>
                <c:pt idx="10">
                  <c:v>399903.21100000001</c:v>
                </c:pt>
                <c:pt idx="11">
                  <c:v>384334.83500009502</c:v>
                </c:pt>
                <c:pt idx="12">
                  <c:v>393788.67300000001</c:v>
                </c:pt>
                <c:pt idx="13">
                  <c:v>410151.19900000002</c:v>
                </c:pt>
                <c:pt idx="14">
                  <c:v>462087.94</c:v>
                </c:pt>
                <c:pt idx="15">
                  <c:v>490665.603</c:v>
                </c:pt>
                <c:pt idx="16">
                  <c:v>520142.60399999999</c:v>
                </c:pt>
                <c:pt idx="17">
                  <c:v>555537.946</c:v>
                </c:pt>
                <c:pt idx="18">
                  <c:v>561363.87400000007</c:v>
                </c:pt>
                <c:pt idx="19">
                  <c:v>579816.34365439601</c:v>
                </c:pt>
                <c:pt idx="20">
                  <c:v>625062.68707797001</c:v>
                </c:pt>
                <c:pt idx="21">
                  <c:v>655216.83005902299</c:v>
                </c:pt>
                <c:pt idx="22">
                  <c:v>672489.35224884306</c:v>
                </c:pt>
                <c:pt idx="23">
                  <c:v>700590.30781354802</c:v>
                </c:pt>
                <c:pt idx="24">
                  <c:v>740956.85946141905</c:v>
                </c:pt>
                <c:pt idx="25">
                  <c:v>785595.67631234508</c:v>
                </c:pt>
                <c:pt idx="26">
                  <c:v>836909.76509403402</c:v>
                </c:pt>
                <c:pt idx="27">
                  <c:v>905814.44717206201</c:v>
                </c:pt>
                <c:pt idx="28">
                  <c:v>954497.96583072376</c:v>
                </c:pt>
                <c:pt idx="29">
                  <c:v>995212.48929121357</c:v>
                </c:pt>
                <c:pt idx="30">
                  <c:v>449630.976503552</c:v>
                </c:pt>
                <c:pt idx="31">
                  <c:v>786165.89525788592</c:v>
                </c:pt>
                <c:pt idx="32">
                  <c:v>797492.51914575731</c:v>
                </c:pt>
                <c:pt idx="33">
                  <c:v>808819.14303362882</c:v>
                </c:pt>
                <c:pt idx="34">
                  <c:v>820145.76692150044</c:v>
                </c:pt>
                <c:pt idx="35">
                  <c:v>831472.39080937207</c:v>
                </c:pt>
                <c:pt idx="36">
                  <c:v>842799.01469724346</c:v>
                </c:pt>
                <c:pt idx="37">
                  <c:v>854125.63858511508</c:v>
                </c:pt>
                <c:pt idx="38">
                  <c:v>865452.26247298671</c:v>
                </c:pt>
                <c:pt idx="39">
                  <c:v>876778.88636085822</c:v>
                </c:pt>
                <c:pt idx="40">
                  <c:v>888105.51024872961</c:v>
                </c:pt>
                <c:pt idx="41">
                  <c:v>899432.13413660135</c:v>
                </c:pt>
                <c:pt idx="42">
                  <c:v>910758.75802447274</c:v>
                </c:pt>
                <c:pt idx="43">
                  <c:v>922085.38191234437</c:v>
                </c:pt>
                <c:pt idx="44">
                  <c:v>933412.00580021576</c:v>
                </c:pt>
                <c:pt idx="45">
                  <c:v>944738.62968808739</c:v>
                </c:pt>
                <c:pt idx="46">
                  <c:v>956065.25357595901</c:v>
                </c:pt>
                <c:pt idx="47">
                  <c:v>967391.87746383052</c:v>
                </c:pt>
                <c:pt idx="48">
                  <c:v>978718.50135170191</c:v>
                </c:pt>
                <c:pt idx="49">
                  <c:v>990045.12523957365</c:v>
                </c:pt>
                <c:pt idx="50">
                  <c:v>1001371.749127445</c:v>
                </c:pt>
                <c:pt idx="51">
                  <c:v>1012698.3730153166</c:v>
                </c:pt>
                <c:pt idx="52">
                  <c:v>1024024.9969031879</c:v>
                </c:pt>
                <c:pt idx="53">
                  <c:v>1035351.6207910595</c:v>
                </c:pt>
                <c:pt idx="54">
                  <c:v>1046678.2446789307</c:v>
                </c:pt>
                <c:pt idx="55">
                  <c:v>1058004.8685668022</c:v>
                </c:pt>
                <c:pt idx="56">
                  <c:v>1069331.4924546739</c:v>
                </c:pt>
                <c:pt idx="57">
                  <c:v>1080658.1163425453</c:v>
                </c:pt>
                <c:pt idx="58">
                  <c:v>1091984.7402304166</c:v>
                </c:pt>
                <c:pt idx="59">
                  <c:v>1103311.3641182883</c:v>
                </c:pt>
                <c:pt idx="60">
                  <c:v>1114637.9880061594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E-EB4A-AF40-A9451C92BB39}"/>
            </c:ext>
          </c:extLst>
        </c:ser>
        <c:ser>
          <c:idx val="3"/>
          <c:order val="3"/>
          <c:tx>
            <c:v>historical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Fig1_future_Kaya!$J$4:$J$35</c:f>
              <c:numCache>
                <c:formatCode>_(* #,##0.00_);_(* \(#,##0.00\);_(* "-"??_);_(@_)</c:formatCode>
                <c:ptCount val="32"/>
                <c:pt idx="0">
                  <c:v>232884.90035010839</c:v>
                </c:pt>
                <c:pt idx="1">
                  <c:v>228843.30008095471</c:v>
                </c:pt>
                <c:pt idx="2">
                  <c:v>240647.1997384947</c:v>
                </c:pt>
                <c:pt idx="3">
                  <c:v>249952.6001899917</c:v>
                </c:pt>
                <c:pt idx="4">
                  <c:v>274769.30033116811</c:v>
                </c:pt>
                <c:pt idx="5">
                  <c:v>293095.20039783453</c:v>
                </c:pt>
                <c:pt idx="6">
                  <c:v>317053.5999806</c:v>
                </c:pt>
                <c:pt idx="7">
                  <c:v>341799.10121963196</c:v>
                </c:pt>
                <c:pt idx="8">
                  <c:v>349018.27430563699</c:v>
                </c:pt>
                <c:pt idx="9">
                  <c:v>372383.61824587302</c:v>
                </c:pt>
                <c:pt idx="10">
                  <c:v>399903.21100000001</c:v>
                </c:pt>
                <c:pt idx="11">
                  <c:v>384334.83500009502</c:v>
                </c:pt>
                <c:pt idx="12">
                  <c:v>393788.67300000001</c:v>
                </c:pt>
                <c:pt idx="13">
                  <c:v>410151.19900000002</c:v>
                </c:pt>
                <c:pt idx="14">
                  <c:v>462087.94</c:v>
                </c:pt>
                <c:pt idx="15">
                  <c:v>490665.603</c:v>
                </c:pt>
                <c:pt idx="16">
                  <c:v>520142.60399999999</c:v>
                </c:pt>
                <c:pt idx="17">
                  <c:v>555537.946</c:v>
                </c:pt>
                <c:pt idx="18">
                  <c:v>561363.87400000007</c:v>
                </c:pt>
                <c:pt idx="19">
                  <c:v>579816.34365439601</c:v>
                </c:pt>
                <c:pt idx="20">
                  <c:v>625062.68707797001</c:v>
                </c:pt>
                <c:pt idx="21">
                  <c:v>655216.83005902299</c:v>
                </c:pt>
                <c:pt idx="22">
                  <c:v>672489.35224884306</c:v>
                </c:pt>
                <c:pt idx="23">
                  <c:v>700590.30781354802</c:v>
                </c:pt>
                <c:pt idx="24">
                  <c:v>740956.85946141905</c:v>
                </c:pt>
                <c:pt idx="25">
                  <c:v>785595.67631234508</c:v>
                </c:pt>
                <c:pt idx="26">
                  <c:v>836909.76509403402</c:v>
                </c:pt>
                <c:pt idx="27">
                  <c:v>905814.44717206201</c:v>
                </c:pt>
                <c:pt idx="28">
                  <c:v>954497.96583072376</c:v>
                </c:pt>
                <c:pt idx="29">
                  <c:v>995212.48929121357</c:v>
                </c:pt>
                <c:pt idx="30">
                  <c:v>449630.976503552</c:v>
                </c:pt>
                <c:pt idx="31">
                  <c:v>786165.89525788592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E-EB4A-AF40-A9451C92B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877136"/>
        <c:axId val="687934176"/>
      </c:lineChart>
      <c:catAx>
        <c:axId val="5298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34176"/>
        <c:crosses val="autoZero"/>
        <c:auto val="1"/>
        <c:lblAlgn val="ctr"/>
        <c:lblOffset val="100"/>
        <c:noMultiLvlLbl val="0"/>
      </c:catAx>
      <c:valAx>
        <c:axId val="687934176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'Fig1_non-CO2_emissions'!$A$11:$A$71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'Fig1_non-CO2_emissions'!$O$11:$O$71</c:f>
              <c:numCache>
                <c:formatCode>_(* #,##0.0_);_(* \(#,##0.0\);_(* "-"??_);_(@_)</c:formatCode>
                <c:ptCount val="61"/>
                <c:pt idx="0">
                  <c:v>2.1707911200000001</c:v>
                </c:pt>
                <c:pt idx="1">
                  <c:v>2.1024830240000001</c:v>
                </c:pt>
                <c:pt idx="2">
                  <c:v>2.1166633839999998</c:v>
                </c:pt>
                <c:pt idx="3">
                  <c:v>2.1345270159999998</c:v>
                </c:pt>
                <c:pt idx="4">
                  <c:v>2.2268306680000007</c:v>
                </c:pt>
                <c:pt idx="5">
                  <c:v>2.2830621039999999</c:v>
                </c:pt>
                <c:pt idx="6">
                  <c:v>2.3884851280000006</c:v>
                </c:pt>
                <c:pt idx="7">
                  <c:v>2.4649139320000004</c:v>
                </c:pt>
                <c:pt idx="8">
                  <c:v>2.512036368</c:v>
                </c:pt>
                <c:pt idx="9">
                  <c:v>2.5965867280000001</c:v>
                </c:pt>
                <c:pt idx="10">
                  <c:v>2.6990871880000005</c:v>
                </c:pt>
                <c:pt idx="11">
                  <c:v>2.6375866559999999</c:v>
                </c:pt>
                <c:pt idx="12">
                  <c:v>2.661641688</c:v>
                </c:pt>
                <c:pt idx="13">
                  <c:v>2.6450131840000002</c:v>
                </c:pt>
                <c:pt idx="14">
                  <c:v>2.8157235440000004</c:v>
                </c:pt>
                <c:pt idx="15">
                  <c:v>2.9282112319999998</c:v>
                </c:pt>
                <c:pt idx="16">
                  <c:v>2.9635027319999998</c:v>
                </c:pt>
                <c:pt idx="17">
                  <c:v>3.0390988439999997</c:v>
                </c:pt>
                <c:pt idx="18">
                  <c:v>3.0102704360000003</c:v>
                </c:pt>
                <c:pt idx="19">
                  <c:v>2.8483658360000002</c:v>
                </c:pt>
                <c:pt idx="20">
                  <c:v>3.0015623360000001</c:v>
                </c:pt>
                <c:pt idx="21">
                  <c:v>3.0847666640000004</c:v>
                </c:pt>
                <c:pt idx="22">
                  <c:v>3.1223751120000003</c:v>
                </c:pt>
                <c:pt idx="23">
                  <c:v>3.1997431199999999</c:v>
                </c:pt>
                <c:pt idx="24">
                  <c:v>3.3053190640000003</c:v>
                </c:pt>
                <c:pt idx="25">
                  <c:v>3.4877204280000003</c:v>
                </c:pt>
                <c:pt idx="26">
                  <c:v>3.6526199760000004</c:v>
                </c:pt>
                <c:pt idx="27">
                  <c:v>3.8824854920000003</c:v>
                </c:pt>
                <c:pt idx="28">
                  <c:v>4.030460884</c:v>
                </c:pt>
                <c:pt idx="29">
                  <c:v>4.1079999999999997</c:v>
                </c:pt>
                <c:pt idx="30">
                  <c:v>2.4239999999999999</c:v>
                </c:pt>
                <c:pt idx="31">
                  <c:v>2.9051749429714047</c:v>
                </c:pt>
                <c:pt idx="32">
                  <c:v>3.187361892819645</c:v>
                </c:pt>
                <c:pt idx="33">
                  <c:v>3.464999540090957</c:v>
                </c:pt>
                <c:pt idx="34">
                  <c:v>3.7381916467777589</c:v>
                </c:pt>
                <c:pt idx="35">
                  <c:v>3.8488421195223812</c:v>
                </c:pt>
                <c:pt idx="36">
                  <c:v>3.9627678462602445</c:v>
                </c:pt>
                <c:pt idx="37">
                  <c:v>4.0800657745095483</c:v>
                </c:pt>
                <c:pt idx="38">
                  <c:v>4.2008357214350314</c:v>
                </c:pt>
                <c:pt idx="39">
                  <c:v>4.3251804587895082</c:v>
                </c:pt>
                <c:pt idx="40">
                  <c:v>4.4532058003696768</c:v>
                </c:pt>
                <c:pt idx="41">
                  <c:v>4.5850206920606205</c:v>
                </c:pt>
                <c:pt idx="42">
                  <c:v>4.7207373045456151</c:v>
                </c:pt>
                <c:pt idx="43">
                  <c:v>4.8604711287601639</c:v>
                </c:pt>
                <c:pt idx="44">
                  <c:v>5.0043410741714656</c:v>
                </c:pt>
                <c:pt idx="45">
                  <c:v>5.1524695699669403</c:v>
                </c:pt>
                <c:pt idx="46">
                  <c:v>5.3049826692379627</c:v>
                </c:pt>
                <c:pt idx="47">
                  <c:v>5.4620101562474073</c:v>
                </c:pt>
                <c:pt idx="48">
                  <c:v>5.6236856568723299</c:v>
                </c:pt>
                <c:pt idx="49">
                  <c:v>5.790146752315751</c:v>
                </c:pt>
                <c:pt idx="50">
                  <c:v>5.9615350961842983</c:v>
                </c:pt>
                <c:pt idx="51">
                  <c:v>6.1379965350313519</c:v>
                </c:pt>
                <c:pt idx="52">
                  <c:v>6.3196812324682821</c:v>
                </c:pt>
                <c:pt idx="53">
                  <c:v>6.5067437969493431</c:v>
                </c:pt>
                <c:pt idx="54">
                  <c:v>6.6993434133390446</c:v>
                </c:pt>
                <c:pt idx="55">
                  <c:v>6.8976439783738783</c:v>
                </c:pt>
                <c:pt idx="56">
                  <c:v>7.1018142401337458</c:v>
                </c:pt>
                <c:pt idx="57">
                  <c:v>7.3120279416417056</c:v>
                </c:pt>
                <c:pt idx="58">
                  <c:v>7.5284639687143002</c:v>
                </c:pt>
                <c:pt idx="59">
                  <c:v>7.7513065021882435</c:v>
                </c:pt>
                <c:pt idx="60">
                  <c:v>7.9807451746530162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F-DB47-9CFA-BAE57D47B71C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'Fig1_non-CO2_emissions'!$AC$11:$AC$71</c:f>
              <c:numCache>
                <c:formatCode>0.0</c:formatCode>
                <c:ptCount val="61"/>
                <c:pt idx="0">
                  <c:v>2.1650239596939462</c:v>
                </c:pt>
                <c:pt idx="1">
                  <c:v>2.0942230976231815</c:v>
                </c:pt>
                <c:pt idx="2">
                  <c:v>2.10022413004826</c:v>
                </c:pt>
                <c:pt idx="3">
                  <c:v>2.1205650914227849</c:v>
                </c:pt>
                <c:pt idx="4">
                  <c:v>2.2168520454695702</c:v>
                </c:pt>
                <c:pt idx="5">
                  <c:v>2.272478231321394</c:v>
                </c:pt>
                <c:pt idx="6">
                  <c:v>2.3689132672468078</c:v>
                </c:pt>
                <c:pt idx="7">
                  <c:v>2.4500872935028064</c:v>
                </c:pt>
                <c:pt idx="8">
                  <c:v>2.5051377324365602</c:v>
                </c:pt>
                <c:pt idx="9">
                  <c:v>2.5919811791886591</c:v>
                </c:pt>
                <c:pt idx="10">
                  <c:v>2.6817045040205145</c:v>
                </c:pt>
                <c:pt idx="11">
                  <c:v>2.6271846441731239</c:v>
                </c:pt>
                <c:pt idx="12">
                  <c:v>2.6484541189487851</c:v>
                </c:pt>
                <c:pt idx="13">
                  <c:v>2.6334612575460765</c:v>
                </c:pt>
                <c:pt idx="14">
                  <c:v>2.8016170927728159</c:v>
                </c:pt>
                <c:pt idx="15">
                  <c:v>2.9248440855807738</c:v>
                </c:pt>
                <c:pt idx="16">
                  <c:v>2.958093327163092</c:v>
                </c:pt>
                <c:pt idx="17">
                  <c:v>3.0383274051238502</c:v>
                </c:pt>
                <c:pt idx="18">
                  <c:v>3.0014029885769351</c:v>
                </c:pt>
                <c:pt idx="19">
                  <c:v>2.8496613720898671</c:v>
                </c:pt>
                <c:pt idx="20">
                  <c:v>3.0043914981506665</c:v>
                </c:pt>
                <c:pt idx="21">
                  <c:v>3.0758555840793878</c:v>
                </c:pt>
                <c:pt idx="22">
                  <c:v>3.0983434468216888</c:v>
                </c:pt>
                <c:pt idx="23">
                  <c:v>3.1972895854920478</c:v>
                </c:pt>
                <c:pt idx="24">
                  <c:v>3.2996467530732323</c:v>
                </c:pt>
                <c:pt idx="25">
                  <c:v>3.4816228013124517</c:v>
                </c:pt>
                <c:pt idx="26">
                  <c:v>3.6338847054811905</c:v>
                </c:pt>
                <c:pt idx="27">
                  <c:v>3.8746692706010064</c:v>
                </c:pt>
                <c:pt idx="28">
                  <c:v>4.0459256773636838</c:v>
                </c:pt>
                <c:pt idx="29">
                  <c:v>4.1079999999999988</c:v>
                </c:pt>
                <c:pt idx="30">
                  <c:v>2.4239999999999986</c:v>
                </c:pt>
                <c:pt idx="31">
                  <c:v>2.9051749429714051</c:v>
                </c:pt>
                <c:pt idx="32">
                  <c:v>3.187361892819645</c:v>
                </c:pt>
                <c:pt idx="33">
                  <c:v>3.4592245408574729</c:v>
                </c:pt>
                <c:pt idx="34">
                  <c:v>3.7257310079551664</c:v>
                </c:pt>
                <c:pt idx="35">
                  <c:v>3.819273312962308</c:v>
                </c:pt>
                <c:pt idx="36">
                  <c:v>3.9153873580597898</c:v>
                </c:pt>
                <c:pt idx="37">
                  <c:v>4.0138802596646084</c:v>
                </c:pt>
                <c:pt idx="38">
                  <c:v>4.1148096767067281</c:v>
                </c:pt>
                <c:pt idx="39">
                  <c:v>4.2182346281062877</c:v>
                </c:pt>
                <c:pt idx="40">
                  <c:v>4.3242155236794382</c:v>
                </c:pt>
                <c:pt idx="41">
                  <c:v>4.4134706793285678</c:v>
                </c:pt>
                <c:pt idx="42">
                  <c:v>4.5043712153906181</c:v>
                </c:pt>
                <c:pt idx="43">
                  <c:v>4.596940781913065</c:v>
                </c:pt>
                <c:pt idx="44">
                  <c:v>4.6912031189912922</c:v>
                </c:pt>
                <c:pt idx="45">
                  <c:v>4.7871820452730001</c:v>
                </c:pt>
                <c:pt idx="46">
                  <c:v>4.8587213308819086</c:v>
                </c:pt>
                <c:pt idx="47">
                  <c:v>4.9306253675244616</c:v>
                </c:pt>
                <c:pt idx="48">
                  <c:v>5.002862657898671</c:v>
                </c:pt>
                <c:pt idx="49">
                  <c:v>5.0753998043251967</c:v>
                </c:pt>
                <c:pt idx="50">
                  <c:v>5.1482014322434519</c:v>
                </c:pt>
                <c:pt idx="51">
                  <c:v>5.2417284906648263</c:v>
                </c:pt>
                <c:pt idx="52">
                  <c:v>5.3365372706869172</c:v>
                </c:pt>
                <c:pt idx="53">
                  <c:v>5.4326292703710797</c:v>
                </c:pt>
                <c:pt idx="54">
                  <c:v>5.5300051773890981</c:v>
                </c:pt>
                <c:pt idx="55">
                  <c:v>5.6286648263635373</c:v>
                </c:pt>
                <c:pt idx="56">
                  <c:v>5.7419683374567612</c:v>
                </c:pt>
                <c:pt idx="57">
                  <c:v>5.8572646509330744</c:v>
                </c:pt>
                <c:pt idx="58">
                  <c:v>5.9745788873160937</c:v>
                </c:pt>
                <c:pt idx="59">
                  <c:v>6.0939360982420565</c:v>
                </c:pt>
                <c:pt idx="60">
                  <c:v>6.2153612459958252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FFF-DB47-9CFA-BAE57D47B71C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'Fig1_non-CO2_emissions'!$AQ$11:$AQ$71</c:f>
              <c:numCache>
                <c:formatCode>0.0</c:formatCode>
                <c:ptCount val="61"/>
                <c:pt idx="0">
                  <c:v>2.1650239596939462</c:v>
                </c:pt>
                <c:pt idx="1">
                  <c:v>2.0942230976231815</c:v>
                </c:pt>
                <c:pt idx="2">
                  <c:v>2.10022413004826</c:v>
                </c:pt>
                <c:pt idx="3">
                  <c:v>2.1205650914227849</c:v>
                </c:pt>
                <c:pt idx="4">
                  <c:v>2.2168520454695702</c:v>
                </c:pt>
                <c:pt idx="5">
                  <c:v>2.272478231321394</c:v>
                </c:pt>
                <c:pt idx="6">
                  <c:v>2.3689132672468078</c:v>
                </c:pt>
                <c:pt idx="7">
                  <c:v>2.4500872935028064</c:v>
                </c:pt>
                <c:pt idx="8">
                  <c:v>2.5051377324365602</c:v>
                </c:pt>
                <c:pt idx="9">
                  <c:v>2.5919811791886591</c:v>
                </c:pt>
                <c:pt idx="10">
                  <c:v>2.6817045040205145</c:v>
                </c:pt>
                <c:pt idx="11">
                  <c:v>2.6271846441731239</c:v>
                </c:pt>
                <c:pt idx="12">
                  <c:v>2.6484541189487851</c:v>
                </c:pt>
                <c:pt idx="13">
                  <c:v>2.6334612575460765</c:v>
                </c:pt>
                <c:pt idx="14">
                  <c:v>2.8016170927728159</c:v>
                </c:pt>
                <c:pt idx="15">
                  <c:v>2.9248440855807738</c:v>
                </c:pt>
                <c:pt idx="16">
                  <c:v>2.958093327163092</c:v>
                </c:pt>
                <c:pt idx="17">
                  <c:v>3.0383274051238502</c:v>
                </c:pt>
                <c:pt idx="18">
                  <c:v>3.0014029885769351</c:v>
                </c:pt>
                <c:pt idx="19">
                  <c:v>2.8496613720898671</c:v>
                </c:pt>
                <c:pt idx="20">
                  <c:v>3.0043914981506665</c:v>
                </c:pt>
                <c:pt idx="21">
                  <c:v>3.0758555840793878</c:v>
                </c:pt>
                <c:pt idx="22">
                  <c:v>3.0983434468216888</c:v>
                </c:pt>
                <c:pt idx="23">
                  <c:v>3.1972895854920478</c:v>
                </c:pt>
                <c:pt idx="24">
                  <c:v>3.2996467530732323</c:v>
                </c:pt>
                <c:pt idx="25">
                  <c:v>3.4816228013124517</c:v>
                </c:pt>
                <c:pt idx="26">
                  <c:v>3.6338847054811905</c:v>
                </c:pt>
                <c:pt idx="27">
                  <c:v>3.8746692706010064</c:v>
                </c:pt>
                <c:pt idx="28">
                  <c:v>4.0459256773636838</c:v>
                </c:pt>
                <c:pt idx="29">
                  <c:v>4.1079999999999988</c:v>
                </c:pt>
                <c:pt idx="30">
                  <c:v>2.4239999999999986</c:v>
                </c:pt>
                <c:pt idx="31">
                  <c:v>2.9051749429714051</c:v>
                </c:pt>
                <c:pt idx="32">
                  <c:v>3.187361892819645</c:v>
                </c:pt>
                <c:pt idx="33">
                  <c:v>3.4340620441972884</c:v>
                </c:pt>
                <c:pt idx="34">
                  <c:v>3.6714382245138704</c:v>
                </c:pt>
                <c:pt idx="35">
                  <c:v>3.7069076073713241</c:v>
                </c:pt>
                <c:pt idx="36">
                  <c:v>3.7419937756341977</c:v>
                </c:pt>
                <c:pt idx="37">
                  <c:v>3.7766646855955583</c:v>
                </c:pt>
                <c:pt idx="38">
                  <c:v>3.810887375214087</c:v>
                </c:pt>
                <c:pt idx="39">
                  <c:v>3.8446279568538078</c:v>
                </c:pt>
                <c:pt idx="40">
                  <c:v>3.8778516109619146</c:v>
                </c:pt>
                <c:pt idx="41">
                  <c:v>3.9105225807632173</c:v>
                </c:pt>
                <c:pt idx="42">
                  <c:v>3.9426041680541499</c:v>
                </c:pt>
                <c:pt idx="43">
                  <c:v>3.9740587301837231</c:v>
                </c:pt>
                <c:pt idx="44">
                  <c:v>4.0048476783135936</c:v>
                </c:pt>
                <c:pt idx="45">
                  <c:v>4.0349314770543279</c:v>
                </c:pt>
                <c:pt idx="46">
                  <c:v>4.0642696455801861</c:v>
                </c:pt>
                <c:pt idx="47">
                  <c:v>4.0928207603300883</c:v>
                </c:pt>
                <c:pt idx="48">
                  <c:v>4.1205424594081856</c:v>
                </c:pt>
                <c:pt idx="49">
                  <c:v>4.1473914488033108</c:v>
                </c:pt>
                <c:pt idx="50">
                  <c:v>4.1733235105528061</c:v>
                </c:pt>
                <c:pt idx="51">
                  <c:v>4.1982935129827368</c:v>
                </c:pt>
                <c:pt idx="52">
                  <c:v>4.2222554231632214</c:v>
                </c:pt>
                <c:pt idx="53">
                  <c:v>4.2451623217246759</c:v>
                </c:pt>
                <c:pt idx="54">
                  <c:v>4.2669664201882531</c:v>
                </c:pt>
                <c:pt idx="55">
                  <c:v>4.2876190809713526</c:v>
                </c:pt>
                <c:pt idx="56">
                  <c:v>4.3070708402372464</c:v>
                </c:pt>
                <c:pt idx="57">
                  <c:v>4.3252714337662317</c:v>
                </c:pt>
                <c:pt idx="58">
                  <c:v>4.3421698260345609</c:v>
                </c:pt>
                <c:pt idx="59">
                  <c:v>4.3577142426965576</c:v>
                </c:pt>
                <c:pt idx="60">
                  <c:v>4.3718522066749221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FFF-DB47-9CFA-BAE57D47B71C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'Fig1_non-CO2_emissions'!$O$79:$O$139</c:f>
              <c:numCache>
                <c:formatCode>_(* #,##0.0_);_(* \(#,##0.0\);_(* "-"??_);_(@_)</c:formatCode>
                <c:ptCount val="61"/>
                <c:pt idx="0">
                  <c:v>2.1707911200000001</c:v>
                </c:pt>
                <c:pt idx="1">
                  <c:v>2.1024830240000001</c:v>
                </c:pt>
                <c:pt idx="2">
                  <c:v>2.1166633839999998</c:v>
                </c:pt>
                <c:pt idx="3">
                  <c:v>2.1345270159999998</c:v>
                </c:pt>
                <c:pt idx="4">
                  <c:v>2.2268306680000007</c:v>
                </c:pt>
                <c:pt idx="5">
                  <c:v>2.2830621039999999</c:v>
                </c:pt>
                <c:pt idx="6">
                  <c:v>2.3884851280000006</c:v>
                </c:pt>
                <c:pt idx="7">
                  <c:v>2.4649139320000004</c:v>
                </c:pt>
                <c:pt idx="8">
                  <c:v>2.512036368</c:v>
                </c:pt>
                <c:pt idx="9">
                  <c:v>2.5965867280000001</c:v>
                </c:pt>
                <c:pt idx="10">
                  <c:v>2.6990871880000005</c:v>
                </c:pt>
                <c:pt idx="11">
                  <c:v>2.6375866559999999</c:v>
                </c:pt>
                <c:pt idx="12">
                  <c:v>2.661641688</c:v>
                </c:pt>
                <c:pt idx="13">
                  <c:v>2.6450131840000002</c:v>
                </c:pt>
                <c:pt idx="14">
                  <c:v>2.8157235440000004</c:v>
                </c:pt>
                <c:pt idx="15">
                  <c:v>2.9282112319999998</c:v>
                </c:pt>
                <c:pt idx="16">
                  <c:v>2.9635027319999998</c:v>
                </c:pt>
                <c:pt idx="17">
                  <c:v>3.0390988439999997</c:v>
                </c:pt>
                <c:pt idx="18">
                  <c:v>3.0102704360000003</c:v>
                </c:pt>
                <c:pt idx="19">
                  <c:v>2.8483658360000002</c:v>
                </c:pt>
                <c:pt idx="20">
                  <c:v>3.0015623360000001</c:v>
                </c:pt>
                <c:pt idx="21">
                  <c:v>3.0847666640000004</c:v>
                </c:pt>
                <c:pt idx="22">
                  <c:v>3.1223751120000003</c:v>
                </c:pt>
                <c:pt idx="23">
                  <c:v>3.1997431199999999</c:v>
                </c:pt>
                <c:pt idx="24">
                  <c:v>3.3053190640000003</c:v>
                </c:pt>
                <c:pt idx="25">
                  <c:v>3.4877204280000003</c:v>
                </c:pt>
                <c:pt idx="26">
                  <c:v>3.6526199760000004</c:v>
                </c:pt>
                <c:pt idx="27">
                  <c:v>3.8824854920000003</c:v>
                </c:pt>
                <c:pt idx="28">
                  <c:v>4.030460884</c:v>
                </c:pt>
                <c:pt idx="29">
                  <c:v>4.1079999999999997</c:v>
                </c:pt>
                <c:pt idx="30">
                  <c:v>2.4239999999999999</c:v>
                </c:pt>
                <c:pt idx="31">
                  <c:v>2.9051749429714047</c:v>
                </c:pt>
                <c:pt idx="32">
                  <c:v>3.1430492078341099</c:v>
                </c:pt>
                <c:pt idx="33">
                  <c:v>3.3708198137850163</c:v>
                </c:pt>
                <c:pt idx="34">
                  <c:v>3.5887988996061444</c:v>
                </c:pt>
                <c:pt idx="35">
                  <c:v>3.6163771415030062</c:v>
                </c:pt>
                <c:pt idx="36">
                  <c:v>3.644173128038926</c:v>
                </c:pt>
                <c:pt idx="37">
                  <c:v>3.6721886133601833</c:v>
                </c:pt>
                <c:pt idx="38">
                  <c:v>3.7004253659486013</c:v>
                </c:pt>
                <c:pt idx="39">
                  <c:v>3.7288851687398767</c:v>
                </c:pt>
                <c:pt idx="40">
                  <c:v>3.7575698192428848</c:v>
                </c:pt>
                <c:pt idx="41">
                  <c:v>3.786481129659983</c:v>
                </c:pt>
                <c:pt idx="42">
                  <c:v>3.815620927008307</c:v>
                </c:pt>
                <c:pt idx="43">
                  <c:v>3.8449910532420803</c:v>
                </c:pt>
                <c:pt idx="44">
                  <c:v>3.8745933653759379</c:v>
                </c:pt>
                <c:pt idx="45">
                  <c:v>3.904429735609273</c:v>
                </c:pt>
                <c:pt idx="46">
                  <c:v>3.934502051451624</c:v>
                </c:pt>
                <c:pt idx="47">
                  <c:v>3.9648122158490962</c:v>
                </c:pt>
                <c:pt idx="48">
                  <c:v>3.9953621473118348</c:v>
                </c:pt>
                <c:pt idx="49">
                  <c:v>4.0261537800425664</c:v>
                </c:pt>
                <c:pt idx="50">
                  <c:v>4.0571890640661996</c:v>
                </c:pt>
                <c:pt idx="51">
                  <c:v>4.0884699653605034</c:v>
                </c:pt>
                <c:pt idx="52">
                  <c:v>4.1199984659878801</c:v>
                </c:pt>
                <c:pt idx="53">
                  <c:v>4.1517765642282241</c:v>
                </c:pt>
                <c:pt idx="54">
                  <c:v>4.1838062747128903</c:v>
                </c:pt>
                <c:pt idx="55">
                  <c:v>4.216089628559776</c:v>
                </c:pt>
                <c:pt idx="56">
                  <c:v>4.24862867350953</c:v>
                </c:pt>
                <c:pt idx="57">
                  <c:v>4.2814254740628801</c:v>
                </c:pt>
                <c:pt idx="58">
                  <c:v>4.3144821116191183</c:v>
                </c:pt>
                <c:pt idx="59">
                  <c:v>4.3478006846157369</c:v>
                </c:pt>
                <c:pt idx="60">
                  <c:v>4.3813833086692044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FFF-DB47-9CFA-BAE57D47B71C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'Fig1_non-CO2_emissions'!$AC$79:$AC$139</c:f>
              <c:numCache>
                <c:formatCode>0.0</c:formatCode>
                <c:ptCount val="61"/>
                <c:pt idx="0">
                  <c:v>2.1650239596939462</c:v>
                </c:pt>
                <c:pt idx="1">
                  <c:v>2.0942230976231815</c:v>
                </c:pt>
                <c:pt idx="2">
                  <c:v>2.10022413004826</c:v>
                </c:pt>
                <c:pt idx="3">
                  <c:v>2.1205650914227849</c:v>
                </c:pt>
                <c:pt idx="4">
                  <c:v>2.2168520454695702</c:v>
                </c:pt>
                <c:pt idx="5">
                  <c:v>2.272478231321394</c:v>
                </c:pt>
                <c:pt idx="6">
                  <c:v>2.3689132672468078</c:v>
                </c:pt>
                <c:pt idx="7">
                  <c:v>2.4500872935028064</c:v>
                </c:pt>
                <c:pt idx="8">
                  <c:v>2.5051377324365602</c:v>
                </c:pt>
                <c:pt idx="9">
                  <c:v>2.5919811791886591</c:v>
                </c:pt>
                <c:pt idx="10">
                  <c:v>2.6817045040205145</c:v>
                </c:pt>
                <c:pt idx="11">
                  <c:v>2.6271846441731239</c:v>
                </c:pt>
                <c:pt idx="12">
                  <c:v>2.6484541189487851</c:v>
                </c:pt>
                <c:pt idx="13">
                  <c:v>2.6334612575460765</c:v>
                </c:pt>
                <c:pt idx="14">
                  <c:v>2.8016170927728159</c:v>
                </c:pt>
                <c:pt idx="15">
                  <c:v>2.9248440855807738</c:v>
                </c:pt>
                <c:pt idx="16">
                  <c:v>2.958093327163092</c:v>
                </c:pt>
                <c:pt idx="17">
                  <c:v>3.0383274051238502</c:v>
                </c:pt>
                <c:pt idx="18">
                  <c:v>3.0014029885769351</c:v>
                </c:pt>
                <c:pt idx="19">
                  <c:v>2.8496613720898671</c:v>
                </c:pt>
                <c:pt idx="20">
                  <c:v>3.0043914981506665</c:v>
                </c:pt>
                <c:pt idx="21">
                  <c:v>3.0758555840793878</c:v>
                </c:pt>
                <c:pt idx="22">
                  <c:v>3.0983434468216888</c:v>
                </c:pt>
                <c:pt idx="23">
                  <c:v>3.1972895854920478</c:v>
                </c:pt>
                <c:pt idx="24">
                  <c:v>3.2996467530732323</c:v>
                </c:pt>
                <c:pt idx="25">
                  <c:v>3.4816228013124517</c:v>
                </c:pt>
                <c:pt idx="26">
                  <c:v>3.6338847054811905</c:v>
                </c:pt>
                <c:pt idx="27">
                  <c:v>3.8746692706010064</c:v>
                </c:pt>
                <c:pt idx="28">
                  <c:v>4.0459256773636838</c:v>
                </c:pt>
                <c:pt idx="29">
                  <c:v>4.1079999999999988</c:v>
                </c:pt>
                <c:pt idx="30">
                  <c:v>2.4239999999999986</c:v>
                </c:pt>
                <c:pt idx="31">
                  <c:v>2.9051749429714051</c:v>
                </c:pt>
                <c:pt idx="32">
                  <c:v>3.1430492078341099</c:v>
                </c:pt>
                <c:pt idx="33">
                  <c:v>3.3652017807620411</c:v>
                </c:pt>
                <c:pt idx="34">
                  <c:v>3.5768362366074573</c:v>
                </c:pt>
                <c:pt idx="35">
                  <c:v>3.5885942517858664</c:v>
                </c:pt>
                <c:pt idx="36">
                  <c:v>3.6006018898054251</c:v>
                </c:pt>
                <c:pt idx="37">
                  <c:v>3.6126195506501126</c:v>
                </c:pt>
                <c:pt idx="38">
                  <c:v>3.6246468830099503</c:v>
                </c:pt>
                <c:pt idx="39">
                  <c:v>3.6366835309832788</c:v>
                </c:pt>
                <c:pt idx="40">
                  <c:v>3.6487291340388022</c:v>
                </c:pt>
                <c:pt idx="41">
                  <c:v>3.6448087295489784</c:v>
                </c:pt>
                <c:pt idx="42">
                  <c:v>3.6407391396061981</c:v>
                </c:pt>
                <c:pt idx="43">
                  <c:v>3.6365191172831994</c:v>
                </c:pt>
                <c:pt idx="44">
                  <c:v>3.632147411831621</c:v>
                </c:pt>
                <c:pt idx="45">
                  <c:v>3.6276227687568174</c:v>
                </c:pt>
                <c:pt idx="46">
                  <c:v>3.6035271433851177</c:v>
                </c:pt>
                <c:pt idx="47">
                  <c:v>3.5790859280216494</c:v>
                </c:pt>
                <c:pt idx="48">
                  <c:v>3.5542968279427081</c:v>
                </c:pt>
                <c:pt idx="49">
                  <c:v>3.5291575466957794</c:v>
                </c:pt>
                <c:pt idx="50">
                  <c:v>3.5036657863302731</c:v>
                </c:pt>
                <c:pt idx="51">
                  <c:v>3.4914730528677502</c:v>
                </c:pt>
                <c:pt idx="52">
                  <c:v>3.4790560726319981</c:v>
                </c:pt>
                <c:pt idx="53">
                  <c:v>3.4664132461219328</c:v>
                </c:pt>
                <c:pt idx="54">
                  <c:v>3.4535429717318742</c:v>
                </c:pt>
                <c:pt idx="55">
                  <c:v>3.440443645899089</c:v>
                </c:pt>
                <c:pt idx="56">
                  <c:v>3.4351069312738329</c:v>
                </c:pt>
                <c:pt idx="57">
                  <c:v>3.4296151881501795</c:v>
                </c:pt>
                <c:pt idx="58">
                  <c:v>3.4239672051169743</c:v>
                </c:pt>
                <c:pt idx="59">
                  <c:v>3.4181617682724323</c:v>
                </c:pt>
                <c:pt idx="60">
                  <c:v>3.4121976613217098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FFF-DB47-9CFA-BAE57D47B71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'Fig1_non-CO2_emissions'!$AQ$79:$AQ$139</c:f>
              <c:numCache>
                <c:formatCode>0.0</c:formatCode>
                <c:ptCount val="61"/>
                <c:pt idx="0">
                  <c:v>2.1650239596939462</c:v>
                </c:pt>
                <c:pt idx="1">
                  <c:v>2.0942230976231815</c:v>
                </c:pt>
                <c:pt idx="2">
                  <c:v>2.10022413004826</c:v>
                </c:pt>
                <c:pt idx="3">
                  <c:v>2.1205650914227849</c:v>
                </c:pt>
                <c:pt idx="4">
                  <c:v>2.2168520454695702</c:v>
                </c:pt>
                <c:pt idx="5">
                  <c:v>2.272478231321394</c:v>
                </c:pt>
                <c:pt idx="6">
                  <c:v>2.3689132672468078</c:v>
                </c:pt>
                <c:pt idx="7">
                  <c:v>2.4500872935028064</c:v>
                </c:pt>
                <c:pt idx="8">
                  <c:v>2.5051377324365602</c:v>
                </c:pt>
                <c:pt idx="9">
                  <c:v>2.5919811791886591</c:v>
                </c:pt>
                <c:pt idx="10">
                  <c:v>2.6817045040205145</c:v>
                </c:pt>
                <c:pt idx="11">
                  <c:v>2.6271846441731239</c:v>
                </c:pt>
                <c:pt idx="12">
                  <c:v>2.6484541189487851</c:v>
                </c:pt>
                <c:pt idx="13">
                  <c:v>2.6334612575460765</c:v>
                </c:pt>
                <c:pt idx="14">
                  <c:v>2.8016170927728159</c:v>
                </c:pt>
                <c:pt idx="15">
                  <c:v>2.9248440855807738</c:v>
                </c:pt>
                <c:pt idx="16">
                  <c:v>2.958093327163092</c:v>
                </c:pt>
                <c:pt idx="17">
                  <c:v>3.0383274051238502</c:v>
                </c:pt>
                <c:pt idx="18">
                  <c:v>3.0014029885769351</c:v>
                </c:pt>
                <c:pt idx="19">
                  <c:v>2.8496613720898671</c:v>
                </c:pt>
                <c:pt idx="20">
                  <c:v>3.0043914981506665</c:v>
                </c:pt>
                <c:pt idx="21">
                  <c:v>3.0758555840793878</c:v>
                </c:pt>
                <c:pt idx="22">
                  <c:v>3.0983434468216888</c:v>
                </c:pt>
                <c:pt idx="23">
                  <c:v>3.1972895854920478</c:v>
                </c:pt>
                <c:pt idx="24">
                  <c:v>3.2996467530732323</c:v>
                </c:pt>
                <c:pt idx="25">
                  <c:v>3.4816228013124517</c:v>
                </c:pt>
                <c:pt idx="26">
                  <c:v>3.6338847054811905</c:v>
                </c:pt>
                <c:pt idx="27">
                  <c:v>3.8746692706010064</c:v>
                </c:pt>
                <c:pt idx="28">
                  <c:v>4.0459256773636838</c:v>
                </c:pt>
                <c:pt idx="29">
                  <c:v>4.1079999999999988</c:v>
                </c:pt>
                <c:pt idx="30">
                  <c:v>2.4239999999999986</c:v>
                </c:pt>
                <c:pt idx="31">
                  <c:v>2.9051749429714051</c:v>
                </c:pt>
                <c:pt idx="32">
                  <c:v>3.1430492078341099</c:v>
                </c:pt>
                <c:pt idx="33">
                  <c:v>3.3407232083047931</c:v>
                </c:pt>
                <c:pt idx="34">
                  <c:v>3.52471320497032</c:v>
                </c:pt>
                <c:pt idx="35">
                  <c:v>3.4830152863284534</c:v>
                </c:pt>
                <c:pt idx="36">
                  <c:v>3.4411486343627526</c:v>
                </c:pt>
                <c:pt idx="37">
                  <c:v>3.3991180097067497</c:v>
                </c:pt>
                <c:pt idx="38">
                  <c:v>3.3569282983525466</c:v>
                </c:pt>
                <c:pt idx="39">
                  <c:v>3.3145845136938257</c:v>
                </c:pt>
                <c:pt idx="40">
                  <c:v>3.2720917985967035</c:v>
                </c:pt>
                <c:pt idx="41">
                  <c:v>3.2294554274987357</c:v>
                </c:pt>
                <c:pt idx="42">
                  <c:v>3.186680808536448</c:v>
                </c:pt>
                <c:pt idx="43">
                  <c:v>3.143773485701737</c:v>
                </c:pt>
                <c:pt idx="44">
                  <c:v>3.1007391410275016</c:v>
                </c:pt>
                <c:pt idx="45">
                  <c:v>3.0575835968028526</c:v>
                </c:pt>
                <c:pt idx="46">
                  <c:v>3.014312817818277</c:v>
                </c:pt>
                <c:pt idx="47">
                  <c:v>2.9709329136411236</c:v>
                </c:pt>
                <c:pt idx="48">
                  <c:v>2.9274501409217772</c:v>
                </c:pt>
                <c:pt idx="49">
                  <c:v>2.8838709057309022</c:v>
                </c:pt>
                <c:pt idx="50">
                  <c:v>2.8402017659281364</c:v>
                </c:pt>
                <c:pt idx="51">
                  <c:v>2.7964494335626213</c:v>
                </c:pt>
                <c:pt idx="52">
                  <c:v>2.7526207773057618</c:v>
                </c:pt>
                <c:pt idx="53">
                  <c:v>2.7087228249165993</c:v>
                </c:pt>
                <c:pt idx="54">
                  <c:v>2.66476276574021</c:v>
                </c:pt>
                <c:pt idx="55">
                  <c:v>2.620747953239531</c:v>
                </c:pt>
                <c:pt idx="56">
                  <c:v>2.5766859075610129</c:v>
                </c:pt>
                <c:pt idx="57">
                  <c:v>2.5325843181345205</c:v>
                </c:pt>
                <c:pt idx="58">
                  <c:v>2.4884510463078988</c:v>
                </c:pt>
                <c:pt idx="59">
                  <c:v>2.444294128016629</c:v>
                </c:pt>
                <c:pt idx="60">
                  <c:v>2.4001217764889904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2FFF-DB47-9CFA-BAE57D47B71C}"/>
            </c:ext>
          </c:extLst>
        </c:ser>
        <c:ser>
          <c:idx val="6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'Fig1_non-CO2_emissions'!$O$147:$O$207</c:f>
              <c:numCache>
                <c:formatCode>_(* #,##0.0_);_(* \(#,##0.0\);_(* "-"??_);_(@_)</c:formatCode>
                <c:ptCount val="61"/>
                <c:pt idx="0">
                  <c:v>2.1707911200000001</c:v>
                </c:pt>
                <c:pt idx="1">
                  <c:v>2.1024830240000001</c:v>
                </c:pt>
                <c:pt idx="2">
                  <c:v>2.1166633839999998</c:v>
                </c:pt>
                <c:pt idx="3">
                  <c:v>2.1345270159999998</c:v>
                </c:pt>
                <c:pt idx="4">
                  <c:v>2.2268306680000007</c:v>
                </c:pt>
                <c:pt idx="5">
                  <c:v>2.2830621039999999</c:v>
                </c:pt>
                <c:pt idx="6">
                  <c:v>2.3884851280000006</c:v>
                </c:pt>
                <c:pt idx="7">
                  <c:v>2.4649139320000004</c:v>
                </c:pt>
                <c:pt idx="8">
                  <c:v>2.512036368</c:v>
                </c:pt>
                <c:pt idx="9">
                  <c:v>2.5965867280000001</c:v>
                </c:pt>
                <c:pt idx="10">
                  <c:v>2.6990871880000005</c:v>
                </c:pt>
                <c:pt idx="11">
                  <c:v>2.6375866559999999</c:v>
                </c:pt>
                <c:pt idx="12">
                  <c:v>2.661641688</c:v>
                </c:pt>
                <c:pt idx="13">
                  <c:v>2.6450131840000002</c:v>
                </c:pt>
                <c:pt idx="14">
                  <c:v>2.8157235440000004</c:v>
                </c:pt>
                <c:pt idx="15">
                  <c:v>2.9282112319999998</c:v>
                </c:pt>
                <c:pt idx="16">
                  <c:v>2.9635027319999998</c:v>
                </c:pt>
                <c:pt idx="17">
                  <c:v>3.0390988439999997</c:v>
                </c:pt>
                <c:pt idx="18">
                  <c:v>3.0102704360000003</c:v>
                </c:pt>
                <c:pt idx="19">
                  <c:v>2.8483658360000002</c:v>
                </c:pt>
                <c:pt idx="20">
                  <c:v>3.0015623360000001</c:v>
                </c:pt>
                <c:pt idx="21">
                  <c:v>3.0847666640000004</c:v>
                </c:pt>
                <c:pt idx="22">
                  <c:v>3.1223751120000003</c:v>
                </c:pt>
                <c:pt idx="23">
                  <c:v>3.1997431199999999</c:v>
                </c:pt>
                <c:pt idx="24">
                  <c:v>3.3053190640000003</c:v>
                </c:pt>
                <c:pt idx="25">
                  <c:v>3.4877204280000003</c:v>
                </c:pt>
                <c:pt idx="26">
                  <c:v>3.6526199760000004</c:v>
                </c:pt>
                <c:pt idx="27">
                  <c:v>3.8824854920000003</c:v>
                </c:pt>
                <c:pt idx="28">
                  <c:v>4.030460884</c:v>
                </c:pt>
                <c:pt idx="29">
                  <c:v>4.1079999999999997</c:v>
                </c:pt>
                <c:pt idx="30">
                  <c:v>2.4239999999999999</c:v>
                </c:pt>
                <c:pt idx="31">
                  <c:v>2.9051749429714047</c:v>
                </c:pt>
                <c:pt idx="32">
                  <c:v>2.7312326181679083</c:v>
                </c:pt>
                <c:pt idx="33">
                  <c:v>2.5511604116993332</c:v>
                </c:pt>
                <c:pt idx="34">
                  <c:v>2.3649583235656779</c:v>
                </c:pt>
                <c:pt idx="35">
                  <c:v>2.1726263537669435</c:v>
                </c:pt>
                <c:pt idx="36">
                  <c:v>2.1511566391172523</c:v>
                </c:pt>
                <c:pt idx="37">
                  <c:v>2.128314341588657</c:v>
                </c:pt>
                <c:pt idx="38">
                  <c:v>2.1040994611811565</c:v>
                </c:pt>
                <c:pt idx="39">
                  <c:v>2.0785119978947515</c:v>
                </c:pt>
                <c:pt idx="40">
                  <c:v>2.0515519517294414</c:v>
                </c:pt>
                <c:pt idx="41">
                  <c:v>2.0232193226852262</c:v>
                </c:pt>
                <c:pt idx="42">
                  <c:v>1.9935141107621062</c:v>
                </c:pt>
                <c:pt idx="43">
                  <c:v>1.9624363159600811</c:v>
                </c:pt>
                <c:pt idx="44">
                  <c:v>1.9299859382791511</c:v>
                </c:pt>
                <c:pt idx="45">
                  <c:v>1.8961629777193167</c:v>
                </c:pt>
                <c:pt idx="46">
                  <c:v>1.8609674342805771</c:v>
                </c:pt>
                <c:pt idx="47">
                  <c:v>1.8243993079629328</c:v>
                </c:pt>
                <c:pt idx="48">
                  <c:v>1.786458598766383</c:v>
                </c:pt>
                <c:pt idx="49">
                  <c:v>1.7471453066909293</c:v>
                </c:pt>
                <c:pt idx="50">
                  <c:v>1.7064594317365696</c:v>
                </c:pt>
                <c:pt idx="51">
                  <c:v>1.6644009739033054</c:v>
                </c:pt>
                <c:pt idx="52">
                  <c:v>1.6209699331911367</c:v>
                </c:pt>
                <c:pt idx="53">
                  <c:v>1.5761663096000627</c:v>
                </c:pt>
                <c:pt idx="54">
                  <c:v>1.5299901031300838</c:v>
                </c:pt>
                <c:pt idx="55">
                  <c:v>1.4824413137812003</c:v>
                </c:pt>
                <c:pt idx="56">
                  <c:v>1.4335199415534117</c:v>
                </c:pt>
                <c:pt idx="57">
                  <c:v>1.3832259864467182</c:v>
                </c:pt>
                <c:pt idx="58">
                  <c:v>1.33155944846112</c:v>
                </c:pt>
                <c:pt idx="59">
                  <c:v>1.2785203275966173</c:v>
                </c:pt>
                <c:pt idx="60">
                  <c:v>1.2241086238532088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FFF-DB47-9CFA-BAE57D47B71C}"/>
            </c:ext>
          </c:extLst>
        </c:ser>
        <c:ser>
          <c:idx val="7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'Fig1_non-CO2_emissions'!$AC$147:$AC$207</c:f>
              <c:numCache>
                <c:formatCode>0.0</c:formatCode>
                <c:ptCount val="61"/>
                <c:pt idx="0">
                  <c:v>2.1650239596939462</c:v>
                </c:pt>
                <c:pt idx="1">
                  <c:v>2.0942230976231815</c:v>
                </c:pt>
                <c:pt idx="2">
                  <c:v>2.10022413004826</c:v>
                </c:pt>
                <c:pt idx="3">
                  <c:v>2.1205650914227849</c:v>
                </c:pt>
                <c:pt idx="4">
                  <c:v>2.2168520454695702</c:v>
                </c:pt>
                <c:pt idx="5">
                  <c:v>2.272478231321394</c:v>
                </c:pt>
                <c:pt idx="6">
                  <c:v>2.3689132672468078</c:v>
                </c:pt>
                <c:pt idx="7">
                  <c:v>2.4500872935028064</c:v>
                </c:pt>
                <c:pt idx="8">
                  <c:v>2.5051377324365602</c:v>
                </c:pt>
                <c:pt idx="9">
                  <c:v>2.5919811791886591</c:v>
                </c:pt>
                <c:pt idx="10">
                  <c:v>2.6817045040205145</c:v>
                </c:pt>
                <c:pt idx="11">
                  <c:v>2.6271846441731239</c:v>
                </c:pt>
                <c:pt idx="12">
                  <c:v>2.6484541189487851</c:v>
                </c:pt>
                <c:pt idx="13">
                  <c:v>2.6334612575460765</c:v>
                </c:pt>
                <c:pt idx="14">
                  <c:v>2.8016170927728159</c:v>
                </c:pt>
                <c:pt idx="15">
                  <c:v>2.9248440855807738</c:v>
                </c:pt>
                <c:pt idx="16">
                  <c:v>2.958093327163092</c:v>
                </c:pt>
                <c:pt idx="17">
                  <c:v>3.0383274051238502</c:v>
                </c:pt>
                <c:pt idx="18">
                  <c:v>3.0014029885769351</c:v>
                </c:pt>
                <c:pt idx="19">
                  <c:v>2.8496613720898671</c:v>
                </c:pt>
                <c:pt idx="20">
                  <c:v>3.0043914981506665</c:v>
                </c:pt>
                <c:pt idx="21">
                  <c:v>3.0758555840793878</c:v>
                </c:pt>
                <c:pt idx="22">
                  <c:v>3.0983434468216888</c:v>
                </c:pt>
                <c:pt idx="23">
                  <c:v>3.1972895854920478</c:v>
                </c:pt>
                <c:pt idx="24">
                  <c:v>3.2996467530732323</c:v>
                </c:pt>
                <c:pt idx="25">
                  <c:v>3.4816228013124517</c:v>
                </c:pt>
                <c:pt idx="26">
                  <c:v>3.6338847054811905</c:v>
                </c:pt>
                <c:pt idx="27">
                  <c:v>3.8746692706010064</c:v>
                </c:pt>
                <c:pt idx="28">
                  <c:v>4.0459256773636838</c:v>
                </c:pt>
                <c:pt idx="29">
                  <c:v>4.1079999999999988</c:v>
                </c:pt>
                <c:pt idx="30">
                  <c:v>2.4239999999999986</c:v>
                </c:pt>
                <c:pt idx="31">
                  <c:v>2.9051749429714051</c:v>
                </c:pt>
                <c:pt idx="32">
                  <c:v>2.7312326181679083</c:v>
                </c:pt>
                <c:pt idx="33">
                  <c:v>2.5469084776798345</c:v>
                </c:pt>
                <c:pt idx="34">
                  <c:v>2.3570751291537926</c:v>
                </c:pt>
                <c:pt idx="35">
                  <c:v>2.1559351083516014</c:v>
                </c:pt>
                <c:pt idx="36">
                  <c:v>2.1254365223425054</c:v>
                </c:pt>
                <c:pt idx="37">
                  <c:v>2.0937895108052982</c:v>
                </c:pt>
                <c:pt idx="38">
                  <c:v>2.0610110458363797</c:v>
                </c:pt>
                <c:pt idx="39">
                  <c:v>2.02711802848287</c:v>
                </c:pt>
                <c:pt idx="40">
                  <c:v>1.9921272887426078</c:v>
                </c:pt>
                <c:pt idx="41">
                  <c:v>1.9475199259153508</c:v>
                </c:pt>
                <c:pt idx="42">
                  <c:v>1.9021451520603438</c:v>
                </c:pt>
                <c:pt idx="43">
                  <c:v>1.8560347945211042</c:v>
                </c:pt>
                <c:pt idx="44">
                  <c:v>1.8092204186469223</c:v>
                </c:pt>
                <c:pt idx="45">
                  <c:v>1.7617333277928595</c:v>
                </c:pt>
                <c:pt idx="46">
                  <c:v>1.7044206800989321</c:v>
                </c:pt>
                <c:pt idx="47">
                  <c:v>1.6469082354318223</c:v>
                </c:pt>
                <c:pt idx="48">
                  <c:v>1.5892437022557468</c:v>
                </c:pt>
                <c:pt idx="49">
                  <c:v>1.5314743005711062</c:v>
                </c:pt>
                <c:pt idx="50">
                  <c:v>1.473646761914486</c:v>
                </c:pt>
                <c:pt idx="51">
                  <c:v>1.4213657428782953</c:v>
                </c:pt>
                <c:pt idx="52">
                  <c:v>1.3687979100424978</c:v>
                </c:pt>
                <c:pt idx="53">
                  <c:v>1.3159773145702558</c:v>
                </c:pt>
                <c:pt idx="54">
                  <c:v>1.2629376745812229</c:v>
                </c:pt>
                <c:pt idx="55">
                  <c:v>1.2097123751515415</c:v>
                </c:pt>
                <c:pt idx="56">
                  <c:v>1.1590314583274064</c:v>
                </c:pt>
                <c:pt idx="57">
                  <c:v>1.1080264926951771</c:v>
                </c:pt>
                <c:pt idx="58">
                  <c:v>1.0567237886828458</c:v>
                </c:pt>
                <c:pt idx="59">
                  <c:v>1.0051494124864981</c:v>
                </c:pt>
                <c:pt idx="60">
                  <c:v>0.95332918607031014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2FFF-DB47-9CFA-BAE57D47B71C}"/>
            </c:ext>
          </c:extLst>
        </c:ser>
        <c:ser>
          <c:idx val="8"/>
          <c:order val="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'Fig1_non-CO2_emissions'!$AQ$147:$AQ$207</c:f>
              <c:numCache>
                <c:formatCode>0.0</c:formatCode>
                <c:ptCount val="61"/>
                <c:pt idx="0">
                  <c:v>2.1650239596939462</c:v>
                </c:pt>
                <c:pt idx="1">
                  <c:v>2.0942230976231815</c:v>
                </c:pt>
                <c:pt idx="2">
                  <c:v>2.10022413004826</c:v>
                </c:pt>
                <c:pt idx="3">
                  <c:v>2.1205650914227849</c:v>
                </c:pt>
                <c:pt idx="4">
                  <c:v>2.2168520454695702</c:v>
                </c:pt>
                <c:pt idx="5">
                  <c:v>2.272478231321394</c:v>
                </c:pt>
                <c:pt idx="6">
                  <c:v>2.3689132672468078</c:v>
                </c:pt>
                <c:pt idx="7">
                  <c:v>2.4500872935028064</c:v>
                </c:pt>
                <c:pt idx="8">
                  <c:v>2.5051377324365602</c:v>
                </c:pt>
                <c:pt idx="9">
                  <c:v>2.5919811791886591</c:v>
                </c:pt>
                <c:pt idx="10">
                  <c:v>2.6817045040205145</c:v>
                </c:pt>
                <c:pt idx="11">
                  <c:v>2.6271846441731239</c:v>
                </c:pt>
                <c:pt idx="12">
                  <c:v>2.6484541189487851</c:v>
                </c:pt>
                <c:pt idx="13">
                  <c:v>2.6334612575460765</c:v>
                </c:pt>
                <c:pt idx="14">
                  <c:v>2.8016170927728159</c:v>
                </c:pt>
                <c:pt idx="15">
                  <c:v>2.9248440855807738</c:v>
                </c:pt>
                <c:pt idx="16">
                  <c:v>2.958093327163092</c:v>
                </c:pt>
                <c:pt idx="17">
                  <c:v>3.0383274051238502</c:v>
                </c:pt>
                <c:pt idx="18">
                  <c:v>3.0014029885769351</c:v>
                </c:pt>
                <c:pt idx="19">
                  <c:v>2.8496613720898671</c:v>
                </c:pt>
                <c:pt idx="20">
                  <c:v>3.0043914981506665</c:v>
                </c:pt>
                <c:pt idx="21">
                  <c:v>3.0758555840793878</c:v>
                </c:pt>
                <c:pt idx="22">
                  <c:v>3.0983434468216888</c:v>
                </c:pt>
                <c:pt idx="23">
                  <c:v>3.1972895854920478</c:v>
                </c:pt>
                <c:pt idx="24">
                  <c:v>3.2996467530732323</c:v>
                </c:pt>
                <c:pt idx="25">
                  <c:v>3.4816228013124517</c:v>
                </c:pt>
                <c:pt idx="26">
                  <c:v>3.6338847054811905</c:v>
                </c:pt>
                <c:pt idx="27">
                  <c:v>3.8746692706010064</c:v>
                </c:pt>
                <c:pt idx="28">
                  <c:v>4.0459256773636838</c:v>
                </c:pt>
                <c:pt idx="29">
                  <c:v>4.1079999999999988</c:v>
                </c:pt>
                <c:pt idx="30">
                  <c:v>2.4239999999999986</c:v>
                </c:pt>
                <c:pt idx="31">
                  <c:v>2.9051749429714051</c:v>
                </c:pt>
                <c:pt idx="32">
                  <c:v>2.7312326181679083</c:v>
                </c:pt>
                <c:pt idx="33">
                  <c:v>2.5283821937377318</c:v>
                </c:pt>
                <c:pt idx="34">
                  <c:v>2.3227269249305764</c:v>
                </c:pt>
                <c:pt idx="35">
                  <c:v>2.0925059819688121</c:v>
                </c:pt>
                <c:pt idx="36">
                  <c:v>2.0313112113260803</c:v>
                </c:pt>
                <c:pt idx="37">
                  <c:v>1.9700490281166256</c:v>
                </c:pt>
                <c:pt idx="38">
                  <c:v>1.9087835384505036</c:v>
                </c:pt>
                <c:pt idx="39">
                  <c:v>1.8475773235132718</c:v>
                </c:pt>
                <c:pt idx="40">
                  <c:v>1.7864914395659972</c:v>
                </c:pt>
                <c:pt idx="41">
                  <c:v>1.7255854179452488</c:v>
                </c:pt>
                <c:pt idx="42">
                  <c:v>1.6649172650631012</c:v>
                </c:pt>
                <c:pt idx="43">
                  <c:v>1.6045434624071335</c:v>
                </c:pt>
                <c:pt idx="44">
                  <c:v>1.5445189665404306</c:v>
                </c:pt>
                <c:pt idx="45">
                  <c:v>1.4848972091015815</c:v>
                </c:pt>
                <c:pt idx="46">
                  <c:v>1.4257300968046798</c:v>
                </c:pt>
                <c:pt idx="47">
                  <c:v>1.3670680114393245</c:v>
                </c:pt>
                <c:pt idx="48">
                  <c:v>1.3089598098706192</c:v>
                </c:pt>
                <c:pt idx="49">
                  <c:v>1.2514528240391738</c:v>
                </c:pt>
                <c:pt idx="50">
                  <c:v>1.1945928609610998</c:v>
                </c:pt>
                <c:pt idx="51">
                  <c:v>1.1384242027280169</c:v>
                </c:pt>
                <c:pt idx="52">
                  <c:v>1.0829896065070479</c:v>
                </c:pt>
                <c:pt idx="53">
                  <c:v>1.028330304540821</c:v>
                </c:pt>
                <c:pt idx="54">
                  <c:v>0.97448600414746878</c:v>
                </c:pt>
                <c:pt idx="55">
                  <c:v>0.9214948877206296</c:v>
                </c:pt>
                <c:pt idx="56">
                  <c:v>0.86939361272944571</c:v>
                </c:pt>
                <c:pt idx="57">
                  <c:v>0.81821731171856482</c:v>
                </c:pt>
                <c:pt idx="58">
                  <c:v>0.76799959230813908</c:v>
                </c:pt>
                <c:pt idx="59">
                  <c:v>0.71877253719382628</c:v>
                </c:pt>
                <c:pt idx="60">
                  <c:v>0.67056670414678776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2FFF-DB47-9CFA-BAE57D47B71C}"/>
            </c:ext>
          </c:extLst>
        </c:ser>
        <c:ser>
          <c:idx val="9"/>
          <c:order val="9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'Fig1_non-CO2_emissions'!$O$11:$O$42</c:f>
              <c:numCache>
                <c:formatCode>_(* #,##0.0_);_(* \(#,##0.0\);_(* "-"??_);_(@_)</c:formatCode>
                <c:ptCount val="32"/>
                <c:pt idx="0">
                  <c:v>2.1707911200000001</c:v>
                </c:pt>
                <c:pt idx="1">
                  <c:v>2.1024830240000001</c:v>
                </c:pt>
                <c:pt idx="2">
                  <c:v>2.1166633839999998</c:v>
                </c:pt>
                <c:pt idx="3">
                  <c:v>2.1345270159999998</c:v>
                </c:pt>
                <c:pt idx="4">
                  <c:v>2.2268306680000007</c:v>
                </c:pt>
                <c:pt idx="5">
                  <c:v>2.2830621039999999</c:v>
                </c:pt>
                <c:pt idx="6">
                  <c:v>2.3884851280000006</c:v>
                </c:pt>
                <c:pt idx="7">
                  <c:v>2.4649139320000004</c:v>
                </c:pt>
                <c:pt idx="8">
                  <c:v>2.512036368</c:v>
                </c:pt>
                <c:pt idx="9">
                  <c:v>2.5965867280000001</c:v>
                </c:pt>
                <c:pt idx="10">
                  <c:v>2.6990871880000005</c:v>
                </c:pt>
                <c:pt idx="11">
                  <c:v>2.6375866559999999</c:v>
                </c:pt>
                <c:pt idx="12">
                  <c:v>2.661641688</c:v>
                </c:pt>
                <c:pt idx="13">
                  <c:v>2.6450131840000002</c:v>
                </c:pt>
                <c:pt idx="14">
                  <c:v>2.8157235440000004</c:v>
                </c:pt>
                <c:pt idx="15">
                  <c:v>2.9282112319999998</c:v>
                </c:pt>
                <c:pt idx="16">
                  <c:v>2.9635027319999998</c:v>
                </c:pt>
                <c:pt idx="17">
                  <c:v>3.0390988439999997</c:v>
                </c:pt>
                <c:pt idx="18">
                  <c:v>3.0102704360000003</c:v>
                </c:pt>
                <c:pt idx="19">
                  <c:v>2.8483658360000002</c:v>
                </c:pt>
                <c:pt idx="20">
                  <c:v>3.0015623360000001</c:v>
                </c:pt>
                <c:pt idx="21">
                  <c:v>3.0847666640000004</c:v>
                </c:pt>
                <c:pt idx="22">
                  <c:v>3.1223751120000003</c:v>
                </c:pt>
                <c:pt idx="23">
                  <c:v>3.1997431199999999</c:v>
                </c:pt>
                <c:pt idx="24">
                  <c:v>3.3053190640000003</c:v>
                </c:pt>
                <c:pt idx="25">
                  <c:v>3.4877204280000003</c:v>
                </c:pt>
                <c:pt idx="26">
                  <c:v>3.6526199760000004</c:v>
                </c:pt>
                <c:pt idx="27">
                  <c:v>3.8824854920000003</c:v>
                </c:pt>
                <c:pt idx="28">
                  <c:v>4.030460884</c:v>
                </c:pt>
                <c:pt idx="29">
                  <c:v>4.1079999999999997</c:v>
                </c:pt>
                <c:pt idx="30">
                  <c:v>2.4239999999999999</c:v>
                </c:pt>
                <c:pt idx="31">
                  <c:v>2.9051749429714047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2FFF-DB47-9CFA-BAE57D47B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25615"/>
        <c:axId val="171880111"/>
      </c:lineChart>
      <c:catAx>
        <c:axId val="166582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0111"/>
        <c:crosses val="autoZero"/>
        <c:auto val="1"/>
        <c:lblAlgn val="ctr"/>
        <c:lblOffset val="100"/>
        <c:noMultiLvlLbl val="0"/>
      </c:catAx>
      <c:valAx>
        <c:axId val="171880111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2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'Fig1_non-CO2_emissions'!$A$11:$A$71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'Fig1_non-CO2_emissions'!$P$11:$P$71</c:f>
              <c:numCache>
                <c:formatCode>_(* #,##0.0_);_(* \(#,##0.0\);_(* "-"??_);_(@_)</c:formatCode>
                <c:ptCount val="61"/>
                <c:pt idx="0">
                  <c:v>1.2482048939999999</c:v>
                </c:pt>
                <c:pt idx="1">
                  <c:v>1.2089277387999999</c:v>
                </c:pt>
                <c:pt idx="2">
                  <c:v>1.2170814457999997</c:v>
                </c:pt>
                <c:pt idx="3">
                  <c:v>1.2273530341999999</c:v>
                </c:pt>
                <c:pt idx="4">
                  <c:v>1.2804276341000003</c:v>
                </c:pt>
                <c:pt idx="5">
                  <c:v>1.3127607097999998</c:v>
                </c:pt>
                <c:pt idx="6">
                  <c:v>1.3733789486000003</c:v>
                </c:pt>
                <c:pt idx="7">
                  <c:v>1.4173255109</c:v>
                </c:pt>
                <c:pt idx="8">
                  <c:v>1.4444209116</c:v>
                </c:pt>
                <c:pt idx="9">
                  <c:v>1.4930373686</c:v>
                </c:pt>
                <c:pt idx="10">
                  <c:v>1.5519751331000002</c:v>
                </c:pt>
                <c:pt idx="11">
                  <c:v>1.5166123271999998</c:v>
                </c:pt>
                <c:pt idx="12">
                  <c:v>1.5304439705999999</c:v>
                </c:pt>
                <c:pt idx="13">
                  <c:v>1.5208825807999999</c:v>
                </c:pt>
                <c:pt idx="14">
                  <c:v>1.6190410378</c:v>
                </c:pt>
                <c:pt idx="15">
                  <c:v>1.6837214583999998</c:v>
                </c:pt>
                <c:pt idx="16">
                  <c:v>1.7040140708999998</c:v>
                </c:pt>
                <c:pt idx="17">
                  <c:v>1.7474818352999997</c:v>
                </c:pt>
                <c:pt idx="18">
                  <c:v>1.7309055007</c:v>
                </c:pt>
                <c:pt idx="19">
                  <c:v>1.6378103556999999</c:v>
                </c:pt>
                <c:pt idx="20">
                  <c:v>1.7258983431999999</c:v>
                </c:pt>
                <c:pt idx="21">
                  <c:v>1.7737408318000001</c:v>
                </c:pt>
                <c:pt idx="22">
                  <c:v>1.7953656894000001</c:v>
                </c:pt>
                <c:pt idx="23">
                  <c:v>1.8398522939999997</c:v>
                </c:pt>
                <c:pt idx="24">
                  <c:v>1.9005584618</c:v>
                </c:pt>
                <c:pt idx="25">
                  <c:v>2.0054392460999999</c:v>
                </c:pt>
                <c:pt idx="26">
                  <c:v>2.1002564862000002</c:v>
                </c:pt>
                <c:pt idx="27">
                  <c:v>2.2324291579</c:v>
                </c:pt>
                <c:pt idx="28">
                  <c:v>2.3175150083</c:v>
                </c:pt>
                <c:pt idx="29">
                  <c:v>2.3620999999999994</c:v>
                </c:pt>
                <c:pt idx="30">
                  <c:v>1.3937999999999999</c:v>
                </c:pt>
                <c:pt idx="31">
                  <c:v>1.6704755922085575</c:v>
                </c:pt>
                <c:pt idx="32">
                  <c:v>1.8327330883712958</c:v>
                </c:pt>
                <c:pt idx="33">
                  <c:v>1.9923747355523005</c:v>
                </c:pt>
                <c:pt idx="34">
                  <c:v>2.1494601968972109</c:v>
                </c:pt>
                <c:pt idx="35">
                  <c:v>2.2130842187253688</c:v>
                </c:pt>
                <c:pt idx="36">
                  <c:v>2.2785915115996405</c:v>
                </c:pt>
                <c:pt idx="37">
                  <c:v>2.3460378203429899</c:v>
                </c:pt>
                <c:pt idx="38">
                  <c:v>2.4154805398251424</c:v>
                </c:pt>
                <c:pt idx="39">
                  <c:v>2.4869787638039669</c:v>
                </c:pt>
                <c:pt idx="40">
                  <c:v>2.5605933352125638</c:v>
                </c:pt>
                <c:pt idx="41">
                  <c:v>2.6363868979348566</c:v>
                </c:pt>
                <c:pt idx="42">
                  <c:v>2.7144239501137286</c:v>
                </c:pt>
                <c:pt idx="43">
                  <c:v>2.7947708990370943</c:v>
                </c:pt>
                <c:pt idx="44">
                  <c:v>2.8774961176485929</c:v>
                </c:pt>
                <c:pt idx="45">
                  <c:v>2.9626700027309902</c:v>
                </c:pt>
                <c:pt idx="46">
                  <c:v>3.0503650348118287</c:v>
                </c:pt>
                <c:pt idx="47">
                  <c:v>3.140655839842259</c:v>
                </c:pt>
                <c:pt idx="48">
                  <c:v>3.233619252701589</c:v>
                </c:pt>
                <c:pt idx="49">
                  <c:v>3.3293343825815569</c:v>
                </c:pt>
                <c:pt idx="50">
                  <c:v>3.4278826803059714</c:v>
                </c:pt>
                <c:pt idx="51">
                  <c:v>3.5293480076430273</c:v>
                </c:pt>
                <c:pt idx="52">
                  <c:v>3.6338167086692619</c:v>
                </c:pt>
                <c:pt idx="53">
                  <c:v>3.7413776832458714</c:v>
                </c:pt>
                <c:pt idx="54">
                  <c:v>3.85212246266995</c:v>
                </c:pt>
                <c:pt idx="55">
                  <c:v>3.9661452875649799</c:v>
                </c:pt>
                <c:pt idx="56">
                  <c:v>4.083543188076904</c:v>
                </c:pt>
                <c:pt idx="57">
                  <c:v>4.2044160664439802</c:v>
                </c:pt>
                <c:pt idx="58">
                  <c:v>4.3288667820107225</c:v>
                </c:pt>
                <c:pt idx="59">
                  <c:v>4.4570012387582398</c:v>
                </c:pt>
                <c:pt idx="60">
                  <c:v>4.588928475425484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C-834E-A24D-EA575C42AB6A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'Fig1_non-CO2_emissions'!$AD$11:$AD$71</c:f>
              <c:numCache>
                <c:formatCode>0.0</c:formatCode>
                <c:ptCount val="61"/>
                <c:pt idx="0">
                  <c:v>1.2448887768240191</c:v>
                </c:pt>
                <c:pt idx="1">
                  <c:v>1.2041782811333293</c:v>
                </c:pt>
                <c:pt idx="2">
                  <c:v>1.2076288747777493</c:v>
                </c:pt>
                <c:pt idx="3">
                  <c:v>1.2193249275681015</c:v>
                </c:pt>
                <c:pt idx="4">
                  <c:v>1.2746899261450029</c:v>
                </c:pt>
                <c:pt idx="5">
                  <c:v>1.3066749830098014</c:v>
                </c:pt>
                <c:pt idx="6">
                  <c:v>1.3621251286669145</c:v>
                </c:pt>
                <c:pt idx="7">
                  <c:v>1.4088001937641135</c:v>
                </c:pt>
                <c:pt idx="8">
                  <c:v>1.4404541961510222</c:v>
                </c:pt>
                <c:pt idx="9">
                  <c:v>1.490389178033479</c:v>
                </c:pt>
                <c:pt idx="10">
                  <c:v>1.5419800898117957</c:v>
                </c:pt>
                <c:pt idx="11">
                  <c:v>1.5106311703995459</c:v>
                </c:pt>
                <c:pt idx="12">
                  <c:v>1.5228611183955514</c:v>
                </c:pt>
                <c:pt idx="13">
                  <c:v>1.5142402230889938</c:v>
                </c:pt>
                <c:pt idx="14">
                  <c:v>1.6109298283443689</c:v>
                </c:pt>
                <c:pt idx="15">
                  <c:v>1.6817853492089447</c:v>
                </c:pt>
                <c:pt idx="16">
                  <c:v>1.7009036631187777</c:v>
                </c:pt>
                <c:pt idx="17">
                  <c:v>1.7470382579462138</c:v>
                </c:pt>
                <c:pt idx="18">
                  <c:v>1.7258067184317376</c:v>
                </c:pt>
                <c:pt idx="19">
                  <c:v>1.6385552889516735</c:v>
                </c:pt>
                <c:pt idx="20">
                  <c:v>1.7275251114366335</c:v>
                </c:pt>
                <c:pt idx="21">
                  <c:v>1.7686169608456477</c:v>
                </c:pt>
                <c:pt idx="22">
                  <c:v>1.7815474819224708</c:v>
                </c:pt>
                <c:pt idx="23">
                  <c:v>1.8384415116579274</c:v>
                </c:pt>
                <c:pt idx="24">
                  <c:v>1.8972968830171082</c:v>
                </c:pt>
                <c:pt idx="25">
                  <c:v>2.0019331107546599</c:v>
                </c:pt>
                <c:pt idx="26">
                  <c:v>2.0894837056516846</c:v>
                </c:pt>
                <c:pt idx="27">
                  <c:v>2.2279348305955788</c:v>
                </c:pt>
                <c:pt idx="28">
                  <c:v>2.3264072644841178</c:v>
                </c:pt>
                <c:pt idx="29">
                  <c:v>2.3620999999999994</c:v>
                </c:pt>
                <c:pt idx="30">
                  <c:v>1.3937999999999993</c:v>
                </c:pt>
                <c:pt idx="31">
                  <c:v>1.6704755922085577</c:v>
                </c:pt>
                <c:pt idx="32">
                  <c:v>1.8327330883712958</c:v>
                </c:pt>
                <c:pt idx="33">
                  <c:v>1.9865997363188157</c:v>
                </c:pt>
                <c:pt idx="34">
                  <c:v>2.1369995580746184</c:v>
                </c:pt>
                <c:pt idx="35">
                  <c:v>2.1879254154658447</c:v>
                </c:pt>
                <c:pt idx="36">
                  <c:v>2.2402921021956756</c:v>
                </c:pt>
                <c:pt idx="37">
                  <c:v>2.293877123591348</c:v>
                </c:pt>
                <c:pt idx="38">
                  <c:v>2.3487077653753206</c:v>
                </c:pt>
                <c:pt idx="39">
                  <c:v>2.4048118919691519</c:v>
                </c:pt>
                <c:pt idx="40">
                  <c:v>2.4622179577587082</c:v>
                </c:pt>
                <c:pt idx="41">
                  <c:v>2.5016115021655452</c:v>
                </c:pt>
                <c:pt idx="42">
                  <c:v>2.5413300273871182</c:v>
                </c:pt>
                <c:pt idx="43">
                  <c:v>2.5813627025639958</c:v>
                </c:pt>
                <c:pt idx="44">
                  <c:v>2.6216979024962743</c:v>
                </c:pt>
                <c:pt idx="45">
                  <c:v>2.6623231740029998</c:v>
                </c:pt>
                <c:pt idx="46">
                  <c:v>2.6770450861647284</c:v>
                </c:pt>
                <c:pt idx="47">
                  <c:v>2.6906298772006814</c:v>
                </c:pt>
                <c:pt idx="48">
                  <c:v>2.7030069200869504</c:v>
                </c:pt>
                <c:pt idx="49">
                  <c:v>2.7141026868230518</c:v>
                </c:pt>
                <c:pt idx="50">
                  <c:v>2.7238406469764525</c:v>
                </c:pt>
                <c:pt idx="51">
                  <c:v>2.7526395425837635</c:v>
                </c:pt>
                <c:pt idx="52">
                  <c:v>2.7810123804988156</c:v>
                </c:pt>
                <c:pt idx="53">
                  <c:v>2.8089162704759554</c:v>
                </c:pt>
                <c:pt idx="54">
                  <c:v>2.8363063803800812</c:v>
                </c:pt>
                <c:pt idx="55">
                  <c:v>2.8631358654334753</c:v>
                </c:pt>
                <c:pt idx="56">
                  <c:v>2.9027169780395141</c:v>
                </c:pt>
                <c:pt idx="57">
                  <c:v>2.942349572892609</c:v>
                </c:pt>
                <c:pt idx="58">
                  <c:v>2.9820084369809847</c:v>
                </c:pt>
                <c:pt idx="59">
                  <c:v>3.0216670095672353</c:v>
                </c:pt>
                <c:pt idx="60">
                  <c:v>3.0612973301173469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C-834E-A24D-EA575C42AB6A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'Fig1_non-CO2_emissions'!$AR$11:$AR$71</c:f>
              <c:numCache>
                <c:formatCode>0.0</c:formatCode>
                <c:ptCount val="61"/>
                <c:pt idx="0">
                  <c:v>1.2448887768240191</c:v>
                </c:pt>
                <c:pt idx="1">
                  <c:v>1.2041782811333293</c:v>
                </c:pt>
                <c:pt idx="2">
                  <c:v>1.2076288747777493</c:v>
                </c:pt>
                <c:pt idx="3">
                  <c:v>1.2193249275681015</c:v>
                </c:pt>
                <c:pt idx="4">
                  <c:v>1.2746899261450029</c:v>
                </c:pt>
                <c:pt idx="5">
                  <c:v>1.3066749830098014</c:v>
                </c:pt>
                <c:pt idx="6">
                  <c:v>1.3621251286669145</c:v>
                </c:pt>
                <c:pt idx="7">
                  <c:v>1.4088001937641135</c:v>
                </c:pt>
                <c:pt idx="8">
                  <c:v>1.4404541961510222</c:v>
                </c:pt>
                <c:pt idx="9">
                  <c:v>1.490389178033479</c:v>
                </c:pt>
                <c:pt idx="10">
                  <c:v>1.5419800898117957</c:v>
                </c:pt>
                <c:pt idx="11">
                  <c:v>1.5106311703995459</c:v>
                </c:pt>
                <c:pt idx="12">
                  <c:v>1.5228611183955514</c:v>
                </c:pt>
                <c:pt idx="13">
                  <c:v>1.5142402230889938</c:v>
                </c:pt>
                <c:pt idx="14">
                  <c:v>1.6109298283443689</c:v>
                </c:pt>
                <c:pt idx="15">
                  <c:v>1.6817853492089447</c:v>
                </c:pt>
                <c:pt idx="16">
                  <c:v>1.7009036631187777</c:v>
                </c:pt>
                <c:pt idx="17">
                  <c:v>1.7470382579462138</c:v>
                </c:pt>
                <c:pt idx="18">
                  <c:v>1.7258067184317376</c:v>
                </c:pt>
                <c:pt idx="19">
                  <c:v>1.6385552889516735</c:v>
                </c:pt>
                <c:pt idx="20">
                  <c:v>1.7275251114366335</c:v>
                </c:pt>
                <c:pt idx="21">
                  <c:v>1.7686169608456477</c:v>
                </c:pt>
                <c:pt idx="22">
                  <c:v>1.7815474819224708</c:v>
                </c:pt>
                <c:pt idx="23">
                  <c:v>1.8384415116579274</c:v>
                </c:pt>
                <c:pt idx="24">
                  <c:v>1.8972968830171082</c:v>
                </c:pt>
                <c:pt idx="25">
                  <c:v>2.0019331107546599</c:v>
                </c:pt>
                <c:pt idx="26">
                  <c:v>2.0894837056516846</c:v>
                </c:pt>
                <c:pt idx="27">
                  <c:v>2.2279348305955788</c:v>
                </c:pt>
                <c:pt idx="28">
                  <c:v>2.3264072644841178</c:v>
                </c:pt>
                <c:pt idx="29">
                  <c:v>2.3620999999999994</c:v>
                </c:pt>
                <c:pt idx="30">
                  <c:v>1.3937999999999993</c:v>
                </c:pt>
                <c:pt idx="31">
                  <c:v>1.6704755922085577</c:v>
                </c:pt>
                <c:pt idx="32">
                  <c:v>1.8327330883712958</c:v>
                </c:pt>
                <c:pt idx="33">
                  <c:v>1.961437239658631</c:v>
                </c:pt>
                <c:pt idx="34">
                  <c:v>2.0827067746333223</c:v>
                </c:pt>
                <c:pt idx="35">
                  <c:v>2.0881112577302683</c:v>
                </c:pt>
                <c:pt idx="36">
                  <c:v>2.0927446671139407</c:v>
                </c:pt>
                <c:pt idx="37">
                  <c:v>2.0965783394801512</c:v>
                </c:pt>
                <c:pt idx="38">
                  <c:v>2.0995832331368174</c:v>
                </c:pt>
                <c:pt idx="39">
                  <c:v>2.1017299497467485</c:v>
                </c:pt>
                <c:pt idx="40">
                  <c:v>2.1029887582524229</c:v>
                </c:pt>
                <c:pt idx="41">
                  <c:v>2.1033296211095363</c:v>
                </c:pt>
                <c:pt idx="42">
                  <c:v>2.1027222229622136</c:v>
                </c:pt>
                <c:pt idx="43">
                  <c:v>2.1011360018991168</c:v>
                </c:pt>
                <c:pt idx="44">
                  <c:v>2.0985401834363229</c:v>
                </c:pt>
                <c:pt idx="45">
                  <c:v>2.0949038173797216</c:v>
                </c:pt>
                <c:pt idx="46">
                  <c:v>2.0901958177269528</c:v>
                </c:pt>
                <c:pt idx="47">
                  <c:v>2.0843850057763542</c:v>
                </c:pt>
                <c:pt idx="48">
                  <c:v>2.0774401566182936</c:v>
                </c:pt>
                <c:pt idx="49">
                  <c:v>2.0693300491923887</c:v>
                </c:pt>
                <c:pt idx="50">
                  <c:v>2.0600235201026615</c:v>
                </c:pt>
                <c:pt idx="51">
                  <c:v>2.0494895213915729</c:v>
                </c:pt>
                <c:pt idx="52">
                  <c:v>2.0376971824831198</c:v>
                </c:pt>
                <c:pt idx="53">
                  <c:v>2.024615876514845</c:v>
                </c:pt>
                <c:pt idx="54">
                  <c:v>2.0102152912886879</c:v>
                </c:pt>
                <c:pt idx="55">
                  <c:v>1.9944655050810558</c:v>
                </c:pt>
                <c:pt idx="56">
                  <c:v>1.9773370675634632</c:v>
                </c:pt>
                <c:pt idx="57">
                  <c:v>1.9588010860964313</c:v>
                </c:pt>
                <c:pt idx="58">
                  <c:v>1.9388293176712461</c:v>
                </c:pt>
                <c:pt idx="59">
                  <c:v>1.9173942667864854</c:v>
                </c:pt>
                <c:pt idx="60">
                  <c:v>1.8944692895591326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C-834E-A24D-EA575C42AB6A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'Fig1_non-CO2_emissions'!$P$79:$P$139</c:f>
              <c:numCache>
                <c:formatCode>_(* #,##0.0_);_(* \(#,##0.0\);_(* "-"??_);_(@_)</c:formatCode>
                <c:ptCount val="61"/>
                <c:pt idx="0">
                  <c:v>1.2482048939999999</c:v>
                </c:pt>
                <c:pt idx="1">
                  <c:v>1.2089277387999999</c:v>
                </c:pt>
                <c:pt idx="2">
                  <c:v>1.2170814457999997</c:v>
                </c:pt>
                <c:pt idx="3">
                  <c:v>1.2273530341999999</c:v>
                </c:pt>
                <c:pt idx="4">
                  <c:v>1.2804276341000003</c:v>
                </c:pt>
                <c:pt idx="5">
                  <c:v>1.3127607097999998</c:v>
                </c:pt>
                <c:pt idx="6">
                  <c:v>1.3733789486000003</c:v>
                </c:pt>
                <c:pt idx="7">
                  <c:v>1.4173255109</c:v>
                </c:pt>
                <c:pt idx="8">
                  <c:v>1.4444209116</c:v>
                </c:pt>
                <c:pt idx="9">
                  <c:v>1.4930373686</c:v>
                </c:pt>
                <c:pt idx="10">
                  <c:v>1.5519751331000002</c:v>
                </c:pt>
                <c:pt idx="11">
                  <c:v>1.5166123271999998</c:v>
                </c:pt>
                <c:pt idx="12">
                  <c:v>1.5304439705999999</c:v>
                </c:pt>
                <c:pt idx="13">
                  <c:v>1.5208825807999999</c:v>
                </c:pt>
                <c:pt idx="14">
                  <c:v>1.6190410378</c:v>
                </c:pt>
                <c:pt idx="15">
                  <c:v>1.6837214583999998</c:v>
                </c:pt>
                <c:pt idx="16">
                  <c:v>1.7040140708999998</c:v>
                </c:pt>
                <c:pt idx="17">
                  <c:v>1.7474818352999997</c:v>
                </c:pt>
                <c:pt idx="18">
                  <c:v>1.7309055007</c:v>
                </c:pt>
                <c:pt idx="19">
                  <c:v>1.6378103556999999</c:v>
                </c:pt>
                <c:pt idx="20">
                  <c:v>1.7258983431999999</c:v>
                </c:pt>
                <c:pt idx="21">
                  <c:v>1.7737408318000001</c:v>
                </c:pt>
                <c:pt idx="22">
                  <c:v>1.7953656894000001</c:v>
                </c:pt>
                <c:pt idx="23">
                  <c:v>1.8398522939999997</c:v>
                </c:pt>
                <c:pt idx="24">
                  <c:v>1.9005584618</c:v>
                </c:pt>
                <c:pt idx="25">
                  <c:v>2.0054392460999999</c:v>
                </c:pt>
                <c:pt idx="26">
                  <c:v>2.1002564862000002</c:v>
                </c:pt>
                <c:pt idx="27">
                  <c:v>2.2324291579</c:v>
                </c:pt>
                <c:pt idx="28">
                  <c:v>2.3175150083</c:v>
                </c:pt>
                <c:pt idx="29">
                  <c:v>2.3620999999999994</c:v>
                </c:pt>
                <c:pt idx="30">
                  <c:v>1.3937999999999999</c:v>
                </c:pt>
                <c:pt idx="31">
                  <c:v>1.6704755922085575</c:v>
                </c:pt>
                <c:pt idx="32">
                  <c:v>1.8072532945046129</c:v>
                </c:pt>
                <c:pt idx="33">
                  <c:v>1.9382213929263841</c:v>
                </c:pt>
                <c:pt idx="34">
                  <c:v>2.0635593672735331</c:v>
                </c:pt>
                <c:pt idx="35">
                  <c:v>2.0794168563642286</c:v>
                </c:pt>
                <c:pt idx="36">
                  <c:v>2.0953995486223822</c:v>
                </c:pt>
                <c:pt idx="37">
                  <c:v>2.1115084526821049</c:v>
                </c:pt>
                <c:pt idx="38">
                  <c:v>2.1277445854204458</c:v>
                </c:pt>
                <c:pt idx="39">
                  <c:v>2.1441089720254292</c:v>
                </c:pt>
                <c:pt idx="40">
                  <c:v>2.1606026460646581</c:v>
                </c:pt>
                <c:pt idx="41">
                  <c:v>2.1772266495544903</c:v>
                </c:pt>
                <c:pt idx="42">
                  <c:v>2.1939820330297759</c:v>
                </c:pt>
                <c:pt idx="43">
                  <c:v>2.2108698556141957</c:v>
                </c:pt>
                <c:pt idx="44">
                  <c:v>2.2278911850911642</c:v>
                </c:pt>
                <c:pt idx="45">
                  <c:v>2.2450470979753319</c:v>
                </c:pt>
                <c:pt idx="46">
                  <c:v>2.2623386795846834</c:v>
                </c:pt>
                <c:pt idx="47">
                  <c:v>2.2797670241132302</c:v>
                </c:pt>
                <c:pt idx="48">
                  <c:v>2.2973332347043045</c:v>
                </c:pt>
                <c:pt idx="49">
                  <c:v>2.3150384235244754</c:v>
                </c:pt>
                <c:pt idx="50">
                  <c:v>2.3328837118380648</c:v>
                </c:pt>
                <c:pt idx="51">
                  <c:v>2.3508702300822892</c:v>
                </c:pt>
                <c:pt idx="52">
                  <c:v>2.368999117943031</c:v>
                </c:pt>
                <c:pt idx="53">
                  <c:v>2.3872715244312284</c:v>
                </c:pt>
                <c:pt idx="54">
                  <c:v>2.4056886079599118</c:v>
                </c:pt>
                <c:pt idx="55">
                  <c:v>2.4242515364218713</c:v>
                </c:pt>
                <c:pt idx="56">
                  <c:v>2.4429614872679797</c:v>
                </c:pt>
                <c:pt idx="57">
                  <c:v>2.461819647586156</c:v>
                </c:pt>
                <c:pt idx="58">
                  <c:v>2.4808272141809931</c:v>
                </c:pt>
                <c:pt idx="59">
                  <c:v>2.4999853936540486</c:v>
                </c:pt>
                <c:pt idx="60">
                  <c:v>2.5192954024847927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C-834E-A24D-EA575C42AB6A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'Fig1_non-CO2_emissions'!$AD$79:$AD$139</c:f>
              <c:numCache>
                <c:formatCode>0.0</c:formatCode>
                <c:ptCount val="61"/>
                <c:pt idx="0">
                  <c:v>1.2448887768240191</c:v>
                </c:pt>
                <c:pt idx="1">
                  <c:v>1.2041782811333293</c:v>
                </c:pt>
                <c:pt idx="2">
                  <c:v>1.2076288747777493</c:v>
                </c:pt>
                <c:pt idx="3">
                  <c:v>1.2193249275681015</c:v>
                </c:pt>
                <c:pt idx="4">
                  <c:v>1.2746899261450029</c:v>
                </c:pt>
                <c:pt idx="5">
                  <c:v>1.3066749830098014</c:v>
                </c:pt>
                <c:pt idx="6">
                  <c:v>1.3621251286669145</c:v>
                </c:pt>
                <c:pt idx="7">
                  <c:v>1.4088001937641135</c:v>
                </c:pt>
                <c:pt idx="8">
                  <c:v>1.4404541961510222</c:v>
                </c:pt>
                <c:pt idx="9">
                  <c:v>1.490389178033479</c:v>
                </c:pt>
                <c:pt idx="10">
                  <c:v>1.5419800898117957</c:v>
                </c:pt>
                <c:pt idx="11">
                  <c:v>1.5106311703995459</c:v>
                </c:pt>
                <c:pt idx="12">
                  <c:v>1.5228611183955514</c:v>
                </c:pt>
                <c:pt idx="13">
                  <c:v>1.5142402230889938</c:v>
                </c:pt>
                <c:pt idx="14">
                  <c:v>1.6109298283443689</c:v>
                </c:pt>
                <c:pt idx="15">
                  <c:v>1.6817853492089447</c:v>
                </c:pt>
                <c:pt idx="16">
                  <c:v>1.7009036631187777</c:v>
                </c:pt>
                <c:pt idx="17">
                  <c:v>1.7470382579462138</c:v>
                </c:pt>
                <c:pt idx="18">
                  <c:v>1.7258067184317376</c:v>
                </c:pt>
                <c:pt idx="19">
                  <c:v>1.6385552889516735</c:v>
                </c:pt>
                <c:pt idx="20">
                  <c:v>1.7275251114366335</c:v>
                </c:pt>
                <c:pt idx="21">
                  <c:v>1.7686169608456477</c:v>
                </c:pt>
                <c:pt idx="22">
                  <c:v>1.7815474819224708</c:v>
                </c:pt>
                <c:pt idx="23">
                  <c:v>1.8384415116579274</c:v>
                </c:pt>
                <c:pt idx="24">
                  <c:v>1.8972968830171082</c:v>
                </c:pt>
                <c:pt idx="25">
                  <c:v>2.0019331107546599</c:v>
                </c:pt>
                <c:pt idx="26">
                  <c:v>2.0894837056516846</c:v>
                </c:pt>
                <c:pt idx="27">
                  <c:v>2.2279348305955788</c:v>
                </c:pt>
                <c:pt idx="28">
                  <c:v>2.3264072644841178</c:v>
                </c:pt>
                <c:pt idx="29">
                  <c:v>2.3620999999999994</c:v>
                </c:pt>
                <c:pt idx="30">
                  <c:v>1.3937999999999993</c:v>
                </c:pt>
                <c:pt idx="31">
                  <c:v>1.6704755922085577</c:v>
                </c:pt>
                <c:pt idx="32">
                  <c:v>1.8072532945046129</c:v>
                </c:pt>
                <c:pt idx="33">
                  <c:v>1.9326033599034091</c:v>
                </c:pt>
                <c:pt idx="34">
                  <c:v>2.0515967042748455</c:v>
                </c:pt>
                <c:pt idx="35">
                  <c:v>2.0557776115758224</c:v>
                </c:pt>
                <c:pt idx="36">
                  <c:v>2.0601792975290958</c:v>
                </c:pt>
                <c:pt idx="37">
                  <c:v>2.0645621711115987</c:v>
                </c:pt>
                <c:pt idx="38">
                  <c:v>2.0689258920190099</c:v>
                </c:pt>
                <c:pt idx="39">
                  <c:v>2.0732701174005421</c:v>
                </c:pt>
                <c:pt idx="40">
                  <c:v>2.0775945018539077</c:v>
                </c:pt>
                <c:pt idx="41">
                  <c:v>2.0659240999920363</c:v>
                </c:pt>
                <c:pt idx="42">
                  <c:v>2.0540757532929965</c:v>
                </c:pt>
                <c:pt idx="43">
                  <c:v>2.0420482363945585</c:v>
                </c:pt>
                <c:pt idx="44">
                  <c:v>2.029840322327324</c:v>
                </c:pt>
                <c:pt idx="45">
                  <c:v>2.017450782624548</c:v>
                </c:pt>
                <c:pt idx="46">
                  <c:v>1.9854616009248167</c:v>
                </c:pt>
                <c:pt idx="47">
                  <c:v>1.9530982001657422</c:v>
                </c:pt>
                <c:pt idx="48">
                  <c:v>1.9203583186126365</c:v>
                </c:pt>
                <c:pt idx="49">
                  <c:v>1.8872396951952797</c:v>
                </c:pt>
                <c:pt idx="50">
                  <c:v>1.8537400697758506</c:v>
                </c:pt>
                <c:pt idx="51">
                  <c:v>1.8335109886568073</c:v>
                </c:pt>
                <c:pt idx="52">
                  <c:v>1.813029220949069</c:v>
                </c:pt>
                <c:pt idx="53">
                  <c:v>1.7922932124834994</c:v>
                </c:pt>
                <c:pt idx="54">
                  <c:v>1.7713014095702158</c:v>
                </c:pt>
                <c:pt idx="55">
                  <c:v>1.7500522591856635</c:v>
                </c:pt>
                <c:pt idx="56">
                  <c:v>1.7365374771826412</c:v>
                </c:pt>
                <c:pt idx="57">
                  <c:v>1.7228394797616235</c:v>
                </c:pt>
                <c:pt idx="58">
                  <c:v>1.7089571141626854</c:v>
                </c:pt>
                <c:pt idx="59">
                  <c:v>1.6948892279215615</c:v>
                </c:pt>
                <c:pt idx="60">
                  <c:v>1.6806346690092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FC-834E-A24D-EA575C42AB6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'Fig1_non-CO2_emissions'!$AR$79:$AR$139</c:f>
              <c:numCache>
                <c:formatCode>0.0</c:formatCode>
                <c:ptCount val="61"/>
                <c:pt idx="0">
                  <c:v>1.2448887768240191</c:v>
                </c:pt>
                <c:pt idx="1">
                  <c:v>1.2041782811333293</c:v>
                </c:pt>
                <c:pt idx="2">
                  <c:v>1.2076288747777493</c:v>
                </c:pt>
                <c:pt idx="3">
                  <c:v>1.2193249275681015</c:v>
                </c:pt>
                <c:pt idx="4">
                  <c:v>1.2746899261450029</c:v>
                </c:pt>
                <c:pt idx="5">
                  <c:v>1.3066749830098014</c:v>
                </c:pt>
                <c:pt idx="6">
                  <c:v>1.3621251286669145</c:v>
                </c:pt>
                <c:pt idx="7">
                  <c:v>1.4088001937641135</c:v>
                </c:pt>
                <c:pt idx="8">
                  <c:v>1.4404541961510222</c:v>
                </c:pt>
                <c:pt idx="9">
                  <c:v>1.490389178033479</c:v>
                </c:pt>
                <c:pt idx="10">
                  <c:v>1.5419800898117957</c:v>
                </c:pt>
                <c:pt idx="11">
                  <c:v>1.5106311703995459</c:v>
                </c:pt>
                <c:pt idx="12">
                  <c:v>1.5228611183955514</c:v>
                </c:pt>
                <c:pt idx="13">
                  <c:v>1.5142402230889938</c:v>
                </c:pt>
                <c:pt idx="14">
                  <c:v>1.6109298283443689</c:v>
                </c:pt>
                <c:pt idx="15">
                  <c:v>1.6817853492089447</c:v>
                </c:pt>
                <c:pt idx="16">
                  <c:v>1.7009036631187777</c:v>
                </c:pt>
                <c:pt idx="17">
                  <c:v>1.7470382579462138</c:v>
                </c:pt>
                <c:pt idx="18">
                  <c:v>1.7258067184317376</c:v>
                </c:pt>
                <c:pt idx="19">
                  <c:v>1.6385552889516735</c:v>
                </c:pt>
                <c:pt idx="20">
                  <c:v>1.7275251114366335</c:v>
                </c:pt>
                <c:pt idx="21">
                  <c:v>1.7686169608456477</c:v>
                </c:pt>
                <c:pt idx="22">
                  <c:v>1.7815474819224708</c:v>
                </c:pt>
                <c:pt idx="23">
                  <c:v>1.8384415116579274</c:v>
                </c:pt>
                <c:pt idx="24">
                  <c:v>1.8972968830171082</c:v>
                </c:pt>
                <c:pt idx="25">
                  <c:v>2.0019331107546599</c:v>
                </c:pt>
                <c:pt idx="26">
                  <c:v>2.0894837056516846</c:v>
                </c:pt>
                <c:pt idx="27">
                  <c:v>2.2279348305955788</c:v>
                </c:pt>
                <c:pt idx="28">
                  <c:v>2.3264072644841178</c:v>
                </c:pt>
                <c:pt idx="29">
                  <c:v>2.3620999999999994</c:v>
                </c:pt>
                <c:pt idx="30">
                  <c:v>1.3937999999999993</c:v>
                </c:pt>
                <c:pt idx="31">
                  <c:v>1.6704755922085577</c:v>
                </c:pt>
                <c:pt idx="32">
                  <c:v>1.8072532945046129</c:v>
                </c:pt>
                <c:pt idx="33">
                  <c:v>1.9081247874461607</c:v>
                </c:pt>
                <c:pt idx="34">
                  <c:v>1.9994736726377087</c:v>
                </c:pt>
                <c:pt idx="35">
                  <c:v>1.961992097069422</c:v>
                </c:pt>
                <c:pt idx="36">
                  <c:v>1.9244942362547253</c:v>
                </c:pt>
                <c:pt idx="37">
                  <c:v>1.8869870072577657</c:v>
                </c:pt>
                <c:pt idx="38">
                  <c:v>1.8494774775829124</c:v>
                </c:pt>
                <c:pt idx="39">
                  <c:v>1.8119728674859581</c:v>
                </c:pt>
                <c:pt idx="40">
                  <c:v>1.7744805523159046</c:v>
                </c:pt>
                <c:pt idx="41">
                  <c:v>1.7370080648876696</c:v>
                </c:pt>
                <c:pt idx="42">
                  <c:v>1.6995630978861056</c:v>
                </c:pt>
                <c:pt idx="43">
                  <c:v>1.6621535063017103</c:v>
                </c:pt>
                <c:pt idx="44">
                  <c:v>1.6247873098984107</c:v>
                </c:pt>
                <c:pt idx="45">
                  <c:v>1.5874726957138041</c:v>
                </c:pt>
                <c:pt idx="46">
                  <c:v>1.5502180205922564</c:v>
                </c:pt>
                <c:pt idx="47">
                  <c:v>1.5130318137512528</c:v>
                </c:pt>
                <c:pt idx="48">
                  <c:v>1.475922779381396</c:v>
                </c:pt>
                <c:pt idx="49">
                  <c:v>1.4388997992804711</c:v>
                </c:pt>
                <c:pt idx="50">
                  <c:v>1.4019719355219735</c:v>
                </c:pt>
                <c:pt idx="51">
                  <c:v>1.3651484331585269</c:v>
                </c:pt>
                <c:pt idx="52">
                  <c:v>1.3284387229606067</c:v>
                </c:pt>
                <c:pt idx="53">
                  <c:v>1.2918524241909932</c:v>
                </c:pt>
                <c:pt idx="54">
                  <c:v>1.2553993474153877</c:v>
                </c:pt>
                <c:pt idx="55">
                  <c:v>1.2190894973496245</c:v>
                </c:pt>
                <c:pt idx="56">
                  <c:v>1.1829330757439196</c:v>
                </c:pt>
                <c:pt idx="57">
                  <c:v>1.1469404843045989</c:v>
                </c:pt>
                <c:pt idx="58">
                  <c:v>1.1111223276537594</c:v>
                </c:pt>
                <c:pt idx="59">
                  <c:v>1.075489416327317</c:v>
                </c:pt>
                <c:pt idx="60">
                  <c:v>1.0400527698118955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FC-834E-A24D-EA575C42AB6A}"/>
            </c:ext>
          </c:extLst>
        </c:ser>
        <c:ser>
          <c:idx val="6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'Fig1_non-CO2_emissions'!$P$147:$P$207</c:f>
              <c:numCache>
                <c:formatCode>_(* #,##0.0_);_(* \(#,##0.0\);_(* "-"??_);_(@_)</c:formatCode>
                <c:ptCount val="61"/>
                <c:pt idx="0">
                  <c:v>1.2482048939999999</c:v>
                </c:pt>
                <c:pt idx="1">
                  <c:v>1.2089277387999999</c:v>
                </c:pt>
                <c:pt idx="2">
                  <c:v>1.2170814457999997</c:v>
                </c:pt>
                <c:pt idx="3">
                  <c:v>1.2273530341999999</c:v>
                </c:pt>
                <c:pt idx="4">
                  <c:v>1.2804276341000003</c:v>
                </c:pt>
                <c:pt idx="5">
                  <c:v>1.3127607097999998</c:v>
                </c:pt>
                <c:pt idx="6">
                  <c:v>1.3733789486000003</c:v>
                </c:pt>
                <c:pt idx="7">
                  <c:v>1.4173255109</c:v>
                </c:pt>
                <c:pt idx="8">
                  <c:v>1.4444209116</c:v>
                </c:pt>
                <c:pt idx="9">
                  <c:v>1.4930373686</c:v>
                </c:pt>
                <c:pt idx="10">
                  <c:v>1.5519751331000002</c:v>
                </c:pt>
                <c:pt idx="11">
                  <c:v>1.5166123271999998</c:v>
                </c:pt>
                <c:pt idx="12">
                  <c:v>1.5304439705999999</c:v>
                </c:pt>
                <c:pt idx="13">
                  <c:v>1.5208825807999999</c:v>
                </c:pt>
                <c:pt idx="14">
                  <c:v>1.6190410378</c:v>
                </c:pt>
                <c:pt idx="15">
                  <c:v>1.6837214583999998</c:v>
                </c:pt>
                <c:pt idx="16">
                  <c:v>1.7040140708999998</c:v>
                </c:pt>
                <c:pt idx="17">
                  <c:v>1.7474818352999997</c:v>
                </c:pt>
                <c:pt idx="18">
                  <c:v>1.7309055007</c:v>
                </c:pt>
                <c:pt idx="19">
                  <c:v>1.6378103556999999</c:v>
                </c:pt>
                <c:pt idx="20">
                  <c:v>1.7258983431999999</c:v>
                </c:pt>
                <c:pt idx="21">
                  <c:v>1.7737408318000001</c:v>
                </c:pt>
                <c:pt idx="22">
                  <c:v>1.7953656894000001</c:v>
                </c:pt>
                <c:pt idx="23">
                  <c:v>1.8398522939999997</c:v>
                </c:pt>
                <c:pt idx="24">
                  <c:v>1.9005584618</c:v>
                </c:pt>
                <c:pt idx="25">
                  <c:v>2.0054392460999999</c:v>
                </c:pt>
                <c:pt idx="26">
                  <c:v>2.1002564862000002</c:v>
                </c:pt>
                <c:pt idx="27">
                  <c:v>2.2324291579</c:v>
                </c:pt>
                <c:pt idx="28">
                  <c:v>2.3175150083</c:v>
                </c:pt>
                <c:pt idx="29">
                  <c:v>2.3620999999999994</c:v>
                </c:pt>
                <c:pt idx="30">
                  <c:v>1.3937999999999999</c:v>
                </c:pt>
                <c:pt idx="31">
                  <c:v>1.6704755922085575</c:v>
                </c:pt>
                <c:pt idx="32">
                  <c:v>1.5704587554465472</c:v>
                </c:pt>
                <c:pt idx="33">
                  <c:v>1.4669172367271164</c:v>
                </c:pt>
                <c:pt idx="34">
                  <c:v>1.3598510360502649</c:v>
                </c:pt>
                <c:pt idx="35">
                  <c:v>1.2492601534159922</c:v>
                </c:pt>
                <c:pt idx="36">
                  <c:v>1.2369150674924199</c:v>
                </c:pt>
                <c:pt idx="37">
                  <c:v>1.2237807464134776</c:v>
                </c:pt>
                <c:pt idx="38">
                  <c:v>1.2098571901791648</c:v>
                </c:pt>
                <c:pt idx="39">
                  <c:v>1.1951443987894819</c:v>
                </c:pt>
                <c:pt idx="40">
                  <c:v>1.1796423722444287</c:v>
                </c:pt>
                <c:pt idx="41">
                  <c:v>1.1633511105440049</c:v>
                </c:pt>
                <c:pt idx="42">
                  <c:v>1.146270613688211</c:v>
                </c:pt>
                <c:pt idx="43">
                  <c:v>1.1284008816770466</c:v>
                </c:pt>
                <c:pt idx="44">
                  <c:v>1.1097419145105119</c:v>
                </c:pt>
                <c:pt idx="45">
                  <c:v>1.0902937121886069</c:v>
                </c:pt>
                <c:pt idx="46">
                  <c:v>1.0700562747113318</c:v>
                </c:pt>
                <c:pt idx="47">
                  <c:v>1.0490296020786862</c:v>
                </c:pt>
                <c:pt idx="48">
                  <c:v>1.0272136942906702</c:v>
                </c:pt>
                <c:pt idx="49">
                  <c:v>1.0046085513472842</c:v>
                </c:pt>
                <c:pt idx="50">
                  <c:v>0.98121417324852755</c:v>
                </c:pt>
                <c:pt idx="51">
                  <c:v>0.95703055999440068</c:v>
                </c:pt>
                <c:pt idx="52">
                  <c:v>0.93205771158490347</c:v>
                </c:pt>
                <c:pt idx="53">
                  <c:v>0.90629562802003594</c:v>
                </c:pt>
                <c:pt idx="54">
                  <c:v>0.87974430929979808</c:v>
                </c:pt>
                <c:pt idx="55">
                  <c:v>0.85240375542419</c:v>
                </c:pt>
                <c:pt idx="56">
                  <c:v>0.82427396639321171</c:v>
                </c:pt>
                <c:pt idx="57">
                  <c:v>0.79535494220686298</c:v>
                </c:pt>
                <c:pt idx="58">
                  <c:v>0.76564668286514392</c:v>
                </c:pt>
                <c:pt idx="59">
                  <c:v>0.73514918836805487</c:v>
                </c:pt>
                <c:pt idx="60">
                  <c:v>0.70386245871559505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FC-834E-A24D-EA575C42AB6A}"/>
            </c:ext>
          </c:extLst>
        </c:ser>
        <c:ser>
          <c:idx val="7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'Fig1_non-CO2_emissions'!$AD$147:$AD$207</c:f>
              <c:numCache>
                <c:formatCode>0.0</c:formatCode>
                <c:ptCount val="61"/>
                <c:pt idx="0">
                  <c:v>1.2448887768240191</c:v>
                </c:pt>
                <c:pt idx="1">
                  <c:v>1.2041782811333293</c:v>
                </c:pt>
                <c:pt idx="2">
                  <c:v>1.2076288747777493</c:v>
                </c:pt>
                <c:pt idx="3">
                  <c:v>1.2193249275681015</c:v>
                </c:pt>
                <c:pt idx="4">
                  <c:v>1.2746899261450029</c:v>
                </c:pt>
                <c:pt idx="5">
                  <c:v>1.3066749830098014</c:v>
                </c:pt>
                <c:pt idx="6">
                  <c:v>1.3621251286669145</c:v>
                </c:pt>
                <c:pt idx="7">
                  <c:v>1.4088001937641135</c:v>
                </c:pt>
                <c:pt idx="8">
                  <c:v>1.4404541961510222</c:v>
                </c:pt>
                <c:pt idx="9">
                  <c:v>1.490389178033479</c:v>
                </c:pt>
                <c:pt idx="10">
                  <c:v>1.5419800898117957</c:v>
                </c:pt>
                <c:pt idx="11">
                  <c:v>1.5106311703995459</c:v>
                </c:pt>
                <c:pt idx="12">
                  <c:v>1.5228611183955514</c:v>
                </c:pt>
                <c:pt idx="13">
                  <c:v>1.5142402230889938</c:v>
                </c:pt>
                <c:pt idx="14">
                  <c:v>1.6109298283443689</c:v>
                </c:pt>
                <c:pt idx="15">
                  <c:v>1.6817853492089447</c:v>
                </c:pt>
                <c:pt idx="16">
                  <c:v>1.7009036631187777</c:v>
                </c:pt>
                <c:pt idx="17">
                  <c:v>1.7470382579462138</c:v>
                </c:pt>
                <c:pt idx="18">
                  <c:v>1.7258067184317376</c:v>
                </c:pt>
                <c:pt idx="19">
                  <c:v>1.6385552889516735</c:v>
                </c:pt>
                <c:pt idx="20">
                  <c:v>1.7275251114366335</c:v>
                </c:pt>
                <c:pt idx="21">
                  <c:v>1.7686169608456477</c:v>
                </c:pt>
                <c:pt idx="22">
                  <c:v>1.7815474819224708</c:v>
                </c:pt>
                <c:pt idx="23">
                  <c:v>1.8384415116579274</c:v>
                </c:pt>
                <c:pt idx="24">
                  <c:v>1.8972968830171082</c:v>
                </c:pt>
                <c:pt idx="25">
                  <c:v>2.0019331107546599</c:v>
                </c:pt>
                <c:pt idx="26">
                  <c:v>2.0894837056516846</c:v>
                </c:pt>
                <c:pt idx="27">
                  <c:v>2.2279348305955788</c:v>
                </c:pt>
                <c:pt idx="28">
                  <c:v>2.3264072644841178</c:v>
                </c:pt>
                <c:pt idx="29">
                  <c:v>2.3620999999999994</c:v>
                </c:pt>
                <c:pt idx="30">
                  <c:v>1.3937999999999993</c:v>
                </c:pt>
                <c:pt idx="31">
                  <c:v>1.6704755922085577</c:v>
                </c:pt>
                <c:pt idx="32">
                  <c:v>1.5704587554465472</c:v>
                </c:pt>
                <c:pt idx="33">
                  <c:v>1.4626653027076177</c:v>
                </c:pt>
                <c:pt idx="34">
                  <c:v>1.3519678416383791</c:v>
                </c:pt>
                <c:pt idx="35">
                  <c:v>1.2350583032767968</c:v>
                </c:pt>
                <c:pt idx="36">
                  <c:v>1.2161245412718744</c:v>
                </c:pt>
                <c:pt idx="37">
                  <c:v>1.1965717833478955</c:v>
                </c:pt>
                <c:pt idx="38">
                  <c:v>1.1764122834848734</c:v>
                </c:pt>
                <c:pt idx="39">
                  <c:v>1.1556582246135398</c:v>
                </c:pt>
                <c:pt idx="40">
                  <c:v>1.1343217186153451</c:v>
                </c:pt>
                <c:pt idx="41">
                  <c:v>1.1038791466736586</c:v>
                </c:pt>
                <c:pt idx="42">
                  <c:v>1.073175002731338</c:v>
                </c:pt>
                <c:pt idx="43">
                  <c:v>1.0422363960155132</c:v>
                </c:pt>
                <c:pt idx="44">
                  <c:v>1.0110901737590852</c:v>
                </c:pt>
                <c:pt idx="45">
                  <c:v>0.9797629212007285</c:v>
                </c:pt>
                <c:pt idx="46">
                  <c:v>0.93909707836407086</c:v>
                </c:pt>
                <c:pt idx="47">
                  <c:v>0.8987136869994069</c:v>
                </c:pt>
                <c:pt idx="48">
                  <c:v>0.85865573745456503</c:v>
                </c:pt>
                <c:pt idx="49">
                  <c:v>0.8189657316135579</c:v>
                </c:pt>
                <c:pt idx="50">
                  <c:v>0.77968568289658391</c:v>
                </c:pt>
                <c:pt idx="51">
                  <c:v>0.74641552977966352</c:v>
                </c:pt>
                <c:pt idx="52">
                  <c:v>0.71331722072637205</c:v>
                </c:pt>
                <c:pt idx="53">
                  <c:v>0.68042008878348448</c:v>
                </c:pt>
                <c:pt idx="54">
                  <c:v>0.64775313395426592</c:v>
                </c:pt>
                <c:pt idx="55">
                  <c:v>0.61534502319847195</c:v>
                </c:pt>
                <c:pt idx="56">
                  <c:v>0.58592108044590807</c:v>
                </c:pt>
                <c:pt idx="57">
                  <c:v>0.55660815616654669</c:v>
                </c:pt>
                <c:pt idx="58">
                  <c:v>0.52742784267199205</c:v>
                </c:pt>
                <c:pt idx="59">
                  <c:v>0.49840148804194079</c:v>
                </c:pt>
                <c:pt idx="60">
                  <c:v>0.46955019612418258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FC-834E-A24D-EA575C42AB6A}"/>
            </c:ext>
          </c:extLst>
        </c:ser>
        <c:ser>
          <c:idx val="8"/>
          <c:order val="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'Fig1_non-CO2_emissions'!$AR$147:$AR$207</c:f>
              <c:numCache>
                <c:formatCode>0.0</c:formatCode>
                <c:ptCount val="61"/>
                <c:pt idx="0">
                  <c:v>1.2448887768240191</c:v>
                </c:pt>
                <c:pt idx="1">
                  <c:v>1.2041782811333293</c:v>
                </c:pt>
                <c:pt idx="2">
                  <c:v>1.2076288747777493</c:v>
                </c:pt>
                <c:pt idx="3">
                  <c:v>1.2193249275681015</c:v>
                </c:pt>
                <c:pt idx="4">
                  <c:v>1.2746899261450029</c:v>
                </c:pt>
                <c:pt idx="5">
                  <c:v>1.3066749830098014</c:v>
                </c:pt>
                <c:pt idx="6">
                  <c:v>1.3621251286669145</c:v>
                </c:pt>
                <c:pt idx="7">
                  <c:v>1.4088001937641135</c:v>
                </c:pt>
                <c:pt idx="8">
                  <c:v>1.4404541961510222</c:v>
                </c:pt>
                <c:pt idx="9">
                  <c:v>1.490389178033479</c:v>
                </c:pt>
                <c:pt idx="10">
                  <c:v>1.5419800898117957</c:v>
                </c:pt>
                <c:pt idx="11">
                  <c:v>1.5106311703995459</c:v>
                </c:pt>
                <c:pt idx="12">
                  <c:v>1.5228611183955514</c:v>
                </c:pt>
                <c:pt idx="13">
                  <c:v>1.5142402230889938</c:v>
                </c:pt>
                <c:pt idx="14">
                  <c:v>1.6109298283443689</c:v>
                </c:pt>
                <c:pt idx="15">
                  <c:v>1.6817853492089447</c:v>
                </c:pt>
                <c:pt idx="16">
                  <c:v>1.7009036631187777</c:v>
                </c:pt>
                <c:pt idx="17">
                  <c:v>1.7470382579462138</c:v>
                </c:pt>
                <c:pt idx="18">
                  <c:v>1.7258067184317376</c:v>
                </c:pt>
                <c:pt idx="19">
                  <c:v>1.6385552889516735</c:v>
                </c:pt>
                <c:pt idx="20">
                  <c:v>1.7275251114366335</c:v>
                </c:pt>
                <c:pt idx="21">
                  <c:v>1.7686169608456477</c:v>
                </c:pt>
                <c:pt idx="22">
                  <c:v>1.7815474819224708</c:v>
                </c:pt>
                <c:pt idx="23">
                  <c:v>1.8384415116579274</c:v>
                </c:pt>
                <c:pt idx="24">
                  <c:v>1.8972968830171082</c:v>
                </c:pt>
                <c:pt idx="25">
                  <c:v>2.0019331107546599</c:v>
                </c:pt>
                <c:pt idx="26">
                  <c:v>2.0894837056516846</c:v>
                </c:pt>
                <c:pt idx="27">
                  <c:v>2.2279348305955788</c:v>
                </c:pt>
                <c:pt idx="28">
                  <c:v>2.3264072644841178</c:v>
                </c:pt>
                <c:pt idx="29">
                  <c:v>2.3620999999999994</c:v>
                </c:pt>
                <c:pt idx="30">
                  <c:v>1.3937999999999993</c:v>
                </c:pt>
                <c:pt idx="31">
                  <c:v>1.6704755922085577</c:v>
                </c:pt>
                <c:pt idx="32">
                  <c:v>1.5704587554465472</c:v>
                </c:pt>
                <c:pt idx="33">
                  <c:v>1.444139018765515</c:v>
                </c:pt>
                <c:pt idx="34">
                  <c:v>1.3176196374151632</c:v>
                </c:pt>
                <c:pt idx="35">
                  <c:v>1.1787143788338077</c:v>
                </c:pt>
                <c:pt idx="36">
                  <c:v>1.1360296033712525</c:v>
                </c:pt>
                <c:pt idx="37">
                  <c:v>1.0936533857021267</c:v>
                </c:pt>
                <c:pt idx="38">
                  <c:v>1.0516316853349943</c:v>
                </c:pt>
                <c:pt idx="39">
                  <c:v>1.0100089368539218</c:v>
                </c:pt>
                <c:pt idx="40">
                  <c:v>0.96882804991848315</c:v>
                </c:pt>
                <c:pt idx="41">
                  <c:v>0.92813040926375523</c:v>
                </c:pt>
                <c:pt idx="42">
                  <c:v>0.88795587470032067</c:v>
                </c:pt>
                <c:pt idx="43">
                  <c:v>0.84834278111426664</c:v>
                </c:pt>
                <c:pt idx="44">
                  <c:v>0.80932793846718565</c:v>
                </c:pt>
                <c:pt idx="45">
                  <c:v>0.77094663179617462</c:v>
                </c:pt>
                <c:pt idx="46">
                  <c:v>0.73323262121383537</c:v>
                </c:pt>
                <c:pt idx="47">
                  <c:v>0.69621814190827469</c:v>
                </c:pt>
                <c:pt idx="48">
                  <c:v>0.65993390414310393</c:v>
                </c:pt>
                <c:pt idx="49">
                  <c:v>0.62440909325744043</c:v>
                </c:pt>
                <c:pt idx="50">
                  <c:v>0.58967136966590461</c:v>
                </c:pt>
                <c:pt idx="51">
                  <c:v>0.55574686885862334</c:v>
                </c:pt>
                <c:pt idx="52">
                  <c:v>0.52266020140122749</c:v>
                </c:pt>
                <c:pt idx="53">
                  <c:v>0.4904344529348531</c:v>
                </c:pt>
                <c:pt idx="54">
                  <c:v>0.45909118417614081</c:v>
                </c:pt>
                <c:pt idx="55">
                  <c:v>0.42865043091723659</c:v>
                </c:pt>
                <c:pt idx="56">
                  <c:v>0.39913070402579104</c:v>
                </c:pt>
                <c:pt idx="57">
                  <c:v>0.37054898944495929</c:v>
                </c:pt>
                <c:pt idx="58">
                  <c:v>0.34292074819340163</c:v>
                </c:pt>
                <c:pt idx="59">
                  <c:v>0.31625991636528361</c:v>
                </c:pt>
                <c:pt idx="60">
                  <c:v>0.29057890513027468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FC-834E-A24D-EA575C42AB6A}"/>
            </c:ext>
          </c:extLst>
        </c:ser>
        <c:ser>
          <c:idx val="9"/>
          <c:order val="9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'Fig1_non-CO2_emissions'!$P$11:$P$42</c:f>
              <c:numCache>
                <c:formatCode>_(* #,##0.0_);_(* \(#,##0.0\);_(* "-"??_);_(@_)</c:formatCode>
                <c:ptCount val="32"/>
                <c:pt idx="0">
                  <c:v>1.2482048939999999</c:v>
                </c:pt>
                <c:pt idx="1">
                  <c:v>1.2089277387999999</c:v>
                </c:pt>
                <c:pt idx="2">
                  <c:v>1.2170814457999997</c:v>
                </c:pt>
                <c:pt idx="3">
                  <c:v>1.2273530341999999</c:v>
                </c:pt>
                <c:pt idx="4">
                  <c:v>1.2804276341000003</c:v>
                </c:pt>
                <c:pt idx="5">
                  <c:v>1.3127607097999998</c:v>
                </c:pt>
                <c:pt idx="6">
                  <c:v>1.3733789486000003</c:v>
                </c:pt>
                <c:pt idx="7">
                  <c:v>1.4173255109</c:v>
                </c:pt>
                <c:pt idx="8">
                  <c:v>1.4444209116</c:v>
                </c:pt>
                <c:pt idx="9">
                  <c:v>1.4930373686</c:v>
                </c:pt>
                <c:pt idx="10">
                  <c:v>1.5519751331000002</c:v>
                </c:pt>
                <c:pt idx="11">
                  <c:v>1.5166123271999998</c:v>
                </c:pt>
                <c:pt idx="12">
                  <c:v>1.5304439705999999</c:v>
                </c:pt>
                <c:pt idx="13">
                  <c:v>1.5208825807999999</c:v>
                </c:pt>
                <c:pt idx="14">
                  <c:v>1.6190410378</c:v>
                </c:pt>
                <c:pt idx="15">
                  <c:v>1.6837214583999998</c:v>
                </c:pt>
                <c:pt idx="16">
                  <c:v>1.7040140708999998</c:v>
                </c:pt>
                <c:pt idx="17">
                  <c:v>1.7474818352999997</c:v>
                </c:pt>
                <c:pt idx="18">
                  <c:v>1.7309055007</c:v>
                </c:pt>
                <c:pt idx="19">
                  <c:v>1.6378103556999999</c:v>
                </c:pt>
                <c:pt idx="20">
                  <c:v>1.7258983431999999</c:v>
                </c:pt>
                <c:pt idx="21">
                  <c:v>1.7737408318000001</c:v>
                </c:pt>
                <c:pt idx="22">
                  <c:v>1.7953656894000001</c:v>
                </c:pt>
                <c:pt idx="23">
                  <c:v>1.8398522939999997</c:v>
                </c:pt>
                <c:pt idx="24">
                  <c:v>1.9005584618</c:v>
                </c:pt>
                <c:pt idx="25">
                  <c:v>2.0054392460999999</c:v>
                </c:pt>
                <c:pt idx="26">
                  <c:v>2.1002564862000002</c:v>
                </c:pt>
                <c:pt idx="27">
                  <c:v>2.2324291579</c:v>
                </c:pt>
                <c:pt idx="28">
                  <c:v>2.3175150083</c:v>
                </c:pt>
                <c:pt idx="29">
                  <c:v>2.3620999999999994</c:v>
                </c:pt>
                <c:pt idx="30">
                  <c:v>1.3937999999999999</c:v>
                </c:pt>
                <c:pt idx="31">
                  <c:v>1.6704755922085575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FC-834E-A24D-EA575C42A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25615"/>
        <c:axId val="171880111"/>
      </c:lineChart>
      <c:catAx>
        <c:axId val="166582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0111"/>
        <c:crosses val="autoZero"/>
        <c:auto val="1"/>
        <c:lblAlgn val="ctr"/>
        <c:lblOffset val="100"/>
        <c:noMultiLvlLbl val="0"/>
      </c:catAx>
      <c:valAx>
        <c:axId val="171880111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2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'Fig1_non-CO2_emissions'!$A$11:$A$71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'Fig1_non-CO2_emissions'!$Q$11:$Q$71</c:f>
              <c:numCache>
                <c:formatCode>_(* #,##0.0_);_(* \(#,##0.0\);_(* "-"??_);_(@_)</c:formatCode>
                <c:ptCount val="61"/>
                <c:pt idx="0">
                  <c:v>0.92258622599999995</c:v>
                </c:pt>
                <c:pt idx="1">
                  <c:v>0.89355528520000005</c:v>
                </c:pt>
                <c:pt idx="2">
                  <c:v>0.89958193819999988</c:v>
                </c:pt>
                <c:pt idx="3">
                  <c:v>0.90717398179999986</c:v>
                </c:pt>
                <c:pt idx="4">
                  <c:v>0.94640303390000025</c:v>
                </c:pt>
                <c:pt idx="5">
                  <c:v>0.97030139419999994</c:v>
                </c:pt>
                <c:pt idx="6">
                  <c:v>1.0151061794000003</c:v>
                </c:pt>
                <c:pt idx="7">
                  <c:v>1.0475884211000002</c:v>
                </c:pt>
                <c:pt idx="8">
                  <c:v>1.0676154564</c:v>
                </c:pt>
                <c:pt idx="9">
                  <c:v>1.1035493594000001</c:v>
                </c:pt>
                <c:pt idx="10">
                  <c:v>1.1471120549000002</c:v>
                </c:pt>
                <c:pt idx="11">
                  <c:v>1.1209743287999998</c:v>
                </c:pt>
                <c:pt idx="12">
                  <c:v>1.1311977174000001</c:v>
                </c:pt>
                <c:pt idx="13">
                  <c:v>1.1241306032</c:v>
                </c:pt>
                <c:pt idx="14">
                  <c:v>1.1966825062000002</c:v>
                </c:pt>
                <c:pt idx="15">
                  <c:v>1.2444897735999998</c:v>
                </c:pt>
                <c:pt idx="16">
                  <c:v>1.2594886610999998</c:v>
                </c:pt>
                <c:pt idx="17">
                  <c:v>1.2916170086999998</c:v>
                </c:pt>
                <c:pt idx="18">
                  <c:v>1.2793649353000001</c:v>
                </c:pt>
                <c:pt idx="19">
                  <c:v>1.2105554803</c:v>
                </c:pt>
                <c:pt idx="20">
                  <c:v>1.2756639928</c:v>
                </c:pt>
                <c:pt idx="21">
                  <c:v>1.3110258322000001</c:v>
                </c:pt>
                <c:pt idx="22">
                  <c:v>1.3270094226</c:v>
                </c:pt>
                <c:pt idx="23">
                  <c:v>1.359890826</c:v>
                </c:pt>
                <c:pt idx="24">
                  <c:v>1.4047606022000001</c:v>
                </c:pt>
                <c:pt idx="25">
                  <c:v>1.4822811819000001</c:v>
                </c:pt>
                <c:pt idx="26">
                  <c:v>1.5523634898000001</c:v>
                </c:pt>
                <c:pt idx="27">
                  <c:v>1.6500563341000001</c:v>
                </c:pt>
                <c:pt idx="28">
                  <c:v>1.7129458757</c:v>
                </c:pt>
                <c:pt idx="29">
                  <c:v>1.7458999999999998</c:v>
                </c:pt>
                <c:pt idx="30">
                  <c:v>1.0302</c:v>
                </c:pt>
                <c:pt idx="31">
                  <c:v>1.234699350762847</c:v>
                </c:pt>
                <c:pt idx="32">
                  <c:v>1.3546288044483492</c:v>
                </c:pt>
                <c:pt idx="33">
                  <c:v>1.472624804538657</c:v>
                </c:pt>
                <c:pt idx="34">
                  <c:v>1.5887314498805476</c:v>
                </c:pt>
                <c:pt idx="35">
                  <c:v>1.6357579007970118</c:v>
                </c:pt>
                <c:pt idx="36">
                  <c:v>1.6841763346606038</c:v>
                </c:pt>
                <c:pt idx="37">
                  <c:v>1.734027954166558</c:v>
                </c:pt>
                <c:pt idx="38">
                  <c:v>1.785355181609888</c:v>
                </c:pt>
                <c:pt idx="39">
                  <c:v>1.8382016949855409</c:v>
                </c:pt>
                <c:pt idx="40">
                  <c:v>1.8926124651571126</c:v>
                </c:pt>
                <c:pt idx="41">
                  <c:v>1.9486337941257637</c:v>
                </c:pt>
                <c:pt idx="42">
                  <c:v>2.0063133544318861</c:v>
                </c:pt>
                <c:pt idx="43">
                  <c:v>2.0657002297230695</c:v>
                </c:pt>
                <c:pt idx="44">
                  <c:v>2.1268449565228731</c:v>
                </c:pt>
                <c:pt idx="45">
                  <c:v>2.1897995672359496</c:v>
                </c:pt>
                <c:pt idx="46">
                  <c:v>2.2546176344261339</c:v>
                </c:pt>
                <c:pt idx="47">
                  <c:v>2.3213543164051482</c:v>
                </c:pt>
                <c:pt idx="48">
                  <c:v>2.39006640417074</c:v>
                </c:pt>
                <c:pt idx="49">
                  <c:v>2.4608123697341941</c:v>
                </c:pt>
                <c:pt idx="50">
                  <c:v>2.5336524158783269</c:v>
                </c:pt>
                <c:pt idx="51">
                  <c:v>2.6086485273883246</c:v>
                </c:pt>
                <c:pt idx="52">
                  <c:v>2.6858645237990197</c:v>
                </c:pt>
                <c:pt idx="53">
                  <c:v>2.7653661137034709</c:v>
                </c:pt>
                <c:pt idx="54">
                  <c:v>2.8472209506690938</c:v>
                </c:pt>
                <c:pt idx="55">
                  <c:v>2.9314986908088985</c:v>
                </c:pt>
                <c:pt idx="56">
                  <c:v>3.0182710520568423</c:v>
                </c:pt>
                <c:pt idx="57">
                  <c:v>3.1076118751977249</c:v>
                </c:pt>
                <c:pt idx="58">
                  <c:v>3.1995971867035777</c:v>
                </c:pt>
                <c:pt idx="59">
                  <c:v>3.2943052634300036</c:v>
                </c:pt>
                <c:pt idx="60">
                  <c:v>3.3918166992275318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0-9147-8C76-455D1EF79501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'Fig1_non-CO2_emissions'!$AE$11:$AE$71</c:f>
              <c:numCache>
                <c:formatCode>_(* #,##0.0_);_(* \(#,##0.0\);_(* "-"??_);_(@_)</c:formatCode>
                <c:ptCount val="61"/>
                <c:pt idx="0">
                  <c:v>0.92013518286992724</c:v>
                </c:pt>
                <c:pt idx="1">
                  <c:v>0.89004481648985212</c:v>
                </c:pt>
                <c:pt idx="2">
                  <c:v>0.89259525527051042</c:v>
                </c:pt>
                <c:pt idx="3">
                  <c:v>0.90124016385468364</c:v>
                </c:pt>
                <c:pt idx="4">
                  <c:v>0.94216211932456728</c:v>
                </c:pt>
                <c:pt idx="5">
                  <c:v>0.96580324831159248</c:v>
                </c:pt>
                <c:pt idx="6">
                  <c:v>1.0067881385798934</c:v>
                </c:pt>
                <c:pt idx="7">
                  <c:v>1.0412870997386925</c:v>
                </c:pt>
                <c:pt idx="8">
                  <c:v>1.0646835362855382</c:v>
                </c:pt>
                <c:pt idx="9">
                  <c:v>1.1015920011551803</c:v>
                </c:pt>
                <c:pt idx="10">
                  <c:v>1.1397244142087186</c:v>
                </c:pt>
                <c:pt idx="11">
                  <c:v>1.1165534737735774</c:v>
                </c:pt>
                <c:pt idx="12">
                  <c:v>1.125593000553234</c:v>
                </c:pt>
                <c:pt idx="13">
                  <c:v>1.1192210344570825</c:v>
                </c:pt>
                <c:pt idx="14">
                  <c:v>1.1906872644284465</c:v>
                </c:pt>
                <c:pt idx="15">
                  <c:v>1.2430587363718288</c:v>
                </c:pt>
                <c:pt idx="16">
                  <c:v>1.2571896640443141</c:v>
                </c:pt>
                <c:pt idx="17">
                  <c:v>1.2912891471776364</c:v>
                </c:pt>
                <c:pt idx="18">
                  <c:v>1.2755962701451975</c:v>
                </c:pt>
                <c:pt idx="19">
                  <c:v>1.2111060831381935</c:v>
                </c:pt>
                <c:pt idx="20">
                  <c:v>1.2768663867140333</c:v>
                </c:pt>
                <c:pt idx="21">
                  <c:v>1.3072386232337396</c:v>
                </c:pt>
                <c:pt idx="22">
                  <c:v>1.3167959648992176</c:v>
                </c:pt>
                <c:pt idx="23">
                  <c:v>1.3588480738341202</c:v>
                </c:pt>
                <c:pt idx="24">
                  <c:v>1.4023498700561234</c:v>
                </c:pt>
                <c:pt idx="25">
                  <c:v>1.4796896905577919</c:v>
                </c:pt>
                <c:pt idx="26">
                  <c:v>1.5444009998295061</c:v>
                </c:pt>
                <c:pt idx="27">
                  <c:v>1.6467344400054278</c:v>
                </c:pt>
                <c:pt idx="28">
                  <c:v>1.7195184128795655</c:v>
                </c:pt>
                <c:pt idx="29">
                  <c:v>1.7458999999999998</c:v>
                </c:pt>
                <c:pt idx="30">
                  <c:v>1.0301999999999996</c:v>
                </c:pt>
                <c:pt idx="31">
                  <c:v>1.2346993507628472</c:v>
                </c:pt>
                <c:pt idx="32">
                  <c:v>1.3546288044483492</c:v>
                </c:pt>
                <c:pt idx="33">
                  <c:v>1.4668498053051719</c:v>
                </c:pt>
                <c:pt idx="34">
                  <c:v>1.5762708110579551</c:v>
                </c:pt>
                <c:pt idx="35">
                  <c:v>1.6121555692906224</c:v>
                </c:pt>
                <c:pt idx="36">
                  <c:v>1.6490820118906946</c:v>
                </c:pt>
                <c:pt idx="37">
                  <c:v>1.6868171932125513</c:v>
                </c:pt>
                <c:pt idx="38">
                  <c:v>1.7253776790230591</c:v>
                </c:pt>
                <c:pt idx="39">
                  <c:v>1.7647803380383988</c:v>
                </c:pt>
                <c:pt idx="40">
                  <c:v>1.8050423462572733</c:v>
                </c:pt>
                <c:pt idx="41">
                  <c:v>1.8268376749315374</c:v>
                </c:pt>
                <c:pt idx="42">
                  <c:v>1.848491961032942</c:v>
                </c:pt>
                <c:pt idx="43">
                  <c:v>1.869982203970207</c:v>
                </c:pt>
                <c:pt idx="44">
                  <c:v>1.8912842966745043</c:v>
                </c:pt>
                <c:pt idx="45">
                  <c:v>1.9123729841430002</c:v>
                </c:pt>
                <c:pt idx="46">
                  <c:v>1.9070417056763116</c:v>
                </c:pt>
                <c:pt idx="47">
                  <c:v>1.9000432335569948</c:v>
                </c:pt>
                <c:pt idx="48">
                  <c:v>1.8912931302710494</c:v>
                </c:pt>
                <c:pt idx="49">
                  <c:v>1.880703704175237</c:v>
                </c:pt>
                <c:pt idx="50">
                  <c:v>1.8681838992351585</c:v>
                </c:pt>
                <c:pt idx="51">
                  <c:v>1.8741375609080941</c:v>
                </c:pt>
                <c:pt idx="52">
                  <c:v>1.8790624192559566</c:v>
                </c:pt>
                <c:pt idx="53">
                  <c:v>1.8828999175717951</c:v>
                </c:pt>
                <c:pt idx="54">
                  <c:v>1.8855891579063111</c:v>
                </c:pt>
                <c:pt idx="55">
                  <c:v>1.8870668203993364</c:v>
                </c:pt>
                <c:pt idx="56">
                  <c:v>1.9006282629510745</c:v>
                </c:pt>
                <c:pt idx="57">
                  <c:v>1.9135560159371516</c:v>
                </c:pt>
                <c:pt idx="58">
                  <c:v>1.9258071015685934</c:v>
                </c:pt>
                <c:pt idx="59">
                  <c:v>1.9373367429761224</c:v>
                </c:pt>
                <c:pt idx="60">
                  <c:v>1.9480983009837665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0-9147-8C76-455D1EF79501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'Fig1_non-CO2_emissions'!$AS$11:$AS$71</c:f>
              <c:numCache>
                <c:formatCode>_(* #,##0.0_);_(* \(#,##0.0\);_(* "-"??_);_(@_)</c:formatCode>
                <c:ptCount val="61"/>
                <c:pt idx="0">
                  <c:v>0.92013518286992724</c:v>
                </c:pt>
                <c:pt idx="1">
                  <c:v>0.89004481648985212</c:v>
                </c:pt>
                <c:pt idx="2">
                  <c:v>0.89259525527051042</c:v>
                </c:pt>
                <c:pt idx="3">
                  <c:v>0.90124016385468364</c:v>
                </c:pt>
                <c:pt idx="4">
                  <c:v>0.94216211932456728</c:v>
                </c:pt>
                <c:pt idx="5">
                  <c:v>0.96580324831159248</c:v>
                </c:pt>
                <c:pt idx="6">
                  <c:v>1.0067881385798934</c:v>
                </c:pt>
                <c:pt idx="7">
                  <c:v>1.0412870997386925</c:v>
                </c:pt>
                <c:pt idx="8">
                  <c:v>1.0646835362855382</c:v>
                </c:pt>
                <c:pt idx="9">
                  <c:v>1.1015920011551803</c:v>
                </c:pt>
                <c:pt idx="10">
                  <c:v>1.1397244142087186</c:v>
                </c:pt>
                <c:pt idx="11">
                  <c:v>1.1165534737735774</c:v>
                </c:pt>
                <c:pt idx="12">
                  <c:v>1.125593000553234</c:v>
                </c:pt>
                <c:pt idx="13">
                  <c:v>1.1192210344570825</c:v>
                </c:pt>
                <c:pt idx="14">
                  <c:v>1.1906872644284465</c:v>
                </c:pt>
                <c:pt idx="15">
                  <c:v>1.2430587363718288</c:v>
                </c:pt>
                <c:pt idx="16">
                  <c:v>1.2571896640443141</c:v>
                </c:pt>
                <c:pt idx="17">
                  <c:v>1.2912891471776364</c:v>
                </c:pt>
                <c:pt idx="18">
                  <c:v>1.2755962701451975</c:v>
                </c:pt>
                <c:pt idx="19">
                  <c:v>1.2111060831381935</c:v>
                </c:pt>
                <c:pt idx="20">
                  <c:v>1.2768663867140333</c:v>
                </c:pt>
                <c:pt idx="21">
                  <c:v>1.3072386232337396</c:v>
                </c:pt>
                <c:pt idx="22">
                  <c:v>1.3167959648992176</c:v>
                </c:pt>
                <c:pt idx="23">
                  <c:v>1.3588480738341202</c:v>
                </c:pt>
                <c:pt idx="24">
                  <c:v>1.4023498700561234</c:v>
                </c:pt>
                <c:pt idx="25">
                  <c:v>1.4796896905577919</c:v>
                </c:pt>
                <c:pt idx="26">
                  <c:v>1.5444009998295061</c:v>
                </c:pt>
                <c:pt idx="27">
                  <c:v>1.6467344400054278</c:v>
                </c:pt>
                <c:pt idx="28">
                  <c:v>1.7195184128795655</c:v>
                </c:pt>
                <c:pt idx="29">
                  <c:v>1.7458999999999998</c:v>
                </c:pt>
                <c:pt idx="30">
                  <c:v>1.0301999999999996</c:v>
                </c:pt>
                <c:pt idx="31">
                  <c:v>1.2346993507628472</c:v>
                </c:pt>
                <c:pt idx="32">
                  <c:v>1.3546288044483492</c:v>
                </c:pt>
                <c:pt idx="33">
                  <c:v>1.4416873086449875</c:v>
                </c:pt>
                <c:pt idx="34">
                  <c:v>1.5219780276166592</c:v>
                </c:pt>
                <c:pt idx="35">
                  <c:v>1.5167713696216609</c:v>
                </c:pt>
                <c:pt idx="36">
                  <c:v>1.510656746459732</c:v>
                </c:pt>
                <c:pt idx="37">
                  <c:v>1.5036066879100074</c:v>
                </c:pt>
                <c:pt idx="38">
                  <c:v>1.4955935359330754</c:v>
                </c:pt>
                <c:pt idx="39">
                  <c:v>1.4865894766501391</c:v>
                </c:pt>
                <c:pt idx="40">
                  <c:v>1.4765665749431907</c:v>
                </c:pt>
                <c:pt idx="41">
                  <c:v>1.465496811820002</c:v>
                </c:pt>
                <c:pt idx="42">
                  <c:v>1.4533521246944712</c:v>
                </c:pt>
                <c:pt idx="43">
                  <c:v>1.4401044507398442</c:v>
                </c:pt>
                <c:pt idx="44">
                  <c:v>1.4257257734796394</c:v>
                </c:pt>
                <c:pt idx="45">
                  <c:v>1.410188172788684</c:v>
                </c:pt>
                <c:pt idx="46">
                  <c:v>1.3934638784846356</c:v>
                </c:pt>
                <c:pt idx="47">
                  <c:v>1.3755253276985657</c:v>
                </c:pt>
                <c:pt idx="48">
                  <c:v>1.3563452262218614</c:v>
                </c:pt>
                <c:pt idx="49">
                  <c:v>1.335896614035593</c:v>
                </c:pt>
                <c:pt idx="50">
                  <c:v>1.3141529352379053</c:v>
                </c:pt>
                <c:pt idx="51">
                  <c:v>1.2910881125946916</c:v>
                </c:pt>
                <c:pt idx="52">
                  <c:v>1.2666766269489664</c:v>
                </c:pt>
                <c:pt idx="53">
                  <c:v>1.2408936017349055</c:v>
                </c:pt>
                <c:pt idx="54">
                  <c:v>1.2137148928535477</c:v>
                </c:pt>
                <c:pt idx="55">
                  <c:v>1.1851171841785988</c:v>
                </c:pt>
                <c:pt idx="56">
                  <c:v>1.1550780889727164</c:v>
                </c:pt>
                <c:pt idx="57">
                  <c:v>1.1235762575070902</c:v>
                </c:pt>
                <c:pt idx="58">
                  <c:v>1.090591491190076</c:v>
                </c:pt>
                <c:pt idx="59">
                  <c:v>1.0561048635241073</c:v>
                </c:pt>
                <c:pt idx="60">
                  <c:v>1.0200988482241486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0-9147-8C76-455D1EF79501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'Fig1_non-CO2_emissions'!$Q$79:$Q$139</c:f>
              <c:numCache>
                <c:formatCode>_(* #,##0.0_);_(* \(#,##0.0\);_(* "-"??_);_(@_)</c:formatCode>
                <c:ptCount val="61"/>
                <c:pt idx="0">
                  <c:v>0.92258622599999995</c:v>
                </c:pt>
                <c:pt idx="1">
                  <c:v>0.89355528520000005</c:v>
                </c:pt>
                <c:pt idx="2">
                  <c:v>0.89958193819999988</c:v>
                </c:pt>
                <c:pt idx="3">
                  <c:v>0.90717398179999986</c:v>
                </c:pt>
                <c:pt idx="4">
                  <c:v>0.94640303390000025</c:v>
                </c:pt>
                <c:pt idx="5">
                  <c:v>0.97030139419999994</c:v>
                </c:pt>
                <c:pt idx="6">
                  <c:v>1.0151061794000003</c:v>
                </c:pt>
                <c:pt idx="7">
                  <c:v>1.0475884211000002</c:v>
                </c:pt>
                <c:pt idx="8">
                  <c:v>1.0676154564</c:v>
                </c:pt>
                <c:pt idx="9">
                  <c:v>1.1035493594000001</c:v>
                </c:pt>
                <c:pt idx="10">
                  <c:v>1.1471120549000002</c:v>
                </c:pt>
                <c:pt idx="11">
                  <c:v>1.1209743287999998</c:v>
                </c:pt>
                <c:pt idx="12">
                  <c:v>1.1311977174000001</c:v>
                </c:pt>
                <c:pt idx="13">
                  <c:v>1.1241306032</c:v>
                </c:pt>
                <c:pt idx="14">
                  <c:v>1.1966825062000002</c:v>
                </c:pt>
                <c:pt idx="15">
                  <c:v>1.2444897735999998</c:v>
                </c:pt>
                <c:pt idx="16">
                  <c:v>1.2594886610999998</c:v>
                </c:pt>
                <c:pt idx="17">
                  <c:v>1.2916170086999998</c:v>
                </c:pt>
                <c:pt idx="18">
                  <c:v>1.2793649353000001</c:v>
                </c:pt>
                <c:pt idx="19">
                  <c:v>1.2105554803</c:v>
                </c:pt>
                <c:pt idx="20">
                  <c:v>1.2756639928</c:v>
                </c:pt>
                <c:pt idx="21">
                  <c:v>1.3110258322000001</c:v>
                </c:pt>
                <c:pt idx="22">
                  <c:v>1.3270094226</c:v>
                </c:pt>
                <c:pt idx="23">
                  <c:v>1.359890826</c:v>
                </c:pt>
                <c:pt idx="24">
                  <c:v>1.4047606022000001</c:v>
                </c:pt>
                <c:pt idx="25">
                  <c:v>1.4822811819000001</c:v>
                </c:pt>
                <c:pt idx="26">
                  <c:v>1.5523634898000001</c:v>
                </c:pt>
                <c:pt idx="27">
                  <c:v>1.6500563341000001</c:v>
                </c:pt>
                <c:pt idx="28">
                  <c:v>1.7129458757</c:v>
                </c:pt>
                <c:pt idx="29">
                  <c:v>1.7458999999999998</c:v>
                </c:pt>
                <c:pt idx="30">
                  <c:v>1.0302</c:v>
                </c:pt>
                <c:pt idx="31">
                  <c:v>1.234699350762847</c:v>
                </c:pt>
                <c:pt idx="32">
                  <c:v>1.3357959133294965</c:v>
                </c:pt>
                <c:pt idx="33">
                  <c:v>1.4325984208586318</c:v>
                </c:pt>
                <c:pt idx="34">
                  <c:v>1.5252395323326113</c:v>
                </c:pt>
                <c:pt idx="35">
                  <c:v>1.5369602851387776</c:v>
                </c:pt>
                <c:pt idx="36">
                  <c:v>1.5487735794165436</c:v>
                </c:pt>
                <c:pt idx="37">
                  <c:v>1.5606801606780778</c:v>
                </c:pt>
                <c:pt idx="38">
                  <c:v>1.5726807805281555</c:v>
                </c:pt>
                <c:pt idx="39">
                  <c:v>1.5847761967144476</c:v>
                </c:pt>
                <c:pt idx="40">
                  <c:v>1.5969671731782258</c:v>
                </c:pt>
                <c:pt idx="41">
                  <c:v>1.6092544801054929</c:v>
                </c:pt>
                <c:pt idx="42">
                  <c:v>1.6216388939785304</c:v>
                </c:pt>
                <c:pt idx="43">
                  <c:v>1.6341211976278842</c:v>
                </c:pt>
                <c:pt idx="44">
                  <c:v>1.6467021802847737</c:v>
                </c:pt>
                <c:pt idx="45">
                  <c:v>1.6593826376339409</c:v>
                </c:pt>
                <c:pt idx="46">
                  <c:v>1.6721633718669402</c:v>
                </c:pt>
                <c:pt idx="47">
                  <c:v>1.6850451917358658</c:v>
                </c:pt>
                <c:pt idx="48">
                  <c:v>1.6980289126075296</c:v>
                </c:pt>
                <c:pt idx="49">
                  <c:v>1.711115356518091</c:v>
                </c:pt>
                <c:pt idx="50">
                  <c:v>1.7243053522281349</c:v>
                </c:pt>
                <c:pt idx="51">
                  <c:v>1.737599735278214</c:v>
                </c:pt>
                <c:pt idx="52">
                  <c:v>1.7509993480448489</c:v>
                </c:pt>
                <c:pt idx="53">
                  <c:v>1.764505039796995</c:v>
                </c:pt>
                <c:pt idx="54">
                  <c:v>1.7781176667529783</c:v>
                </c:pt>
                <c:pt idx="55">
                  <c:v>1.7918380921379049</c:v>
                </c:pt>
                <c:pt idx="56">
                  <c:v>1.8056671862415503</c:v>
                </c:pt>
                <c:pt idx="57">
                  <c:v>1.8196058264767239</c:v>
                </c:pt>
                <c:pt idx="58">
                  <c:v>1.8336548974381257</c:v>
                </c:pt>
                <c:pt idx="59">
                  <c:v>1.8478152909616883</c:v>
                </c:pt>
                <c:pt idx="60">
                  <c:v>1.862087906184412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0-9147-8C76-455D1EF79501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'Fig1_non-CO2_emissions'!$AE$79:$AE$139</c:f>
              <c:numCache>
                <c:formatCode>_(* #,##0.0_);_(* \(#,##0.0\);_(* "-"??_);_(@_)</c:formatCode>
                <c:ptCount val="61"/>
                <c:pt idx="0">
                  <c:v>0.92013518286992724</c:v>
                </c:pt>
                <c:pt idx="1">
                  <c:v>0.89004481648985212</c:v>
                </c:pt>
                <c:pt idx="2">
                  <c:v>0.89259525527051042</c:v>
                </c:pt>
                <c:pt idx="3">
                  <c:v>0.90124016385468364</c:v>
                </c:pt>
                <c:pt idx="4">
                  <c:v>0.94216211932456728</c:v>
                </c:pt>
                <c:pt idx="5">
                  <c:v>0.96580324831159248</c:v>
                </c:pt>
                <c:pt idx="6">
                  <c:v>1.0067881385798934</c:v>
                </c:pt>
                <c:pt idx="7">
                  <c:v>1.0412870997386925</c:v>
                </c:pt>
                <c:pt idx="8">
                  <c:v>1.0646835362855382</c:v>
                </c:pt>
                <c:pt idx="9">
                  <c:v>1.1015920011551803</c:v>
                </c:pt>
                <c:pt idx="10">
                  <c:v>1.1397244142087186</c:v>
                </c:pt>
                <c:pt idx="11">
                  <c:v>1.1165534737735774</c:v>
                </c:pt>
                <c:pt idx="12">
                  <c:v>1.125593000553234</c:v>
                </c:pt>
                <c:pt idx="13">
                  <c:v>1.1192210344570825</c:v>
                </c:pt>
                <c:pt idx="14">
                  <c:v>1.1906872644284465</c:v>
                </c:pt>
                <c:pt idx="15">
                  <c:v>1.2430587363718288</c:v>
                </c:pt>
                <c:pt idx="16">
                  <c:v>1.2571896640443141</c:v>
                </c:pt>
                <c:pt idx="17">
                  <c:v>1.2912891471776364</c:v>
                </c:pt>
                <c:pt idx="18">
                  <c:v>1.2755962701451975</c:v>
                </c:pt>
                <c:pt idx="19">
                  <c:v>1.2111060831381935</c:v>
                </c:pt>
                <c:pt idx="20">
                  <c:v>1.2768663867140333</c:v>
                </c:pt>
                <c:pt idx="21">
                  <c:v>1.3072386232337396</c:v>
                </c:pt>
                <c:pt idx="22">
                  <c:v>1.3167959648992176</c:v>
                </c:pt>
                <c:pt idx="23">
                  <c:v>1.3588480738341202</c:v>
                </c:pt>
                <c:pt idx="24">
                  <c:v>1.4023498700561234</c:v>
                </c:pt>
                <c:pt idx="25">
                  <c:v>1.4796896905577919</c:v>
                </c:pt>
                <c:pt idx="26">
                  <c:v>1.5444009998295061</c:v>
                </c:pt>
                <c:pt idx="27">
                  <c:v>1.6467344400054278</c:v>
                </c:pt>
                <c:pt idx="28">
                  <c:v>1.7195184128795655</c:v>
                </c:pt>
                <c:pt idx="29">
                  <c:v>1.7458999999999998</c:v>
                </c:pt>
                <c:pt idx="30">
                  <c:v>1.0301999999999996</c:v>
                </c:pt>
                <c:pt idx="31">
                  <c:v>1.2346993507628472</c:v>
                </c:pt>
                <c:pt idx="32">
                  <c:v>1.3357959133294965</c:v>
                </c:pt>
                <c:pt idx="33">
                  <c:v>1.4269803878356568</c:v>
                </c:pt>
                <c:pt idx="34">
                  <c:v>1.5132768693339242</c:v>
                </c:pt>
                <c:pt idx="35">
                  <c:v>1.5147835032663961</c:v>
                </c:pt>
                <c:pt idx="36">
                  <c:v>1.5165007355492148</c:v>
                </c:pt>
                <c:pt idx="37">
                  <c:v>1.5181889783332998</c:v>
                </c:pt>
                <c:pt idx="38">
                  <c:v>1.5198478951986782</c:v>
                </c:pt>
                <c:pt idx="39">
                  <c:v>1.5214771479007527</c:v>
                </c:pt>
                <c:pt idx="40">
                  <c:v>1.5230763963768863</c:v>
                </c:pt>
                <c:pt idx="41">
                  <c:v>1.5086707013248803</c:v>
                </c:pt>
                <c:pt idx="42">
                  <c:v>1.4940769110648076</c:v>
                </c:pt>
                <c:pt idx="43">
                  <c:v>1.4792938078456264</c:v>
                </c:pt>
                <c:pt idx="44">
                  <c:v>1.4643201730905142</c:v>
                </c:pt>
                <c:pt idx="45">
                  <c:v>1.449154787519042</c:v>
                </c:pt>
                <c:pt idx="46">
                  <c:v>1.4143796447623573</c:v>
                </c:pt>
                <c:pt idx="47">
                  <c:v>1.3792201785695399</c:v>
                </c:pt>
                <c:pt idx="48">
                  <c:v>1.343674138849082</c:v>
                </c:pt>
                <c:pt idx="49">
                  <c:v>1.3077392770186331</c:v>
                </c:pt>
                <c:pt idx="50">
                  <c:v>1.2714133462860546</c:v>
                </c:pt>
                <c:pt idx="51">
                  <c:v>1.2483479071705921</c:v>
                </c:pt>
                <c:pt idx="52">
                  <c:v>1.2250197438845063</c:v>
                </c:pt>
                <c:pt idx="53">
                  <c:v>1.2014273182581701</c:v>
                </c:pt>
                <c:pt idx="54">
                  <c:v>1.1775690935131602</c:v>
                </c:pt>
                <c:pt idx="55">
                  <c:v>1.1534435344632785</c:v>
                </c:pt>
                <c:pt idx="56">
                  <c:v>1.1370423757386916</c:v>
                </c:pt>
                <c:pt idx="57">
                  <c:v>1.1204480532715457</c:v>
                </c:pt>
                <c:pt idx="58">
                  <c:v>1.1036594350023481</c:v>
                </c:pt>
                <c:pt idx="59">
                  <c:v>1.0866753901506665</c:v>
                </c:pt>
                <c:pt idx="60">
                  <c:v>1.0694947893694913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50-9147-8C76-455D1EF7950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'Fig1_non-CO2_emissions'!$AS$79:$AS$139</c:f>
              <c:numCache>
                <c:formatCode>_(* #,##0.0_);_(* \(#,##0.0\);_(* "-"??_);_(@_)</c:formatCode>
                <c:ptCount val="61"/>
                <c:pt idx="0">
                  <c:v>0.92013518286992724</c:v>
                </c:pt>
                <c:pt idx="1">
                  <c:v>0.89004481648985212</c:v>
                </c:pt>
                <c:pt idx="2">
                  <c:v>0.89259525527051042</c:v>
                </c:pt>
                <c:pt idx="3">
                  <c:v>0.90124016385468364</c:v>
                </c:pt>
                <c:pt idx="4">
                  <c:v>0.94216211932456728</c:v>
                </c:pt>
                <c:pt idx="5">
                  <c:v>0.96580324831159248</c:v>
                </c:pt>
                <c:pt idx="6">
                  <c:v>1.0067881385798934</c:v>
                </c:pt>
                <c:pt idx="7">
                  <c:v>1.0412870997386925</c:v>
                </c:pt>
                <c:pt idx="8">
                  <c:v>1.0646835362855382</c:v>
                </c:pt>
                <c:pt idx="9">
                  <c:v>1.1015920011551803</c:v>
                </c:pt>
                <c:pt idx="10">
                  <c:v>1.1397244142087186</c:v>
                </c:pt>
                <c:pt idx="11">
                  <c:v>1.1165534737735774</c:v>
                </c:pt>
                <c:pt idx="12">
                  <c:v>1.125593000553234</c:v>
                </c:pt>
                <c:pt idx="13">
                  <c:v>1.1192210344570825</c:v>
                </c:pt>
                <c:pt idx="14">
                  <c:v>1.1906872644284465</c:v>
                </c:pt>
                <c:pt idx="15">
                  <c:v>1.2430587363718288</c:v>
                </c:pt>
                <c:pt idx="16">
                  <c:v>1.2571896640443141</c:v>
                </c:pt>
                <c:pt idx="17">
                  <c:v>1.2912891471776364</c:v>
                </c:pt>
                <c:pt idx="18">
                  <c:v>1.2755962701451975</c:v>
                </c:pt>
                <c:pt idx="19">
                  <c:v>1.2111060831381935</c:v>
                </c:pt>
                <c:pt idx="20">
                  <c:v>1.2768663867140333</c:v>
                </c:pt>
                <c:pt idx="21">
                  <c:v>1.3072386232337396</c:v>
                </c:pt>
                <c:pt idx="22">
                  <c:v>1.3167959648992176</c:v>
                </c:pt>
                <c:pt idx="23">
                  <c:v>1.3588480738341202</c:v>
                </c:pt>
                <c:pt idx="24">
                  <c:v>1.4023498700561234</c:v>
                </c:pt>
                <c:pt idx="25">
                  <c:v>1.4796896905577919</c:v>
                </c:pt>
                <c:pt idx="26">
                  <c:v>1.5444009998295061</c:v>
                </c:pt>
                <c:pt idx="27">
                  <c:v>1.6467344400054278</c:v>
                </c:pt>
                <c:pt idx="28">
                  <c:v>1.7195184128795655</c:v>
                </c:pt>
                <c:pt idx="29">
                  <c:v>1.7458999999999998</c:v>
                </c:pt>
                <c:pt idx="30">
                  <c:v>1.0301999999999996</c:v>
                </c:pt>
                <c:pt idx="31">
                  <c:v>1.2346993507628472</c:v>
                </c:pt>
                <c:pt idx="32">
                  <c:v>1.3357959133294965</c:v>
                </c:pt>
                <c:pt idx="33">
                  <c:v>1.4025018153784083</c:v>
                </c:pt>
                <c:pt idx="34">
                  <c:v>1.4611538376967876</c:v>
                </c:pt>
                <c:pt idx="35">
                  <c:v>1.4251603832132935</c:v>
                </c:pt>
                <c:pt idx="36">
                  <c:v>1.3892044486871855</c:v>
                </c:pt>
                <c:pt idx="37">
                  <c:v>1.3532937122757716</c:v>
                </c:pt>
                <c:pt idx="38">
                  <c:v>1.3174360114289239</c:v>
                </c:pt>
                <c:pt idx="39">
                  <c:v>1.2816393452949459</c:v>
                </c:pt>
                <c:pt idx="40">
                  <c:v>1.2459118771579756</c:v>
                </c:pt>
                <c:pt idx="41">
                  <c:v>1.2102619369072933</c:v>
                </c:pt>
                <c:pt idx="42">
                  <c:v>1.1746980235389259</c:v>
                </c:pt>
                <c:pt idx="43">
                  <c:v>1.1392288076899362</c:v>
                </c:pt>
                <c:pt idx="44">
                  <c:v>1.1038631342057907</c:v>
                </c:pt>
                <c:pt idx="45">
                  <c:v>1.0686100247411987</c:v>
                </c:pt>
                <c:pt idx="46">
                  <c:v>1.0334786803948379</c:v>
                </c:pt>
                <c:pt idx="47">
                  <c:v>0.99847848437835718</c:v>
                </c:pt>
                <c:pt idx="48">
                  <c:v>0.9636190047200851</c:v>
                </c:pt>
                <c:pt idx="49">
                  <c:v>0.92890999700384869</c:v>
                </c:pt>
                <c:pt idx="50">
                  <c:v>0.89436140714332824</c:v>
                </c:pt>
                <c:pt idx="51">
                  <c:v>0.85998337419237625</c:v>
                </c:pt>
                <c:pt idx="52">
                  <c:v>0.82578623319172872</c:v>
                </c:pt>
                <c:pt idx="53">
                  <c:v>0.79178051805254446</c:v>
                </c:pt>
                <c:pt idx="54">
                  <c:v>0.75797696447721552</c:v>
                </c:pt>
                <c:pt idx="55">
                  <c:v>0.72438651291789302</c:v>
                </c:pt>
                <c:pt idx="56">
                  <c:v>0.691020311573181</c:v>
                </c:pt>
                <c:pt idx="57">
                  <c:v>0.65788971942345031</c:v>
                </c:pt>
                <c:pt idx="58">
                  <c:v>0.62500630930523993</c:v>
                </c:pt>
                <c:pt idx="59">
                  <c:v>0.59238187102520679</c:v>
                </c:pt>
                <c:pt idx="60">
                  <c:v>0.56002841451409779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50-9147-8C76-455D1EF79501}"/>
            </c:ext>
          </c:extLst>
        </c:ser>
        <c:ser>
          <c:idx val="6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'Fig1_non-CO2_emissions'!$Q$147:$Q$207</c:f>
              <c:numCache>
                <c:formatCode>_(* #,##0.0_);_(* \(#,##0.0\);_(* "-"??_);_(@_)</c:formatCode>
                <c:ptCount val="61"/>
                <c:pt idx="0">
                  <c:v>0.92258622599999995</c:v>
                </c:pt>
                <c:pt idx="1">
                  <c:v>0.89355528520000005</c:v>
                </c:pt>
                <c:pt idx="2">
                  <c:v>0.89958193819999988</c:v>
                </c:pt>
                <c:pt idx="3">
                  <c:v>0.90717398179999986</c:v>
                </c:pt>
                <c:pt idx="4">
                  <c:v>0.94640303390000025</c:v>
                </c:pt>
                <c:pt idx="5">
                  <c:v>0.97030139419999994</c:v>
                </c:pt>
                <c:pt idx="6">
                  <c:v>1.0151061794000003</c:v>
                </c:pt>
                <c:pt idx="7">
                  <c:v>1.0475884211000002</c:v>
                </c:pt>
                <c:pt idx="8">
                  <c:v>1.0676154564</c:v>
                </c:pt>
                <c:pt idx="9">
                  <c:v>1.1035493594000001</c:v>
                </c:pt>
                <c:pt idx="10">
                  <c:v>1.1471120549000002</c:v>
                </c:pt>
                <c:pt idx="11">
                  <c:v>1.1209743287999998</c:v>
                </c:pt>
                <c:pt idx="12">
                  <c:v>1.1311977174000001</c:v>
                </c:pt>
                <c:pt idx="13">
                  <c:v>1.1241306032</c:v>
                </c:pt>
                <c:pt idx="14">
                  <c:v>1.1966825062000002</c:v>
                </c:pt>
                <c:pt idx="15">
                  <c:v>1.2444897735999998</c:v>
                </c:pt>
                <c:pt idx="16">
                  <c:v>1.2594886610999998</c:v>
                </c:pt>
                <c:pt idx="17">
                  <c:v>1.2916170086999998</c:v>
                </c:pt>
                <c:pt idx="18">
                  <c:v>1.2793649353000001</c:v>
                </c:pt>
                <c:pt idx="19">
                  <c:v>1.2105554803</c:v>
                </c:pt>
                <c:pt idx="20">
                  <c:v>1.2756639928</c:v>
                </c:pt>
                <c:pt idx="21">
                  <c:v>1.3110258322000001</c:v>
                </c:pt>
                <c:pt idx="22">
                  <c:v>1.3270094226</c:v>
                </c:pt>
                <c:pt idx="23">
                  <c:v>1.359890826</c:v>
                </c:pt>
                <c:pt idx="24">
                  <c:v>1.4047606022000001</c:v>
                </c:pt>
                <c:pt idx="25">
                  <c:v>1.4822811819000001</c:v>
                </c:pt>
                <c:pt idx="26">
                  <c:v>1.5523634898000001</c:v>
                </c:pt>
                <c:pt idx="27">
                  <c:v>1.6500563341000001</c:v>
                </c:pt>
                <c:pt idx="28">
                  <c:v>1.7129458757</c:v>
                </c:pt>
                <c:pt idx="29">
                  <c:v>1.7458999999999998</c:v>
                </c:pt>
                <c:pt idx="30">
                  <c:v>1.0302</c:v>
                </c:pt>
                <c:pt idx="31">
                  <c:v>1.234699350762847</c:v>
                </c:pt>
                <c:pt idx="32">
                  <c:v>1.1607738627213611</c:v>
                </c:pt>
                <c:pt idx="33">
                  <c:v>1.0842431749722166</c:v>
                </c:pt>
                <c:pt idx="34">
                  <c:v>1.0051072875154132</c:v>
                </c:pt>
                <c:pt idx="35">
                  <c:v>0.92336620035095085</c:v>
                </c:pt>
                <c:pt idx="36">
                  <c:v>0.91424157162483211</c:v>
                </c:pt>
                <c:pt idx="37">
                  <c:v>0.90453359517517917</c:v>
                </c:pt>
                <c:pt idx="38">
                  <c:v>0.8942422710019915</c:v>
                </c:pt>
                <c:pt idx="39">
                  <c:v>0.8833675991052693</c:v>
                </c:pt>
                <c:pt idx="40">
                  <c:v>0.87190957948501246</c:v>
                </c:pt>
                <c:pt idx="41">
                  <c:v>0.85986821214122111</c:v>
                </c:pt>
                <c:pt idx="42">
                  <c:v>0.84724349707389512</c:v>
                </c:pt>
                <c:pt idx="43">
                  <c:v>0.83403543428303439</c:v>
                </c:pt>
                <c:pt idx="44">
                  <c:v>0.82024402376863925</c:v>
                </c:pt>
                <c:pt idx="45">
                  <c:v>0.80586926553070959</c:v>
                </c:pt>
                <c:pt idx="46">
                  <c:v>0.79091115956924529</c:v>
                </c:pt>
                <c:pt idx="47">
                  <c:v>0.77536970588424647</c:v>
                </c:pt>
                <c:pt idx="48">
                  <c:v>0.7592449044757128</c:v>
                </c:pt>
                <c:pt idx="49">
                  <c:v>0.74253675534364494</c:v>
                </c:pt>
                <c:pt idx="50">
                  <c:v>0.72524525848804211</c:v>
                </c:pt>
                <c:pt idx="51">
                  <c:v>0.70737041390890487</c:v>
                </c:pt>
                <c:pt idx="52">
                  <c:v>0.688912221606233</c:v>
                </c:pt>
                <c:pt idx="53">
                  <c:v>0.66987068158002661</c:v>
                </c:pt>
                <c:pt idx="54">
                  <c:v>0.65024579383028558</c:v>
                </c:pt>
                <c:pt idx="55">
                  <c:v>0.63003755835701003</c:v>
                </c:pt>
                <c:pt idx="56">
                  <c:v>0.60924597516019996</c:v>
                </c:pt>
                <c:pt idx="57">
                  <c:v>0.58787104423985526</c:v>
                </c:pt>
                <c:pt idx="58">
                  <c:v>0.56591276559597592</c:v>
                </c:pt>
                <c:pt idx="59">
                  <c:v>0.54337113922856239</c:v>
                </c:pt>
                <c:pt idx="60">
                  <c:v>0.52024616513761368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50-9147-8C76-455D1EF79501}"/>
            </c:ext>
          </c:extLst>
        </c:ser>
        <c:ser>
          <c:idx val="7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'Fig1_non-CO2_emissions'!$AE$147:$AE$207</c:f>
              <c:numCache>
                <c:formatCode>_(* #,##0.0_);_(* \(#,##0.0\);_(* "-"??_);_(@_)</c:formatCode>
                <c:ptCount val="61"/>
                <c:pt idx="0">
                  <c:v>0.92013518286992724</c:v>
                </c:pt>
                <c:pt idx="1">
                  <c:v>0.89004481648985212</c:v>
                </c:pt>
                <c:pt idx="2">
                  <c:v>0.89259525527051042</c:v>
                </c:pt>
                <c:pt idx="3">
                  <c:v>0.90124016385468364</c:v>
                </c:pt>
                <c:pt idx="4">
                  <c:v>0.94216211932456728</c:v>
                </c:pt>
                <c:pt idx="5">
                  <c:v>0.96580324831159248</c:v>
                </c:pt>
                <c:pt idx="6">
                  <c:v>1.0067881385798934</c:v>
                </c:pt>
                <c:pt idx="7">
                  <c:v>1.0412870997386925</c:v>
                </c:pt>
                <c:pt idx="8">
                  <c:v>1.0646835362855382</c:v>
                </c:pt>
                <c:pt idx="9">
                  <c:v>1.1015920011551803</c:v>
                </c:pt>
                <c:pt idx="10">
                  <c:v>1.1397244142087186</c:v>
                </c:pt>
                <c:pt idx="11">
                  <c:v>1.1165534737735774</c:v>
                </c:pt>
                <c:pt idx="12">
                  <c:v>1.125593000553234</c:v>
                </c:pt>
                <c:pt idx="13">
                  <c:v>1.1192210344570825</c:v>
                </c:pt>
                <c:pt idx="14">
                  <c:v>1.1906872644284465</c:v>
                </c:pt>
                <c:pt idx="15">
                  <c:v>1.2430587363718288</c:v>
                </c:pt>
                <c:pt idx="16">
                  <c:v>1.2571896640443141</c:v>
                </c:pt>
                <c:pt idx="17">
                  <c:v>1.2912891471776364</c:v>
                </c:pt>
                <c:pt idx="18">
                  <c:v>1.2755962701451975</c:v>
                </c:pt>
                <c:pt idx="19">
                  <c:v>1.2111060831381935</c:v>
                </c:pt>
                <c:pt idx="20">
                  <c:v>1.2768663867140333</c:v>
                </c:pt>
                <c:pt idx="21">
                  <c:v>1.3072386232337396</c:v>
                </c:pt>
                <c:pt idx="22">
                  <c:v>1.3167959648992176</c:v>
                </c:pt>
                <c:pt idx="23">
                  <c:v>1.3588480738341202</c:v>
                </c:pt>
                <c:pt idx="24">
                  <c:v>1.4023498700561234</c:v>
                </c:pt>
                <c:pt idx="25">
                  <c:v>1.4796896905577919</c:v>
                </c:pt>
                <c:pt idx="26">
                  <c:v>1.5444009998295061</c:v>
                </c:pt>
                <c:pt idx="27">
                  <c:v>1.6467344400054278</c:v>
                </c:pt>
                <c:pt idx="28">
                  <c:v>1.7195184128795655</c:v>
                </c:pt>
                <c:pt idx="29">
                  <c:v>1.7458999999999998</c:v>
                </c:pt>
                <c:pt idx="30">
                  <c:v>1.0301999999999996</c:v>
                </c:pt>
                <c:pt idx="31">
                  <c:v>1.2346993507628472</c:v>
                </c:pt>
                <c:pt idx="32">
                  <c:v>1.1607738627213611</c:v>
                </c:pt>
                <c:pt idx="33">
                  <c:v>1.0799912409527177</c:v>
                </c:pt>
                <c:pt idx="34">
                  <c:v>0.99722409310352755</c:v>
                </c:pt>
                <c:pt idx="35">
                  <c:v>0.91004296030921883</c:v>
                </c:pt>
                <c:pt idx="36">
                  <c:v>0.89519090089400466</c:v>
                </c:pt>
                <c:pt idx="37">
                  <c:v>0.87990670306881247</c:v>
                </c:pt>
                <c:pt idx="38">
                  <c:v>0.86420095559610655</c:v>
                </c:pt>
                <c:pt idx="39">
                  <c:v>0.84808417618907062</c:v>
                </c:pt>
                <c:pt idx="40">
                  <c:v>0.83156681151160539</c:v>
                </c:pt>
                <c:pt idx="41">
                  <c:v>0.80612357752953212</c:v>
                </c:pt>
                <c:pt idx="42">
                  <c:v>0.78059730296815977</c:v>
                </c:pt>
                <c:pt idx="43">
                  <c:v>0.75501343183706937</c:v>
                </c:pt>
                <c:pt idx="44">
                  <c:v>0.72939714615161355</c:v>
                </c:pt>
                <c:pt idx="45">
                  <c:v>0.70377336593291784</c:v>
                </c:pt>
                <c:pt idx="46">
                  <c:v>0.66898286598706103</c:v>
                </c:pt>
                <c:pt idx="47">
                  <c:v>0.63464502284678992</c:v>
                </c:pt>
                <c:pt idx="48">
                  <c:v>0.60080116164238329</c:v>
                </c:pt>
                <c:pt idx="49">
                  <c:v>0.56749211904030583</c:v>
                </c:pt>
                <c:pt idx="50">
                  <c:v>0.53475824324320675</c:v>
                </c:pt>
                <c:pt idx="51">
                  <c:v>0.50819780750955812</c:v>
                </c:pt>
                <c:pt idx="52">
                  <c:v>0.48197109508538655</c:v>
                </c:pt>
                <c:pt idx="53">
                  <c:v>0.45610577379991829</c:v>
                </c:pt>
                <c:pt idx="54">
                  <c:v>0.43062917843886955</c:v>
                </c:pt>
                <c:pt idx="55">
                  <c:v>0.40556831074444749</c:v>
                </c:pt>
                <c:pt idx="56">
                  <c:v>0.38364682942890876</c:v>
                </c:pt>
                <c:pt idx="57">
                  <c:v>0.36198991974467731</c:v>
                </c:pt>
                <c:pt idx="58">
                  <c:v>0.34061750878580827</c:v>
                </c:pt>
                <c:pt idx="59">
                  <c:v>0.3195492794144501</c:v>
                </c:pt>
                <c:pt idx="60">
                  <c:v>0.29880467026084351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50-9147-8C76-455D1EF79501}"/>
            </c:ext>
          </c:extLst>
        </c:ser>
        <c:ser>
          <c:idx val="8"/>
          <c:order val="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'Fig1_non-CO2_emissions'!$AS$147:$AS$207</c:f>
              <c:numCache>
                <c:formatCode>_(* #,##0.0_);_(* \(#,##0.0\);_(* "-"??_);_(@_)</c:formatCode>
                <c:ptCount val="61"/>
                <c:pt idx="0">
                  <c:v>0.92013518286992724</c:v>
                </c:pt>
                <c:pt idx="1">
                  <c:v>0.89004481648985212</c:v>
                </c:pt>
                <c:pt idx="2">
                  <c:v>0.89259525527051042</c:v>
                </c:pt>
                <c:pt idx="3">
                  <c:v>0.90124016385468364</c:v>
                </c:pt>
                <c:pt idx="4">
                  <c:v>0.94216211932456728</c:v>
                </c:pt>
                <c:pt idx="5">
                  <c:v>0.96580324831159248</c:v>
                </c:pt>
                <c:pt idx="6">
                  <c:v>1.0067881385798934</c:v>
                </c:pt>
                <c:pt idx="7">
                  <c:v>1.0412870997386925</c:v>
                </c:pt>
                <c:pt idx="8">
                  <c:v>1.0646835362855382</c:v>
                </c:pt>
                <c:pt idx="9">
                  <c:v>1.1015920011551803</c:v>
                </c:pt>
                <c:pt idx="10">
                  <c:v>1.1397244142087186</c:v>
                </c:pt>
                <c:pt idx="11">
                  <c:v>1.1165534737735774</c:v>
                </c:pt>
                <c:pt idx="12">
                  <c:v>1.125593000553234</c:v>
                </c:pt>
                <c:pt idx="13">
                  <c:v>1.1192210344570825</c:v>
                </c:pt>
                <c:pt idx="14">
                  <c:v>1.1906872644284465</c:v>
                </c:pt>
                <c:pt idx="15">
                  <c:v>1.2430587363718288</c:v>
                </c:pt>
                <c:pt idx="16">
                  <c:v>1.2571896640443141</c:v>
                </c:pt>
                <c:pt idx="17">
                  <c:v>1.2912891471776364</c:v>
                </c:pt>
                <c:pt idx="18">
                  <c:v>1.2755962701451975</c:v>
                </c:pt>
                <c:pt idx="19">
                  <c:v>1.2111060831381935</c:v>
                </c:pt>
                <c:pt idx="20">
                  <c:v>1.2768663867140333</c:v>
                </c:pt>
                <c:pt idx="21">
                  <c:v>1.3072386232337396</c:v>
                </c:pt>
                <c:pt idx="22">
                  <c:v>1.3167959648992176</c:v>
                </c:pt>
                <c:pt idx="23">
                  <c:v>1.3588480738341202</c:v>
                </c:pt>
                <c:pt idx="24">
                  <c:v>1.4023498700561234</c:v>
                </c:pt>
                <c:pt idx="25">
                  <c:v>1.4796896905577919</c:v>
                </c:pt>
                <c:pt idx="26">
                  <c:v>1.5444009998295061</c:v>
                </c:pt>
                <c:pt idx="27">
                  <c:v>1.6467344400054278</c:v>
                </c:pt>
                <c:pt idx="28">
                  <c:v>1.7195184128795655</c:v>
                </c:pt>
                <c:pt idx="29">
                  <c:v>1.7458999999999998</c:v>
                </c:pt>
                <c:pt idx="30">
                  <c:v>1.0301999999999996</c:v>
                </c:pt>
                <c:pt idx="31">
                  <c:v>1.2346993507628472</c:v>
                </c:pt>
                <c:pt idx="32">
                  <c:v>1.1607738627213611</c:v>
                </c:pt>
                <c:pt idx="33">
                  <c:v>1.0614649570106154</c:v>
                </c:pt>
                <c:pt idx="34">
                  <c:v>0.96287588888031184</c:v>
                </c:pt>
                <c:pt idx="35">
                  <c:v>0.85619969537439455</c:v>
                </c:pt>
                <c:pt idx="36">
                  <c:v>0.82004785938719549</c:v>
                </c:pt>
                <c:pt idx="37">
                  <c:v>0.78433727661465658</c:v>
                </c:pt>
                <c:pt idx="38">
                  <c:v>0.74910750188246167</c:v>
                </c:pt>
                <c:pt idx="39">
                  <c:v>0.71439656509179839</c:v>
                </c:pt>
                <c:pt idx="40">
                  <c:v>0.68024097121936056</c:v>
                </c:pt>
                <c:pt idx="41">
                  <c:v>0.64667570031734578</c:v>
                </c:pt>
                <c:pt idx="42">
                  <c:v>0.61373420751345709</c:v>
                </c:pt>
                <c:pt idx="43">
                  <c:v>0.58144842301090194</c:v>
                </c:pt>
                <c:pt idx="44">
                  <c:v>0.54984875208839334</c:v>
                </c:pt>
                <c:pt idx="45">
                  <c:v>0.51896407510014864</c:v>
                </c:pt>
                <c:pt idx="46">
                  <c:v>0.48882174747589036</c:v>
                </c:pt>
                <c:pt idx="47">
                  <c:v>0.45944759972084515</c:v>
                </c:pt>
                <c:pt idx="48">
                  <c:v>0.43086593741574564</c:v>
                </c:pt>
                <c:pt idx="49">
                  <c:v>0.40309954121682873</c:v>
                </c:pt>
                <c:pt idx="50">
                  <c:v>0.37616966685583586</c:v>
                </c:pt>
                <c:pt idx="51">
                  <c:v>0.35009604514001386</c:v>
                </c:pt>
                <c:pt idx="52">
                  <c:v>0.32489688195211441</c:v>
                </c:pt>
                <c:pt idx="53">
                  <c:v>0.30058885825039389</c:v>
                </c:pt>
                <c:pt idx="54">
                  <c:v>0.2771871300686134</c:v>
                </c:pt>
                <c:pt idx="55">
                  <c:v>0.25470532851603928</c:v>
                </c:pt>
                <c:pt idx="56">
                  <c:v>0.23315555977744234</c:v>
                </c:pt>
                <c:pt idx="57">
                  <c:v>0.21254840511309853</c:v>
                </c:pt>
                <c:pt idx="58">
                  <c:v>0.19289292085878848</c:v>
                </c:pt>
                <c:pt idx="59">
                  <c:v>0.17419663842579799</c:v>
                </c:pt>
                <c:pt idx="60">
                  <c:v>0.15646556430091715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50-9147-8C76-455D1EF79501}"/>
            </c:ext>
          </c:extLst>
        </c:ser>
        <c:ser>
          <c:idx val="9"/>
          <c:order val="9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'Fig1_non-CO2_emissions'!$Q$11:$Q$42</c:f>
              <c:numCache>
                <c:formatCode>_(* #,##0.0_);_(* \(#,##0.0\);_(* "-"??_);_(@_)</c:formatCode>
                <c:ptCount val="32"/>
                <c:pt idx="0">
                  <c:v>0.92258622599999995</c:v>
                </c:pt>
                <c:pt idx="1">
                  <c:v>0.89355528520000005</c:v>
                </c:pt>
                <c:pt idx="2">
                  <c:v>0.89958193819999988</c:v>
                </c:pt>
                <c:pt idx="3">
                  <c:v>0.90717398179999986</c:v>
                </c:pt>
                <c:pt idx="4">
                  <c:v>0.94640303390000025</c:v>
                </c:pt>
                <c:pt idx="5">
                  <c:v>0.97030139419999994</c:v>
                </c:pt>
                <c:pt idx="6">
                  <c:v>1.0151061794000003</c:v>
                </c:pt>
                <c:pt idx="7">
                  <c:v>1.0475884211000002</c:v>
                </c:pt>
                <c:pt idx="8">
                  <c:v>1.0676154564</c:v>
                </c:pt>
                <c:pt idx="9">
                  <c:v>1.1035493594000001</c:v>
                </c:pt>
                <c:pt idx="10">
                  <c:v>1.1471120549000002</c:v>
                </c:pt>
                <c:pt idx="11">
                  <c:v>1.1209743287999998</c:v>
                </c:pt>
                <c:pt idx="12">
                  <c:v>1.1311977174000001</c:v>
                </c:pt>
                <c:pt idx="13">
                  <c:v>1.1241306032</c:v>
                </c:pt>
                <c:pt idx="14">
                  <c:v>1.1966825062000002</c:v>
                </c:pt>
                <c:pt idx="15">
                  <c:v>1.2444897735999998</c:v>
                </c:pt>
                <c:pt idx="16">
                  <c:v>1.2594886610999998</c:v>
                </c:pt>
                <c:pt idx="17">
                  <c:v>1.2916170086999998</c:v>
                </c:pt>
                <c:pt idx="18">
                  <c:v>1.2793649353000001</c:v>
                </c:pt>
                <c:pt idx="19">
                  <c:v>1.2105554803</c:v>
                </c:pt>
                <c:pt idx="20">
                  <c:v>1.2756639928</c:v>
                </c:pt>
                <c:pt idx="21">
                  <c:v>1.3110258322000001</c:v>
                </c:pt>
                <c:pt idx="22">
                  <c:v>1.3270094226</c:v>
                </c:pt>
                <c:pt idx="23">
                  <c:v>1.359890826</c:v>
                </c:pt>
                <c:pt idx="24">
                  <c:v>1.4047606022000001</c:v>
                </c:pt>
                <c:pt idx="25">
                  <c:v>1.4822811819000001</c:v>
                </c:pt>
                <c:pt idx="26">
                  <c:v>1.5523634898000001</c:v>
                </c:pt>
                <c:pt idx="27">
                  <c:v>1.6500563341000001</c:v>
                </c:pt>
                <c:pt idx="28">
                  <c:v>1.7129458757</c:v>
                </c:pt>
                <c:pt idx="29">
                  <c:v>1.7458999999999998</c:v>
                </c:pt>
                <c:pt idx="30">
                  <c:v>1.0302</c:v>
                </c:pt>
                <c:pt idx="31">
                  <c:v>1.234699350762847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50-9147-8C76-455D1EF79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25615"/>
        <c:axId val="171880111"/>
      </c:lineChart>
      <c:catAx>
        <c:axId val="166582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0111"/>
        <c:crosses val="autoZero"/>
        <c:auto val="1"/>
        <c:lblAlgn val="ctr"/>
        <c:lblOffset val="100"/>
        <c:noMultiLvlLbl val="0"/>
      </c:catAx>
      <c:valAx>
        <c:axId val="171880111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2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co2</c:v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'Fig1_non-CO2_emissions'!$D$11:$D$42</c:f>
              <c:numCache>
                <c:formatCode>_(* #,##0.00_);_(* \(#,##0.00\);_(* "-"??_);_(@_)</c:formatCode>
                <c:ptCount val="32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7-474C-A80D-97958D1E4912}"/>
            </c:ext>
          </c:extLst>
        </c:ser>
        <c:ser>
          <c:idx val="1"/>
          <c:order val="1"/>
          <c:tx>
            <c:v>non-co2</c:v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'Fig1_non-CO2_emissions'!$AY$11:$AY$42</c:f>
              <c:numCache>
                <c:formatCode>0.00</c:formatCode>
                <c:ptCount val="32"/>
                <c:pt idx="0">
                  <c:v>1.6280933399999999</c:v>
                </c:pt>
                <c:pt idx="1">
                  <c:v>1.5768622680000002</c:v>
                </c:pt>
                <c:pt idx="2">
                  <c:v>1.5874975379999998</c:v>
                </c:pt>
                <c:pt idx="3">
                  <c:v>1.6008952619999999</c:v>
                </c:pt>
                <c:pt idx="4">
                  <c:v>1.6701230010000006</c:v>
                </c:pt>
                <c:pt idx="5">
                  <c:v>1.7122965779999999</c:v>
                </c:pt>
                <c:pt idx="6">
                  <c:v>1.7913638460000003</c:v>
                </c:pt>
                <c:pt idx="7">
                  <c:v>1.8486854490000004</c:v>
                </c:pt>
                <c:pt idx="8">
                  <c:v>1.8840272759999999</c:v>
                </c:pt>
                <c:pt idx="9">
                  <c:v>1.9474400460000001</c:v>
                </c:pt>
                <c:pt idx="10">
                  <c:v>2.0243153910000005</c:v>
                </c:pt>
                <c:pt idx="11">
                  <c:v>1.9781899919999999</c:v>
                </c:pt>
                <c:pt idx="12">
                  <c:v>1.9962312660000001</c:v>
                </c:pt>
                <c:pt idx="13">
                  <c:v>1.9837598880000002</c:v>
                </c:pt>
                <c:pt idx="14">
                  <c:v>2.1117926580000002</c:v>
                </c:pt>
                <c:pt idx="15">
                  <c:v>2.1961584240000001</c:v>
                </c:pt>
                <c:pt idx="16">
                  <c:v>2.2226270489999997</c:v>
                </c:pt>
                <c:pt idx="17">
                  <c:v>2.2793241329999998</c:v>
                </c:pt>
                <c:pt idx="18">
                  <c:v>2.2577028270000001</c:v>
                </c:pt>
                <c:pt idx="19">
                  <c:v>2.1362743770000003</c:v>
                </c:pt>
                <c:pt idx="20">
                  <c:v>2.2511717520000003</c:v>
                </c:pt>
                <c:pt idx="21">
                  <c:v>2.3135749980000004</c:v>
                </c:pt>
                <c:pt idx="22">
                  <c:v>2.3417813340000002</c:v>
                </c:pt>
                <c:pt idx="23">
                  <c:v>2.3998073399999997</c:v>
                </c:pt>
                <c:pt idx="24">
                  <c:v>2.4789892980000001</c:v>
                </c:pt>
                <c:pt idx="25">
                  <c:v>2.6157903210000004</c:v>
                </c:pt>
                <c:pt idx="26">
                  <c:v>2.7394649820000003</c:v>
                </c:pt>
                <c:pt idx="27">
                  <c:v>2.9118641190000001</c:v>
                </c:pt>
                <c:pt idx="28">
                  <c:v>3.022845663</c:v>
                </c:pt>
                <c:pt idx="29">
                  <c:v>3.0809999999999995</c:v>
                </c:pt>
                <c:pt idx="30">
                  <c:v>1.8180000000000001</c:v>
                </c:pt>
                <c:pt idx="31">
                  <c:v>2.1788812072285535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7-474C-A80D-97958D1E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89584"/>
        <c:axId val="258694592"/>
      </c:areaChart>
      <c:catAx>
        <c:axId val="2583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94592"/>
        <c:crosses val="autoZero"/>
        <c:auto val="1"/>
        <c:lblAlgn val="ctr"/>
        <c:lblOffset val="100"/>
        <c:noMultiLvlLbl val="0"/>
      </c:catAx>
      <c:valAx>
        <c:axId val="2586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co2</c:v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'Fig1_non-CO2_emissions'!$D$11:$D$42</c:f>
              <c:numCache>
                <c:formatCode>_(* #,##0.00_);_(* \(#,##0.00\);_(* "-"??_);_(@_)</c:formatCode>
                <c:ptCount val="32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A-814F-823E-E42FBDDEE313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'Fig1_non-CO2_emissions'!$AZ$11:$AZ$42</c:f>
              <c:numCache>
                <c:formatCode>0.00</c:formatCode>
                <c:ptCount val="32"/>
                <c:pt idx="0">
                  <c:v>0.70550711399999988</c:v>
                </c:pt>
                <c:pt idx="1">
                  <c:v>0.68330698279999991</c:v>
                </c:pt>
                <c:pt idx="2">
                  <c:v>0.68791559979999972</c:v>
                </c:pt>
                <c:pt idx="3">
                  <c:v>0.6937212801999999</c:v>
                </c:pt>
                <c:pt idx="4">
                  <c:v>0.72371996710000008</c:v>
                </c:pt>
                <c:pt idx="5">
                  <c:v>0.74199518379999985</c:v>
                </c:pt>
                <c:pt idx="6">
                  <c:v>0.77625766660000017</c:v>
                </c:pt>
                <c:pt idx="7">
                  <c:v>0.80109702789999993</c:v>
                </c:pt>
                <c:pt idx="8">
                  <c:v>0.81641181959999998</c:v>
                </c:pt>
                <c:pt idx="9">
                  <c:v>0.8438906866</c:v>
                </c:pt>
                <c:pt idx="10">
                  <c:v>0.87720333610000012</c:v>
                </c:pt>
                <c:pt idx="11">
                  <c:v>0.85721566319999987</c:v>
                </c:pt>
                <c:pt idx="12">
                  <c:v>0.86503354859999992</c:v>
                </c:pt>
                <c:pt idx="13">
                  <c:v>0.85962928479999989</c:v>
                </c:pt>
                <c:pt idx="14">
                  <c:v>0.91511015179999988</c:v>
                </c:pt>
                <c:pt idx="15">
                  <c:v>0.95166865039999982</c:v>
                </c:pt>
                <c:pt idx="16">
                  <c:v>0.96313838789999984</c:v>
                </c:pt>
                <c:pt idx="17">
                  <c:v>0.98770712429999974</c:v>
                </c:pt>
                <c:pt idx="18">
                  <c:v>0.97833789169999996</c:v>
                </c:pt>
                <c:pt idx="19">
                  <c:v>0.92571889669999985</c:v>
                </c:pt>
                <c:pt idx="20">
                  <c:v>0.97550775919999988</c:v>
                </c:pt>
                <c:pt idx="21">
                  <c:v>1.0025491658000001</c:v>
                </c:pt>
                <c:pt idx="22">
                  <c:v>1.0147719114</c:v>
                </c:pt>
                <c:pt idx="23">
                  <c:v>1.0399165139999997</c:v>
                </c:pt>
                <c:pt idx="24">
                  <c:v>1.0742286958</c:v>
                </c:pt>
                <c:pt idx="25">
                  <c:v>1.1335091390999998</c:v>
                </c:pt>
                <c:pt idx="26">
                  <c:v>1.1871014922000001</c:v>
                </c:pt>
                <c:pt idx="27">
                  <c:v>1.2618077848999998</c:v>
                </c:pt>
                <c:pt idx="28">
                  <c:v>1.3098997873</c:v>
                </c:pt>
                <c:pt idx="29">
                  <c:v>1.3350999999999995</c:v>
                </c:pt>
                <c:pt idx="30">
                  <c:v>0.78779999999999994</c:v>
                </c:pt>
                <c:pt idx="31">
                  <c:v>0.94418185646570629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A-814F-823E-E42FBDDEE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89584"/>
        <c:axId val="258694592"/>
      </c:areaChart>
      <c:catAx>
        <c:axId val="2583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94592"/>
        <c:crosses val="autoZero"/>
        <c:auto val="1"/>
        <c:lblAlgn val="ctr"/>
        <c:lblOffset val="100"/>
        <c:noMultiLvlLbl val="0"/>
      </c:catAx>
      <c:valAx>
        <c:axId val="2586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co2</c:v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'Fig1_non-CO2_emissions'!$D$11:$D$42</c:f>
              <c:numCache>
                <c:formatCode>_(* #,##0.00_);_(* \(#,##0.00\);_(* "-"??_);_(@_)</c:formatCode>
                <c:ptCount val="32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F-1D48-84A6-77EE56DB55ED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'Fig1_non-CO2_emissions'!$BA$11:$BA$42</c:f>
              <c:numCache>
                <c:formatCode>0.00</c:formatCode>
                <c:ptCount val="32"/>
                <c:pt idx="0">
                  <c:v>0.37988844599999994</c:v>
                </c:pt>
                <c:pt idx="1">
                  <c:v>0.36793452920000003</c:v>
                </c:pt>
                <c:pt idx="2">
                  <c:v>0.37041609219999994</c:v>
                </c:pt>
                <c:pt idx="3">
                  <c:v>0.3735422277999999</c:v>
                </c:pt>
                <c:pt idx="4">
                  <c:v>0.38969536690000006</c:v>
                </c:pt>
                <c:pt idx="5">
                  <c:v>0.39953586819999998</c:v>
                </c:pt>
                <c:pt idx="6">
                  <c:v>0.41798489740000011</c:v>
                </c:pt>
                <c:pt idx="7">
                  <c:v>0.43135993810000006</c:v>
                </c:pt>
                <c:pt idx="8">
                  <c:v>0.4396063644</c:v>
                </c:pt>
                <c:pt idx="9">
                  <c:v>0.45440267740000007</c:v>
                </c:pt>
                <c:pt idx="10">
                  <c:v>0.47234025790000012</c:v>
                </c:pt>
                <c:pt idx="11">
                  <c:v>0.46157766479999984</c:v>
                </c:pt>
                <c:pt idx="12">
                  <c:v>0.46578729540000008</c:v>
                </c:pt>
                <c:pt idx="13">
                  <c:v>0.46287730719999998</c:v>
                </c:pt>
                <c:pt idx="14">
                  <c:v>0.49275162020000007</c:v>
                </c:pt>
                <c:pt idx="15">
                  <c:v>0.51243696559999985</c:v>
                </c:pt>
                <c:pt idx="16">
                  <c:v>0.51861297809999984</c:v>
                </c:pt>
                <c:pt idx="17">
                  <c:v>0.53184229769999991</c:v>
                </c:pt>
                <c:pt idx="18">
                  <c:v>0.52679732629999998</c:v>
                </c:pt>
                <c:pt idx="19">
                  <c:v>0.4984640213</c:v>
                </c:pt>
                <c:pt idx="20">
                  <c:v>0.52527340879999995</c:v>
                </c:pt>
                <c:pt idx="21">
                  <c:v>0.53983416620000002</c:v>
                </c:pt>
                <c:pt idx="22">
                  <c:v>0.54641564459999992</c:v>
                </c:pt>
                <c:pt idx="23">
                  <c:v>0.55995504600000001</c:v>
                </c:pt>
                <c:pt idx="24">
                  <c:v>0.57843083620000002</c:v>
                </c:pt>
                <c:pt idx="25">
                  <c:v>0.61035107490000007</c:v>
                </c:pt>
                <c:pt idx="26">
                  <c:v>0.63920849579999994</c:v>
                </c:pt>
                <c:pt idx="27">
                  <c:v>0.67943496110000001</c:v>
                </c:pt>
                <c:pt idx="28">
                  <c:v>0.7053306547</c:v>
                </c:pt>
                <c:pt idx="29">
                  <c:v>0.71889999999999987</c:v>
                </c:pt>
                <c:pt idx="30">
                  <c:v>0.42420000000000002</c:v>
                </c:pt>
                <c:pt idx="31">
                  <c:v>0.50840561501999582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F-1D48-84A6-77EE56DB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89584"/>
        <c:axId val="258694592"/>
      </c:areaChart>
      <c:catAx>
        <c:axId val="2583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94592"/>
        <c:crosses val="autoZero"/>
        <c:auto val="1"/>
        <c:lblAlgn val="ctr"/>
        <c:lblOffset val="100"/>
        <c:noMultiLvlLbl val="0"/>
      </c:catAx>
      <c:valAx>
        <c:axId val="2586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GTP20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'Fig1_non-CO2_emissions'!$A$11:$A$71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'Fig1_non-CO2_emissions'!$R$11:$R$71</c:f>
              <c:numCache>
                <c:formatCode>_(* #,##0.0_);_(* \(#,##0.0\);_(* "-"??_);_(@_)</c:formatCode>
                <c:ptCount val="61"/>
                <c:pt idx="0">
                  <c:v>0.7055071140000001</c:v>
                </c:pt>
                <c:pt idx="1">
                  <c:v>0.68330698280000002</c:v>
                </c:pt>
                <c:pt idx="2">
                  <c:v>0.68791559979999994</c:v>
                </c:pt>
                <c:pt idx="3">
                  <c:v>0.69372128020000001</c:v>
                </c:pt>
                <c:pt idx="4">
                  <c:v>0.72371996710000031</c:v>
                </c:pt>
                <c:pt idx="5">
                  <c:v>0.74199518379999996</c:v>
                </c:pt>
                <c:pt idx="6">
                  <c:v>0.77625766660000017</c:v>
                </c:pt>
                <c:pt idx="7">
                  <c:v>0.80109702790000015</c:v>
                </c:pt>
                <c:pt idx="8">
                  <c:v>0.81641181959999998</c:v>
                </c:pt>
                <c:pt idx="9">
                  <c:v>0.84389068660000011</c:v>
                </c:pt>
                <c:pt idx="10">
                  <c:v>0.87720333610000023</c:v>
                </c:pt>
                <c:pt idx="11">
                  <c:v>0.85721566319999998</c:v>
                </c:pt>
                <c:pt idx="12">
                  <c:v>0.86503354860000004</c:v>
                </c:pt>
                <c:pt idx="13">
                  <c:v>0.85962928480000012</c:v>
                </c:pt>
                <c:pt idx="14">
                  <c:v>0.9151101518000001</c:v>
                </c:pt>
                <c:pt idx="15">
                  <c:v>0.95166865039999993</c:v>
                </c:pt>
                <c:pt idx="16">
                  <c:v>0.96313838789999995</c:v>
                </c:pt>
                <c:pt idx="17">
                  <c:v>0.98770712429999996</c:v>
                </c:pt>
                <c:pt idx="18">
                  <c:v>0.97833789170000018</c:v>
                </c:pt>
                <c:pt idx="19">
                  <c:v>0.92571889670000007</c:v>
                </c:pt>
                <c:pt idx="20">
                  <c:v>0.9755077592000001</c:v>
                </c:pt>
                <c:pt idx="21">
                  <c:v>1.0025491658000001</c:v>
                </c:pt>
                <c:pt idx="22">
                  <c:v>1.0147719114000002</c:v>
                </c:pt>
                <c:pt idx="23">
                  <c:v>1.039916514</c:v>
                </c:pt>
                <c:pt idx="24">
                  <c:v>1.0742286958000002</c:v>
                </c:pt>
                <c:pt idx="25">
                  <c:v>1.1335091391000001</c:v>
                </c:pt>
                <c:pt idx="26">
                  <c:v>1.1871014922000003</c:v>
                </c:pt>
                <c:pt idx="27">
                  <c:v>1.2618077849000002</c:v>
                </c:pt>
                <c:pt idx="28">
                  <c:v>1.3098997873</c:v>
                </c:pt>
                <c:pt idx="29">
                  <c:v>1.3351</c:v>
                </c:pt>
                <c:pt idx="30">
                  <c:v>0.78780000000000006</c:v>
                </c:pt>
                <c:pt idx="31">
                  <c:v>0.94418185646570651</c:v>
                </c:pt>
                <c:pt idx="32">
                  <c:v>1.0358926151663845</c:v>
                </c:pt>
                <c:pt idx="33">
                  <c:v>1.1261248505295611</c:v>
                </c:pt>
                <c:pt idx="34">
                  <c:v>1.2149122852027714</c:v>
                </c:pt>
                <c:pt idx="35">
                  <c:v>1.2508736888447738</c:v>
                </c:pt>
                <c:pt idx="36">
                  <c:v>1.2878995500345793</c:v>
                </c:pt>
                <c:pt idx="37">
                  <c:v>1.3260213767156028</c:v>
                </c:pt>
                <c:pt idx="38">
                  <c:v>1.3652716094663848</c:v>
                </c:pt>
                <c:pt idx="39">
                  <c:v>1.40568364910659</c:v>
                </c:pt>
                <c:pt idx="40">
                  <c:v>1.4472918851201448</c:v>
                </c:pt>
                <c:pt idx="41">
                  <c:v>1.4901317249197013</c:v>
                </c:pt>
                <c:pt idx="42">
                  <c:v>1.5342396239773244</c:v>
                </c:pt>
                <c:pt idx="43">
                  <c:v>1.5796531168470531</c:v>
                </c:pt>
                <c:pt idx="44">
                  <c:v>1.6264108491057263</c:v>
                </c:pt>
                <c:pt idx="45">
                  <c:v>1.6745526102392554</c:v>
                </c:pt>
                <c:pt idx="46">
                  <c:v>1.7241193675023376</c:v>
                </c:pt>
                <c:pt idx="47">
                  <c:v>1.775153300780407</c:v>
                </c:pt>
                <c:pt idx="48">
                  <c:v>1.827697838483507</c:v>
                </c:pt>
                <c:pt idx="49">
                  <c:v>1.8817976945026191</c:v>
                </c:pt>
                <c:pt idx="50">
                  <c:v>1.9374989062598968</c:v>
                </c:pt>
                <c:pt idx="51">
                  <c:v>1.9948488738851891</c:v>
                </c:pt>
                <c:pt idx="52">
                  <c:v>2.0538964005521914</c:v>
                </c:pt>
                <c:pt idx="53">
                  <c:v>2.1146917340085363</c:v>
                </c:pt>
                <c:pt idx="54">
                  <c:v>2.1772866093351895</c:v>
                </c:pt>
                <c:pt idx="55">
                  <c:v>2.2417342929715103</c:v>
                </c:pt>
                <c:pt idx="56">
                  <c:v>2.3080896280434668</c:v>
                </c:pt>
                <c:pt idx="57">
                  <c:v>2.3764090810335534</c:v>
                </c:pt>
                <c:pt idx="58">
                  <c:v>2.446750789832147</c:v>
                </c:pt>
                <c:pt idx="59">
                  <c:v>2.5191746132111787</c:v>
                </c:pt>
                <c:pt idx="60">
                  <c:v>2.5937421817622299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4-EC41-863C-FA0D2A6553F5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'Fig1_non-CO2_emissions'!$AF$11:$AF$71</c:f>
              <c:numCache>
                <c:formatCode>0.0</c:formatCode>
                <c:ptCount val="61"/>
                <c:pt idx="0">
                  <c:v>0.70363278690053244</c:v>
                </c:pt>
                <c:pt idx="1">
                  <c:v>0.68062250672753377</c:v>
                </c:pt>
                <c:pt idx="2">
                  <c:v>0.68257284226568438</c:v>
                </c:pt>
                <c:pt idx="3">
                  <c:v>0.68918365471240506</c:v>
                </c:pt>
                <c:pt idx="4">
                  <c:v>0.72047691477761022</c:v>
                </c:pt>
                <c:pt idx="5">
                  <c:v>0.73855542517945294</c:v>
                </c:pt>
                <c:pt idx="6">
                  <c:v>0.76989681185521242</c:v>
                </c:pt>
                <c:pt idx="7">
                  <c:v>0.79627837038841187</c:v>
                </c:pt>
                <c:pt idx="8">
                  <c:v>0.81416976304188204</c:v>
                </c:pt>
                <c:pt idx="9">
                  <c:v>0.84239388323631403</c:v>
                </c:pt>
                <c:pt idx="10">
                  <c:v>0.87155396380666705</c:v>
                </c:pt>
                <c:pt idx="11">
                  <c:v>0.85383500935626511</c:v>
                </c:pt>
                <c:pt idx="12">
                  <c:v>0.8607475886583551</c:v>
                </c:pt>
                <c:pt idx="13">
                  <c:v>0.85587490870247473</c:v>
                </c:pt>
                <c:pt idx="14">
                  <c:v>0.91052555515116484</c:v>
                </c:pt>
                <c:pt idx="15">
                  <c:v>0.95057432781375129</c:v>
                </c:pt>
                <c:pt idx="16">
                  <c:v>0.96138033132800482</c:v>
                </c:pt>
                <c:pt idx="17">
                  <c:v>0.98745640666525114</c:v>
                </c:pt>
                <c:pt idx="18">
                  <c:v>0.97545597128750383</c:v>
                </c:pt>
                <c:pt idx="19">
                  <c:v>0.92613994592920657</c:v>
                </c:pt>
                <c:pt idx="20">
                  <c:v>0.9764272368989666</c:v>
                </c:pt>
                <c:pt idx="21">
                  <c:v>0.99965306482580074</c:v>
                </c:pt>
                <c:pt idx="22">
                  <c:v>1.0069616202170486</c:v>
                </c:pt>
                <c:pt idx="23">
                  <c:v>1.0391191152849155</c:v>
                </c:pt>
                <c:pt idx="24">
                  <c:v>1.0723851947488003</c:v>
                </c:pt>
                <c:pt idx="25">
                  <c:v>1.1315274104265465</c:v>
                </c:pt>
                <c:pt idx="26">
                  <c:v>1.1810125292813869</c:v>
                </c:pt>
                <c:pt idx="27">
                  <c:v>1.259267512945327</c:v>
                </c:pt>
                <c:pt idx="28">
                  <c:v>1.3149258451431971</c:v>
                </c:pt>
                <c:pt idx="29">
                  <c:v>1.3350999999999995</c:v>
                </c:pt>
                <c:pt idx="30">
                  <c:v>0.7877999999999995</c:v>
                </c:pt>
                <c:pt idx="31">
                  <c:v>0.94418185646570651</c:v>
                </c:pt>
                <c:pt idx="32">
                  <c:v>1.0358926151663845</c:v>
                </c:pt>
                <c:pt idx="33">
                  <c:v>1.1203498512960761</c:v>
                </c:pt>
                <c:pt idx="34">
                  <c:v>1.2024516463801789</c:v>
                </c:pt>
                <c:pt idx="35">
                  <c:v>1.2283090051738077</c:v>
                </c:pt>
                <c:pt idx="36">
                  <c:v>1.2549419516873737</c:v>
                </c:pt>
                <c:pt idx="37">
                  <c:v>1.2821105729600195</c:v>
                </c:pt>
                <c:pt idx="38">
                  <c:v>1.3098242881215516</c:v>
                </c:pt>
                <c:pt idx="39">
                  <c:v>1.3380926354178957</c:v>
                </c:pt>
                <c:pt idx="40">
                  <c:v>1.3669252719229836</c:v>
                </c:pt>
                <c:pt idx="41">
                  <c:v>1.3769884567755317</c:v>
                </c:pt>
                <c:pt idx="42">
                  <c:v>1.3865999167968246</c:v>
                </c:pt>
                <c:pt idx="43">
                  <c:v>1.3957285382410143</c:v>
                </c:pt>
                <c:pt idx="44">
                  <c:v>1.4043418927933238</c:v>
                </c:pt>
                <c:pt idx="45">
                  <c:v>1.4124061909030001</c:v>
                </c:pt>
                <c:pt idx="46">
                  <c:v>1.3937061186840336</c:v>
                </c:pt>
                <c:pt idx="47">
                  <c:v>1.3729854711278699</c:v>
                </c:pt>
                <c:pt idx="48">
                  <c:v>1.3501506037271154</c:v>
                </c:pt>
                <c:pt idx="49">
                  <c:v>1.3251043824100264</c:v>
                </c:pt>
                <c:pt idx="50">
                  <c:v>1.2977460674076291</c:v>
                </c:pt>
                <c:pt idx="51">
                  <c:v>1.2884695731243148</c:v>
                </c:pt>
                <c:pt idx="52">
                  <c:v>1.2777624450940501</c:v>
                </c:pt>
                <c:pt idx="53">
                  <c:v>1.2655556823023537</c:v>
                </c:pt>
                <c:pt idx="54">
                  <c:v>1.2517776762571307</c:v>
                </c:pt>
                <c:pt idx="55">
                  <c:v>1.2363541237099096</c:v>
                </c:pt>
                <c:pt idx="56">
                  <c:v>1.2325691195587809</c:v>
                </c:pt>
                <c:pt idx="57">
                  <c:v>1.2276936446335125</c:v>
                </c:pt>
                <c:pt idx="58">
                  <c:v>1.2216728779603323</c:v>
                </c:pt>
                <c:pt idx="59">
                  <c:v>1.2144498985820464</c:v>
                </c:pt>
                <c:pt idx="60">
                  <c:v>1.2059656148947122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4-EC41-863C-FA0D2A6553F5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'Fig1_non-CO2_emissions'!$AT$11:$AT$71</c:f>
              <c:numCache>
                <c:formatCode>0.0</c:formatCode>
                <c:ptCount val="61"/>
                <c:pt idx="0">
                  <c:v>0.70363278690053244</c:v>
                </c:pt>
                <c:pt idx="1">
                  <c:v>0.68062250672753377</c:v>
                </c:pt>
                <c:pt idx="2">
                  <c:v>0.68257284226568438</c:v>
                </c:pt>
                <c:pt idx="3">
                  <c:v>0.68918365471240506</c:v>
                </c:pt>
                <c:pt idx="4">
                  <c:v>0.72047691477761022</c:v>
                </c:pt>
                <c:pt idx="5">
                  <c:v>0.73855542517945294</c:v>
                </c:pt>
                <c:pt idx="6">
                  <c:v>0.76989681185521242</c:v>
                </c:pt>
                <c:pt idx="7">
                  <c:v>0.79627837038841187</c:v>
                </c:pt>
                <c:pt idx="8">
                  <c:v>0.81416976304188204</c:v>
                </c:pt>
                <c:pt idx="9">
                  <c:v>0.84239388323631403</c:v>
                </c:pt>
                <c:pt idx="10">
                  <c:v>0.87155396380666705</c:v>
                </c:pt>
                <c:pt idx="11">
                  <c:v>0.85383500935626511</c:v>
                </c:pt>
                <c:pt idx="12">
                  <c:v>0.8607475886583551</c:v>
                </c:pt>
                <c:pt idx="13">
                  <c:v>0.85587490870247473</c:v>
                </c:pt>
                <c:pt idx="14">
                  <c:v>0.91052555515116484</c:v>
                </c:pt>
                <c:pt idx="15">
                  <c:v>0.95057432781375129</c:v>
                </c:pt>
                <c:pt idx="16">
                  <c:v>0.96138033132800482</c:v>
                </c:pt>
                <c:pt idx="17">
                  <c:v>0.98745640666525114</c:v>
                </c:pt>
                <c:pt idx="18">
                  <c:v>0.97545597128750383</c:v>
                </c:pt>
                <c:pt idx="19">
                  <c:v>0.92613994592920657</c:v>
                </c:pt>
                <c:pt idx="20">
                  <c:v>0.9764272368989666</c:v>
                </c:pt>
                <c:pt idx="21">
                  <c:v>0.99965306482580074</c:v>
                </c:pt>
                <c:pt idx="22">
                  <c:v>1.0069616202170486</c:v>
                </c:pt>
                <c:pt idx="23">
                  <c:v>1.0391191152849155</c:v>
                </c:pt>
                <c:pt idx="24">
                  <c:v>1.0723851947488003</c:v>
                </c:pt>
                <c:pt idx="25">
                  <c:v>1.1315274104265465</c:v>
                </c:pt>
                <c:pt idx="26">
                  <c:v>1.1810125292813869</c:v>
                </c:pt>
                <c:pt idx="27">
                  <c:v>1.259267512945327</c:v>
                </c:pt>
                <c:pt idx="28">
                  <c:v>1.3149258451431971</c:v>
                </c:pt>
                <c:pt idx="29">
                  <c:v>1.3350999999999995</c:v>
                </c:pt>
                <c:pt idx="30">
                  <c:v>0.7877999999999995</c:v>
                </c:pt>
                <c:pt idx="31">
                  <c:v>0.94418185646570651</c:v>
                </c:pt>
                <c:pt idx="32">
                  <c:v>1.0358926151663845</c:v>
                </c:pt>
                <c:pt idx="33">
                  <c:v>1.0951873546358917</c:v>
                </c:pt>
                <c:pt idx="34">
                  <c:v>1.1481588629388828</c:v>
                </c:pt>
                <c:pt idx="35">
                  <c:v>1.1358781108825891</c:v>
                </c:pt>
                <c:pt idx="36">
                  <c:v>1.1225981326902594</c:v>
                </c:pt>
                <c:pt idx="37">
                  <c:v>1.1082922535299116</c:v>
                </c:pt>
                <c:pt idx="38">
                  <c:v>1.0929337377972472</c:v>
                </c:pt>
                <c:pt idx="39">
                  <c:v>1.0764958279190662</c:v>
                </c:pt>
                <c:pt idx="40">
                  <c:v>1.058951786070369</c:v>
                </c:pt>
                <c:pt idx="41">
                  <c:v>1.0402749389603123</c:v>
                </c:pt>
                <c:pt idx="42">
                  <c:v>1.0204387258493095</c:v>
                </c:pt>
                <c:pt idx="43">
                  <c:v>0.99941674996699548</c:v>
                </c:pt>
                <c:pt idx="44">
                  <c:v>0.97718283350851687</c:v>
                </c:pt>
                <c:pt idx="45">
                  <c:v>0.95371107639465924</c:v>
                </c:pt>
                <c:pt idx="46">
                  <c:v>0.92897591898975684</c:v>
                </c:pt>
                <c:pt idx="47">
                  <c:v>0.90295220898003992</c:v>
                </c:pt>
                <c:pt idx="48">
                  <c:v>0.87561527262423944</c:v>
                </c:pt>
                <c:pt idx="49">
                  <c:v>0.84694099059772876</c:v>
                </c:pt>
                <c:pt idx="50">
                  <c:v>0.81690587866140019</c:v>
                </c:pt>
                <c:pt idx="51">
                  <c:v>0.78548717339677021</c:v>
                </c:pt>
                <c:pt idx="52">
                  <c:v>0.75266292325953066</c:v>
                </c:pt>
                <c:pt idx="53">
                  <c:v>0.71841208521494515</c:v>
                </c:pt>
                <c:pt idx="54">
                  <c:v>0.68271462723012055</c:v>
                </c:pt>
                <c:pt idx="55">
                  <c:v>0.6455516369102936</c:v>
                </c:pt>
                <c:pt idx="56">
                  <c:v>0.60690543657888485</c:v>
                </c:pt>
                <c:pt idx="57">
                  <c:v>0.56675970511419604</c:v>
                </c:pt>
                <c:pt idx="58">
                  <c:v>0.52509960686929591</c:v>
                </c:pt>
                <c:pt idx="59">
                  <c:v>0.48191192801585475</c:v>
                </c:pt>
                <c:pt idx="60">
                  <c:v>0.43718522066749199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4-EC41-863C-FA0D2A6553F5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'Fig1_non-CO2_emissions'!$R$79:$R$139</c:f>
              <c:numCache>
                <c:formatCode>_(* #,##0.0_);_(* \(#,##0.0\);_(* "-"??_);_(@_)</c:formatCode>
                <c:ptCount val="61"/>
                <c:pt idx="0">
                  <c:v>0.7055071140000001</c:v>
                </c:pt>
                <c:pt idx="1">
                  <c:v>0.68330698280000002</c:v>
                </c:pt>
                <c:pt idx="2">
                  <c:v>0.68791559979999994</c:v>
                </c:pt>
                <c:pt idx="3">
                  <c:v>0.69372128020000001</c:v>
                </c:pt>
                <c:pt idx="4">
                  <c:v>0.72371996710000031</c:v>
                </c:pt>
                <c:pt idx="5">
                  <c:v>0.74199518379999996</c:v>
                </c:pt>
                <c:pt idx="6">
                  <c:v>0.77625766660000017</c:v>
                </c:pt>
                <c:pt idx="7">
                  <c:v>0.80109702790000015</c:v>
                </c:pt>
                <c:pt idx="8">
                  <c:v>0.81641181959999998</c:v>
                </c:pt>
                <c:pt idx="9">
                  <c:v>0.84389068660000011</c:v>
                </c:pt>
                <c:pt idx="10">
                  <c:v>0.87720333610000023</c:v>
                </c:pt>
                <c:pt idx="11">
                  <c:v>0.85721566319999998</c:v>
                </c:pt>
                <c:pt idx="12">
                  <c:v>0.86503354860000004</c:v>
                </c:pt>
                <c:pt idx="13">
                  <c:v>0.85962928480000012</c:v>
                </c:pt>
                <c:pt idx="14">
                  <c:v>0.9151101518000001</c:v>
                </c:pt>
                <c:pt idx="15">
                  <c:v>0.95166865039999993</c:v>
                </c:pt>
                <c:pt idx="16">
                  <c:v>0.96313838789999995</c:v>
                </c:pt>
                <c:pt idx="17">
                  <c:v>0.98770712429999996</c:v>
                </c:pt>
                <c:pt idx="18">
                  <c:v>0.97833789170000018</c:v>
                </c:pt>
                <c:pt idx="19">
                  <c:v>0.92571889670000007</c:v>
                </c:pt>
                <c:pt idx="20">
                  <c:v>0.9755077592000001</c:v>
                </c:pt>
                <c:pt idx="21">
                  <c:v>1.0025491658000001</c:v>
                </c:pt>
                <c:pt idx="22">
                  <c:v>1.0147719114000002</c:v>
                </c:pt>
                <c:pt idx="23">
                  <c:v>1.039916514</c:v>
                </c:pt>
                <c:pt idx="24">
                  <c:v>1.0742286958000002</c:v>
                </c:pt>
                <c:pt idx="25">
                  <c:v>1.1335091391000001</c:v>
                </c:pt>
                <c:pt idx="26">
                  <c:v>1.1871014922000003</c:v>
                </c:pt>
                <c:pt idx="27">
                  <c:v>1.2618077849000002</c:v>
                </c:pt>
                <c:pt idx="28">
                  <c:v>1.3098997873</c:v>
                </c:pt>
                <c:pt idx="29">
                  <c:v>1.3351</c:v>
                </c:pt>
                <c:pt idx="30">
                  <c:v>0.78780000000000006</c:v>
                </c:pt>
                <c:pt idx="31">
                  <c:v>0.94418185646570651</c:v>
                </c:pt>
                <c:pt idx="32">
                  <c:v>1.0214909925460856</c:v>
                </c:pt>
                <c:pt idx="33">
                  <c:v>1.09551643948013</c:v>
                </c:pt>
                <c:pt idx="34">
                  <c:v>1.1663596423719969</c:v>
                </c:pt>
                <c:pt idx="35">
                  <c:v>1.1753225709884767</c:v>
                </c:pt>
                <c:pt idx="36">
                  <c:v>1.1843562666126508</c:v>
                </c:pt>
                <c:pt idx="37">
                  <c:v>1.1934612993420595</c:v>
                </c:pt>
                <c:pt idx="38">
                  <c:v>1.2026382439332952</c:v>
                </c:pt>
                <c:pt idx="39">
                  <c:v>1.2118876798404599</c:v>
                </c:pt>
                <c:pt idx="40">
                  <c:v>1.2212101912539373</c:v>
                </c:pt>
                <c:pt idx="41">
                  <c:v>1.2306063671394945</c:v>
                </c:pt>
                <c:pt idx="42">
                  <c:v>1.2400768012776997</c:v>
                </c:pt>
                <c:pt idx="43">
                  <c:v>1.2496220923036758</c:v>
                </c:pt>
                <c:pt idx="44">
                  <c:v>1.2592428437471794</c:v>
                </c:pt>
                <c:pt idx="45">
                  <c:v>1.2689396640730135</c:v>
                </c:pt>
                <c:pt idx="46">
                  <c:v>1.2787131667217777</c:v>
                </c:pt>
                <c:pt idx="47">
                  <c:v>1.2885639701509561</c:v>
                </c:pt>
                <c:pt idx="48">
                  <c:v>1.298492697876346</c:v>
                </c:pt>
                <c:pt idx="49">
                  <c:v>1.308499978513834</c:v>
                </c:pt>
                <c:pt idx="50">
                  <c:v>1.3185864458215149</c:v>
                </c:pt>
                <c:pt idx="51">
                  <c:v>1.3287527387421634</c:v>
                </c:pt>
                <c:pt idx="52">
                  <c:v>1.3389995014460609</c:v>
                </c:pt>
                <c:pt idx="53">
                  <c:v>1.3493273833741724</c:v>
                </c:pt>
                <c:pt idx="54">
                  <c:v>1.3597370392816892</c:v>
                </c:pt>
                <c:pt idx="55">
                  <c:v>1.3702291292819271</c:v>
                </c:pt>
                <c:pt idx="56">
                  <c:v>1.3808043188905972</c:v>
                </c:pt>
                <c:pt idx="57">
                  <c:v>1.3914632790704358</c:v>
                </c:pt>
                <c:pt idx="58">
                  <c:v>1.4022066862762135</c:v>
                </c:pt>
                <c:pt idx="59">
                  <c:v>1.4130352225001144</c:v>
                </c:pt>
                <c:pt idx="60">
                  <c:v>1.4239495753174913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4-EC41-863C-FA0D2A6553F5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'Fig1_non-CO2_emissions'!$AF$79:$AF$139</c:f>
              <c:numCache>
                <c:formatCode>0.0</c:formatCode>
                <c:ptCount val="61"/>
                <c:pt idx="0">
                  <c:v>0.70363278690053244</c:v>
                </c:pt>
                <c:pt idx="1">
                  <c:v>0.68062250672753377</c:v>
                </c:pt>
                <c:pt idx="2">
                  <c:v>0.68257284226568438</c:v>
                </c:pt>
                <c:pt idx="3">
                  <c:v>0.68918365471240506</c:v>
                </c:pt>
                <c:pt idx="4">
                  <c:v>0.72047691477761022</c:v>
                </c:pt>
                <c:pt idx="5">
                  <c:v>0.73855542517945294</c:v>
                </c:pt>
                <c:pt idx="6">
                  <c:v>0.76989681185521242</c:v>
                </c:pt>
                <c:pt idx="7">
                  <c:v>0.79627837038841187</c:v>
                </c:pt>
                <c:pt idx="8">
                  <c:v>0.81416976304188204</c:v>
                </c:pt>
                <c:pt idx="9">
                  <c:v>0.84239388323631403</c:v>
                </c:pt>
                <c:pt idx="10">
                  <c:v>0.87155396380666705</c:v>
                </c:pt>
                <c:pt idx="11">
                  <c:v>0.85383500935626511</c:v>
                </c:pt>
                <c:pt idx="12">
                  <c:v>0.8607475886583551</c:v>
                </c:pt>
                <c:pt idx="13">
                  <c:v>0.85587490870247473</c:v>
                </c:pt>
                <c:pt idx="14">
                  <c:v>0.91052555515116484</c:v>
                </c:pt>
                <c:pt idx="15">
                  <c:v>0.95057432781375129</c:v>
                </c:pt>
                <c:pt idx="16">
                  <c:v>0.96138033132800482</c:v>
                </c:pt>
                <c:pt idx="17">
                  <c:v>0.98745640666525114</c:v>
                </c:pt>
                <c:pt idx="18">
                  <c:v>0.97545597128750383</c:v>
                </c:pt>
                <c:pt idx="19">
                  <c:v>0.92613994592920657</c:v>
                </c:pt>
                <c:pt idx="20">
                  <c:v>0.9764272368989666</c:v>
                </c:pt>
                <c:pt idx="21">
                  <c:v>0.99965306482580074</c:v>
                </c:pt>
                <c:pt idx="22">
                  <c:v>1.0069616202170486</c:v>
                </c:pt>
                <c:pt idx="23">
                  <c:v>1.0391191152849155</c:v>
                </c:pt>
                <c:pt idx="24">
                  <c:v>1.0723851947488003</c:v>
                </c:pt>
                <c:pt idx="25">
                  <c:v>1.1315274104265465</c:v>
                </c:pt>
                <c:pt idx="26">
                  <c:v>1.1810125292813869</c:v>
                </c:pt>
                <c:pt idx="27">
                  <c:v>1.259267512945327</c:v>
                </c:pt>
                <c:pt idx="28">
                  <c:v>1.3149258451431971</c:v>
                </c:pt>
                <c:pt idx="29">
                  <c:v>1.3350999999999995</c:v>
                </c:pt>
                <c:pt idx="30">
                  <c:v>0.7877999999999995</c:v>
                </c:pt>
                <c:pt idx="31">
                  <c:v>0.94418185646570651</c:v>
                </c:pt>
                <c:pt idx="32">
                  <c:v>1.0214909925460856</c:v>
                </c:pt>
                <c:pt idx="33">
                  <c:v>1.0898984064571553</c:v>
                </c:pt>
                <c:pt idx="34">
                  <c:v>1.1543969793733095</c:v>
                </c:pt>
                <c:pt idx="35">
                  <c:v>1.1541207643934446</c:v>
                </c:pt>
                <c:pt idx="36">
                  <c:v>1.1540483608959606</c:v>
                </c:pt>
                <c:pt idx="37">
                  <c:v>1.1539401831477671</c:v>
                </c:pt>
                <c:pt idx="38">
                  <c:v>1.153795897318457</c:v>
                </c:pt>
                <c:pt idx="39">
                  <c:v>1.1536151682342264</c:v>
                </c:pt>
                <c:pt idx="40">
                  <c:v>1.1533976593922051</c:v>
                </c:pt>
                <c:pt idx="41">
                  <c:v>1.1371684355467762</c:v>
                </c:pt>
                <c:pt idx="42">
                  <c:v>1.1207443495793483</c:v>
                </c:pt>
                <c:pt idx="43">
                  <c:v>1.1041241888130047</c:v>
                </c:pt>
                <c:pt idx="44">
                  <c:v>1.0873067402659737</c:v>
                </c:pt>
                <c:pt idx="45">
                  <c:v>1.0702907907820376</c:v>
                </c:pt>
                <c:pt idx="46">
                  <c:v>1.0336583406540512</c:v>
                </c:pt>
                <c:pt idx="47">
                  <c:v>0.99663483083873816</c:v>
                </c:pt>
                <c:pt idx="48">
                  <c:v>0.95921801900671233</c:v>
                </c:pt>
                <c:pt idx="49">
                  <c:v>0.92140566490086828</c:v>
                </c:pt>
                <c:pt idx="50">
                  <c:v>0.88319553062619049</c:v>
                </c:pt>
                <c:pt idx="51">
                  <c:v>0.85823918617978201</c:v>
                </c:pt>
                <c:pt idx="52">
                  <c:v>0.83301342584146409</c:v>
                </c:pt>
                <c:pt idx="53">
                  <c:v>0.80751672210795011</c:v>
                </c:pt>
                <c:pt idx="54">
                  <c:v>0.78174754947512304</c:v>
                </c:pt>
                <c:pt idx="55">
                  <c:v>0.75570438464835465</c:v>
                </c:pt>
                <c:pt idx="56">
                  <c:v>0.73737897477605818</c:v>
                </c:pt>
                <c:pt idx="57">
                  <c:v>0.71885376894482644</c:v>
                </c:pt>
                <c:pt idx="58">
                  <c:v>0.70012764889545653</c:v>
                </c:pt>
                <c:pt idx="59">
                  <c:v>0.68119949830340265</c:v>
                </c:pt>
                <c:pt idx="60">
                  <c:v>0.66206820294301816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C4-EC41-863C-FA0D2A6553F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'Fig1_non-CO2_emissions'!$AT$79:$AT$139</c:f>
              <c:numCache>
                <c:formatCode>0.0</c:formatCode>
                <c:ptCount val="61"/>
                <c:pt idx="0">
                  <c:v>0.70363278690053244</c:v>
                </c:pt>
                <c:pt idx="1">
                  <c:v>0.68062250672753377</c:v>
                </c:pt>
                <c:pt idx="2">
                  <c:v>0.68257284226568438</c:v>
                </c:pt>
                <c:pt idx="3">
                  <c:v>0.68918365471240506</c:v>
                </c:pt>
                <c:pt idx="4">
                  <c:v>0.72047691477761022</c:v>
                </c:pt>
                <c:pt idx="5">
                  <c:v>0.73855542517945294</c:v>
                </c:pt>
                <c:pt idx="6">
                  <c:v>0.76989681185521242</c:v>
                </c:pt>
                <c:pt idx="7">
                  <c:v>0.79627837038841187</c:v>
                </c:pt>
                <c:pt idx="8">
                  <c:v>0.81416976304188204</c:v>
                </c:pt>
                <c:pt idx="9">
                  <c:v>0.84239388323631403</c:v>
                </c:pt>
                <c:pt idx="10">
                  <c:v>0.87155396380666705</c:v>
                </c:pt>
                <c:pt idx="11">
                  <c:v>0.85383500935626511</c:v>
                </c:pt>
                <c:pt idx="12">
                  <c:v>0.8607475886583551</c:v>
                </c:pt>
                <c:pt idx="13">
                  <c:v>0.85587490870247473</c:v>
                </c:pt>
                <c:pt idx="14">
                  <c:v>0.91052555515116484</c:v>
                </c:pt>
                <c:pt idx="15">
                  <c:v>0.95057432781375129</c:v>
                </c:pt>
                <c:pt idx="16">
                  <c:v>0.96138033132800482</c:v>
                </c:pt>
                <c:pt idx="17">
                  <c:v>0.98745640666525114</c:v>
                </c:pt>
                <c:pt idx="18">
                  <c:v>0.97545597128750383</c:v>
                </c:pt>
                <c:pt idx="19">
                  <c:v>0.92613994592920657</c:v>
                </c:pt>
                <c:pt idx="20">
                  <c:v>0.9764272368989666</c:v>
                </c:pt>
                <c:pt idx="21">
                  <c:v>0.99965306482580074</c:v>
                </c:pt>
                <c:pt idx="22">
                  <c:v>1.0069616202170486</c:v>
                </c:pt>
                <c:pt idx="23">
                  <c:v>1.0391191152849155</c:v>
                </c:pt>
                <c:pt idx="24">
                  <c:v>1.0723851947488003</c:v>
                </c:pt>
                <c:pt idx="25">
                  <c:v>1.1315274104265465</c:v>
                </c:pt>
                <c:pt idx="26">
                  <c:v>1.1810125292813869</c:v>
                </c:pt>
                <c:pt idx="27">
                  <c:v>1.259267512945327</c:v>
                </c:pt>
                <c:pt idx="28">
                  <c:v>1.3149258451431971</c:v>
                </c:pt>
                <c:pt idx="29">
                  <c:v>1.3350999999999995</c:v>
                </c:pt>
                <c:pt idx="30">
                  <c:v>0.7877999999999995</c:v>
                </c:pt>
                <c:pt idx="31">
                  <c:v>0.94418185646570651</c:v>
                </c:pt>
                <c:pt idx="32">
                  <c:v>1.0214909925460856</c:v>
                </c:pt>
                <c:pt idx="33">
                  <c:v>1.0654198339999066</c:v>
                </c:pt>
                <c:pt idx="34">
                  <c:v>1.1022739477361727</c:v>
                </c:pt>
                <c:pt idx="35">
                  <c:v>1.0672725739758744</c:v>
                </c:pt>
                <c:pt idx="36">
                  <c:v>1.0323445903088257</c:v>
                </c:pt>
                <c:pt idx="37">
                  <c:v>0.99749818228777531</c:v>
                </c:pt>
                <c:pt idx="38">
                  <c:v>0.96274170065959808</c:v>
                </c:pt>
                <c:pt idx="39">
                  <c:v>0.92808366383427121</c:v>
                </c:pt>
                <c:pt idx="40">
                  <c:v>0.89353276038602292</c:v>
                </c:pt>
                <c:pt idx="41">
                  <c:v>0.85909785158704244</c:v>
                </c:pt>
                <c:pt idx="42">
                  <c:v>0.8247879739741395</c:v>
                </c:pt>
                <c:pt idx="43">
                  <c:v>0.79061234194875352</c:v>
                </c:pt>
                <c:pt idx="44">
                  <c:v>0.75658035041071059</c:v>
                </c:pt>
                <c:pt idx="45">
                  <c:v>0.72270157742612873</c:v>
                </c:pt>
                <c:pt idx="46">
                  <c:v>0.68898578692989187</c:v>
                </c:pt>
                <c:pt idx="47">
                  <c:v>0.65544293146309329</c:v>
                </c:pt>
                <c:pt idx="48">
                  <c:v>0.62208315494587751</c:v>
                </c:pt>
                <c:pt idx="49">
                  <c:v>0.5889167954861001</c:v>
                </c:pt>
                <c:pt idx="50">
                  <c:v>0.55595438822423093</c:v>
                </c:pt>
                <c:pt idx="51">
                  <c:v>0.52320666821494211</c:v>
                </c:pt>
                <c:pt idx="52">
                  <c:v>0.49068457334580967</c:v>
                </c:pt>
                <c:pt idx="53">
                  <c:v>0.45839924729357839</c:v>
                </c:pt>
                <c:pt idx="54">
                  <c:v>0.42636204251843368</c:v>
                </c:pt>
                <c:pt idx="55">
                  <c:v>0.39458452329673838</c:v>
                </c:pt>
                <c:pt idx="56">
                  <c:v>0.36307846879268824</c:v>
                </c:pt>
                <c:pt idx="57">
                  <c:v>0.33185587616935108</c:v>
                </c:pt>
                <c:pt idx="58">
                  <c:v>0.30092896373955996</c:v>
                </c:pt>
                <c:pt idx="59">
                  <c:v>0.27031017415713321</c:v>
                </c:pt>
                <c:pt idx="60">
                  <c:v>0.2400121776488989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C4-EC41-863C-FA0D2A6553F5}"/>
            </c:ext>
          </c:extLst>
        </c:ser>
        <c:ser>
          <c:idx val="6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'Fig1_non-CO2_emissions'!$R$147:$R$207</c:f>
              <c:numCache>
                <c:formatCode>_(* #,##0.0_);_(* \(#,##0.0\);_(* "-"??_);_(@_)</c:formatCode>
                <c:ptCount val="61"/>
                <c:pt idx="0">
                  <c:v>0.7055071140000001</c:v>
                </c:pt>
                <c:pt idx="1">
                  <c:v>0.68330698280000002</c:v>
                </c:pt>
                <c:pt idx="2">
                  <c:v>0.68791559979999994</c:v>
                </c:pt>
                <c:pt idx="3">
                  <c:v>0.69372128020000001</c:v>
                </c:pt>
                <c:pt idx="4">
                  <c:v>0.72371996710000031</c:v>
                </c:pt>
                <c:pt idx="5">
                  <c:v>0.74199518379999996</c:v>
                </c:pt>
                <c:pt idx="6">
                  <c:v>0.77625766660000017</c:v>
                </c:pt>
                <c:pt idx="7">
                  <c:v>0.80109702790000015</c:v>
                </c:pt>
                <c:pt idx="8">
                  <c:v>0.81641181959999998</c:v>
                </c:pt>
                <c:pt idx="9">
                  <c:v>0.84389068660000011</c:v>
                </c:pt>
                <c:pt idx="10">
                  <c:v>0.87720333610000023</c:v>
                </c:pt>
                <c:pt idx="11">
                  <c:v>0.85721566319999998</c:v>
                </c:pt>
                <c:pt idx="12">
                  <c:v>0.86503354860000004</c:v>
                </c:pt>
                <c:pt idx="13">
                  <c:v>0.85962928480000012</c:v>
                </c:pt>
                <c:pt idx="14">
                  <c:v>0.9151101518000001</c:v>
                </c:pt>
                <c:pt idx="15">
                  <c:v>0.95166865039999993</c:v>
                </c:pt>
                <c:pt idx="16">
                  <c:v>0.96313838789999995</c:v>
                </c:pt>
                <c:pt idx="17">
                  <c:v>0.98770712429999996</c:v>
                </c:pt>
                <c:pt idx="18">
                  <c:v>0.97833789170000018</c:v>
                </c:pt>
                <c:pt idx="19">
                  <c:v>0.92571889670000007</c:v>
                </c:pt>
                <c:pt idx="20">
                  <c:v>0.9755077592000001</c:v>
                </c:pt>
                <c:pt idx="21">
                  <c:v>1.0025491658000001</c:v>
                </c:pt>
                <c:pt idx="22">
                  <c:v>1.0147719114000002</c:v>
                </c:pt>
                <c:pt idx="23">
                  <c:v>1.039916514</c:v>
                </c:pt>
                <c:pt idx="24">
                  <c:v>1.0742286958000002</c:v>
                </c:pt>
                <c:pt idx="25">
                  <c:v>1.1335091391000001</c:v>
                </c:pt>
                <c:pt idx="26">
                  <c:v>1.1871014922000003</c:v>
                </c:pt>
                <c:pt idx="27">
                  <c:v>1.2618077849000002</c:v>
                </c:pt>
                <c:pt idx="28">
                  <c:v>1.3098997873</c:v>
                </c:pt>
                <c:pt idx="29">
                  <c:v>1.3351</c:v>
                </c:pt>
                <c:pt idx="30">
                  <c:v>0.78780000000000006</c:v>
                </c:pt>
                <c:pt idx="31">
                  <c:v>0.94418185646570651</c:v>
                </c:pt>
                <c:pt idx="32">
                  <c:v>0.88765060090457015</c:v>
                </c:pt>
                <c:pt idx="33">
                  <c:v>0.8291271338022832</c:v>
                </c:pt>
                <c:pt idx="34">
                  <c:v>0.76861145515884521</c:v>
                </c:pt>
                <c:pt idx="35">
                  <c:v>0.70610356497425653</c:v>
                </c:pt>
                <c:pt idx="36">
                  <c:v>0.6991259077131069</c:v>
                </c:pt>
                <c:pt idx="37">
                  <c:v>0.69170216101631343</c:v>
                </c:pt>
                <c:pt idx="38">
                  <c:v>0.6838323248838758</c:v>
                </c:pt>
                <c:pt idx="39">
                  <c:v>0.6755163993157941</c:v>
                </c:pt>
                <c:pt idx="40">
                  <c:v>0.66675438431206824</c:v>
                </c:pt>
                <c:pt idx="41">
                  <c:v>0.65754627987269842</c:v>
                </c:pt>
                <c:pt idx="42">
                  <c:v>0.64789208599768433</c:v>
                </c:pt>
                <c:pt idx="43">
                  <c:v>0.63779180268702629</c:v>
                </c:pt>
                <c:pt idx="44">
                  <c:v>0.62724542994072396</c:v>
                </c:pt>
                <c:pt idx="45">
                  <c:v>0.6162529677587778</c:v>
                </c:pt>
                <c:pt idx="46">
                  <c:v>0.60481441614118758</c:v>
                </c:pt>
                <c:pt idx="47">
                  <c:v>0.59292977508795308</c:v>
                </c:pt>
                <c:pt idx="48">
                  <c:v>0.58059904459907441</c:v>
                </c:pt>
                <c:pt idx="49">
                  <c:v>0.56782222467455201</c:v>
                </c:pt>
                <c:pt idx="50">
                  <c:v>0.55459931531438511</c:v>
                </c:pt>
                <c:pt idx="51">
                  <c:v>0.54093031651857426</c:v>
                </c:pt>
                <c:pt idx="52">
                  <c:v>0.52681522828711924</c:v>
                </c:pt>
                <c:pt idx="53">
                  <c:v>0.51225405062002027</c:v>
                </c:pt>
                <c:pt idx="54">
                  <c:v>0.49724678351727719</c:v>
                </c:pt>
                <c:pt idx="55">
                  <c:v>0.48179342697888999</c:v>
                </c:pt>
                <c:pt idx="56">
                  <c:v>0.46589398100485874</c:v>
                </c:pt>
                <c:pt idx="57">
                  <c:v>0.44954844559518337</c:v>
                </c:pt>
                <c:pt idx="58">
                  <c:v>0.43275682074986388</c:v>
                </c:pt>
                <c:pt idx="59">
                  <c:v>0.4155191064689005</c:v>
                </c:pt>
                <c:pt idx="60">
                  <c:v>0.39783530275229279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C4-EC41-863C-FA0D2A6553F5}"/>
            </c:ext>
          </c:extLst>
        </c:ser>
        <c:ser>
          <c:idx val="7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'Fig1_non-CO2_emissions'!$AF$147:$AF$207</c:f>
              <c:numCache>
                <c:formatCode>0.0</c:formatCode>
                <c:ptCount val="61"/>
                <c:pt idx="0">
                  <c:v>0.70363278690053244</c:v>
                </c:pt>
                <c:pt idx="1">
                  <c:v>0.68062250672753377</c:v>
                </c:pt>
                <c:pt idx="2">
                  <c:v>0.68257284226568438</c:v>
                </c:pt>
                <c:pt idx="3">
                  <c:v>0.68918365471240506</c:v>
                </c:pt>
                <c:pt idx="4">
                  <c:v>0.72047691477761022</c:v>
                </c:pt>
                <c:pt idx="5">
                  <c:v>0.73855542517945294</c:v>
                </c:pt>
                <c:pt idx="6">
                  <c:v>0.76989681185521242</c:v>
                </c:pt>
                <c:pt idx="7">
                  <c:v>0.79627837038841187</c:v>
                </c:pt>
                <c:pt idx="8">
                  <c:v>0.81416976304188204</c:v>
                </c:pt>
                <c:pt idx="9">
                  <c:v>0.84239388323631403</c:v>
                </c:pt>
                <c:pt idx="10">
                  <c:v>0.87155396380666705</c:v>
                </c:pt>
                <c:pt idx="11">
                  <c:v>0.85383500935626511</c:v>
                </c:pt>
                <c:pt idx="12">
                  <c:v>0.8607475886583551</c:v>
                </c:pt>
                <c:pt idx="13">
                  <c:v>0.85587490870247473</c:v>
                </c:pt>
                <c:pt idx="14">
                  <c:v>0.91052555515116484</c:v>
                </c:pt>
                <c:pt idx="15">
                  <c:v>0.95057432781375129</c:v>
                </c:pt>
                <c:pt idx="16">
                  <c:v>0.96138033132800482</c:v>
                </c:pt>
                <c:pt idx="17">
                  <c:v>0.98745640666525114</c:v>
                </c:pt>
                <c:pt idx="18">
                  <c:v>0.97545597128750383</c:v>
                </c:pt>
                <c:pt idx="19">
                  <c:v>0.92613994592920657</c:v>
                </c:pt>
                <c:pt idx="20">
                  <c:v>0.9764272368989666</c:v>
                </c:pt>
                <c:pt idx="21">
                  <c:v>0.99965306482580074</c:v>
                </c:pt>
                <c:pt idx="22">
                  <c:v>1.0069616202170486</c:v>
                </c:pt>
                <c:pt idx="23">
                  <c:v>1.0391191152849155</c:v>
                </c:pt>
                <c:pt idx="24">
                  <c:v>1.0723851947488003</c:v>
                </c:pt>
                <c:pt idx="25">
                  <c:v>1.1315274104265465</c:v>
                </c:pt>
                <c:pt idx="26">
                  <c:v>1.1810125292813869</c:v>
                </c:pt>
                <c:pt idx="27">
                  <c:v>1.259267512945327</c:v>
                </c:pt>
                <c:pt idx="28">
                  <c:v>1.3149258451431971</c:v>
                </c:pt>
                <c:pt idx="29">
                  <c:v>1.3350999999999995</c:v>
                </c:pt>
                <c:pt idx="30">
                  <c:v>0.7877999999999995</c:v>
                </c:pt>
                <c:pt idx="31">
                  <c:v>0.94418185646570651</c:v>
                </c:pt>
                <c:pt idx="32">
                  <c:v>0.88765060090457015</c:v>
                </c:pt>
                <c:pt idx="33">
                  <c:v>0.82487519978278434</c:v>
                </c:pt>
                <c:pt idx="34">
                  <c:v>0.76072826074695965</c:v>
                </c:pt>
                <c:pt idx="35">
                  <c:v>0.69336606499750009</c:v>
                </c:pt>
                <c:pt idx="36">
                  <c:v>0.68123514064209156</c:v>
                </c:pt>
                <c:pt idx="37">
                  <c:v>0.66879664954942353</c:v>
                </c:pt>
                <c:pt idx="38">
                  <c:v>0.65606007033692859</c:v>
                </c:pt>
                <c:pt idx="39">
                  <c:v>0.64303481057275746</c:v>
                </c:pt>
                <c:pt idx="40">
                  <c:v>0.62973020677577873</c:v>
                </c:pt>
                <c:pt idx="41">
                  <c:v>0.60761986476678087</c:v>
                </c:pt>
                <c:pt idx="42">
                  <c:v>0.58554550312604081</c:v>
                </c:pt>
                <c:pt idx="43">
                  <c:v>0.56353145571810681</c:v>
                </c:pt>
                <c:pt idx="44">
                  <c:v>0.54160179441329892</c:v>
                </c:pt>
                <c:pt idx="45">
                  <c:v>0.51978032908771055</c:v>
                </c:pt>
                <c:pt idx="46">
                  <c:v>0.48890672440238775</c:v>
                </c:pt>
                <c:pt idx="47">
                  <c:v>0.45859924674504515</c:v>
                </c:pt>
                <c:pt idx="48">
                  <c:v>0.4288981111009289</c:v>
                </c:pt>
                <c:pt idx="49">
                  <c:v>0.39984304399147091</c:v>
                </c:pt>
                <c:pt idx="50">
                  <c:v>0.37147328347428865</c:v>
                </c:pt>
                <c:pt idx="51">
                  <c:v>0.34938599266282117</c:v>
                </c:pt>
                <c:pt idx="52">
                  <c:v>0.32774034465806273</c:v>
                </c:pt>
                <c:pt idx="53">
                  <c:v>0.30656289714420726</c:v>
                </c:pt>
                <c:pt idx="54">
                  <c:v>0.28587987476193855</c:v>
                </c:pt>
                <c:pt idx="55">
                  <c:v>0.26571716910843102</c:v>
                </c:pt>
                <c:pt idx="56">
                  <c:v>0.24879732875090915</c:v>
                </c:pt>
                <c:pt idx="57">
                  <c:v>0.23224442879676419</c:v>
                </c:pt>
                <c:pt idx="58">
                  <c:v>0.21607728619501909</c:v>
                </c:pt>
                <c:pt idx="59">
                  <c:v>0.20031447366278959</c:v>
                </c:pt>
                <c:pt idx="60">
                  <c:v>0.18497431968528402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C4-EC41-863C-FA0D2A6553F5}"/>
            </c:ext>
          </c:extLst>
        </c:ser>
        <c:ser>
          <c:idx val="8"/>
          <c:order val="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'Fig1_non-CO2_emissions'!$AT$147:$AT$207</c:f>
              <c:numCache>
                <c:formatCode>0.0</c:formatCode>
                <c:ptCount val="61"/>
                <c:pt idx="0">
                  <c:v>0.70363278690053244</c:v>
                </c:pt>
                <c:pt idx="1">
                  <c:v>0.68062250672753377</c:v>
                </c:pt>
                <c:pt idx="2">
                  <c:v>0.68257284226568438</c:v>
                </c:pt>
                <c:pt idx="3">
                  <c:v>0.68918365471240506</c:v>
                </c:pt>
                <c:pt idx="4">
                  <c:v>0.72047691477761022</c:v>
                </c:pt>
                <c:pt idx="5">
                  <c:v>0.73855542517945294</c:v>
                </c:pt>
                <c:pt idx="6">
                  <c:v>0.76989681185521242</c:v>
                </c:pt>
                <c:pt idx="7">
                  <c:v>0.79627837038841187</c:v>
                </c:pt>
                <c:pt idx="8">
                  <c:v>0.81416976304188204</c:v>
                </c:pt>
                <c:pt idx="9">
                  <c:v>0.84239388323631403</c:v>
                </c:pt>
                <c:pt idx="10">
                  <c:v>0.87155396380666705</c:v>
                </c:pt>
                <c:pt idx="11">
                  <c:v>0.85383500935626511</c:v>
                </c:pt>
                <c:pt idx="12">
                  <c:v>0.8607475886583551</c:v>
                </c:pt>
                <c:pt idx="13">
                  <c:v>0.85587490870247473</c:v>
                </c:pt>
                <c:pt idx="14">
                  <c:v>0.91052555515116484</c:v>
                </c:pt>
                <c:pt idx="15">
                  <c:v>0.95057432781375129</c:v>
                </c:pt>
                <c:pt idx="16">
                  <c:v>0.96138033132800482</c:v>
                </c:pt>
                <c:pt idx="17">
                  <c:v>0.98745640666525114</c:v>
                </c:pt>
                <c:pt idx="18">
                  <c:v>0.97545597128750383</c:v>
                </c:pt>
                <c:pt idx="19">
                  <c:v>0.92613994592920657</c:v>
                </c:pt>
                <c:pt idx="20">
                  <c:v>0.9764272368989666</c:v>
                </c:pt>
                <c:pt idx="21">
                  <c:v>0.99965306482580074</c:v>
                </c:pt>
                <c:pt idx="22">
                  <c:v>1.0069616202170486</c:v>
                </c:pt>
                <c:pt idx="23">
                  <c:v>1.0391191152849155</c:v>
                </c:pt>
                <c:pt idx="24">
                  <c:v>1.0723851947488003</c:v>
                </c:pt>
                <c:pt idx="25">
                  <c:v>1.1315274104265465</c:v>
                </c:pt>
                <c:pt idx="26">
                  <c:v>1.1810125292813869</c:v>
                </c:pt>
                <c:pt idx="27">
                  <c:v>1.259267512945327</c:v>
                </c:pt>
                <c:pt idx="28">
                  <c:v>1.3149258451431971</c:v>
                </c:pt>
                <c:pt idx="29">
                  <c:v>1.3350999999999995</c:v>
                </c:pt>
                <c:pt idx="30">
                  <c:v>0.7877999999999995</c:v>
                </c:pt>
                <c:pt idx="31">
                  <c:v>0.94418185646570651</c:v>
                </c:pt>
                <c:pt idx="32">
                  <c:v>0.88765060090457015</c:v>
                </c:pt>
                <c:pt idx="33">
                  <c:v>0.80634891584068191</c:v>
                </c:pt>
                <c:pt idx="34">
                  <c:v>0.72638005652374382</c:v>
                </c:pt>
                <c:pt idx="35">
                  <c:v>0.64118990640145246</c:v>
                </c:pt>
                <c:pt idx="36">
                  <c:v>0.60939336339782402</c:v>
                </c:pt>
                <c:pt idx="37">
                  <c:v>0.57812653722300977</c:v>
                </c:pt>
                <c:pt idx="38">
                  <c:v>0.54742471291410644</c:v>
                </c:pt>
                <c:pt idx="39">
                  <c:v>0.51732165058371604</c:v>
                </c:pt>
                <c:pt idx="40">
                  <c:v>0.48784958541994539</c:v>
                </c:pt>
                <c:pt idx="41">
                  <c:v>0.45903922768640604</c:v>
                </c:pt>
                <c:pt idx="42">
                  <c:v>0.43091976272221449</c:v>
                </c:pt>
                <c:pt idx="43">
                  <c:v>0.40351885094199191</c:v>
                </c:pt>
                <c:pt idx="44">
                  <c:v>0.3768626278358651</c:v>
                </c:pt>
                <c:pt idx="45">
                  <c:v>0.3509757039694647</c:v>
                </c:pt>
                <c:pt idx="46">
                  <c:v>0.32588116498392683</c:v>
                </c:pt>
                <c:pt idx="47">
                  <c:v>0.30160057159589221</c:v>
                </c:pt>
                <c:pt idx="48">
                  <c:v>0.27815395959750661</c:v>
                </c:pt>
                <c:pt idx="49">
                  <c:v>0.25555983985642078</c:v>
                </c:pt>
                <c:pt idx="50">
                  <c:v>0.23383519831578975</c:v>
                </c:pt>
                <c:pt idx="51">
                  <c:v>0.21299549599427417</c:v>
                </c:pt>
                <c:pt idx="52">
                  <c:v>0.19305466898603899</c:v>
                </c:pt>
                <c:pt idx="53">
                  <c:v>0.17402512846075432</c:v>
                </c:pt>
                <c:pt idx="54">
                  <c:v>0.15591776066359503</c:v>
                </c:pt>
                <c:pt idx="55">
                  <c:v>0.13874192691524084</c:v>
                </c:pt>
                <c:pt idx="56">
                  <c:v>0.12250546361187646</c:v>
                </c:pt>
                <c:pt idx="57">
                  <c:v>0.1072146822251913</c:v>
                </c:pt>
                <c:pt idx="58">
                  <c:v>9.2874369302379634E-2</c:v>
                </c:pt>
                <c:pt idx="59">
                  <c:v>7.9487786466140825E-2</c:v>
                </c:pt>
                <c:pt idx="60">
                  <c:v>6.7056670414678735E-2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C4-EC41-863C-FA0D2A6553F5}"/>
            </c:ext>
          </c:extLst>
        </c:ser>
        <c:ser>
          <c:idx val="9"/>
          <c:order val="9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'Fig1_non-CO2_emissions'!$R$11:$R$42</c:f>
              <c:numCache>
                <c:formatCode>_(* #,##0.0_);_(* \(#,##0.0\);_(* "-"??_);_(@_)</c:formatCode>
                <c:ptCount val="32"/>
                <c:pt idx="0">
                  <c:v>0.7055071140000001</c:v>
                </c:pt>
                <c:pt idx="1">
                  <c:v>0.68330698280000002</c:v>
                </c:pt>
                <c:pt idx="2">
                  <c:v>0.68791559979999994</c:v>
                </c:pt>
                <c:pt idx="3">
                  <c:v>0.69372128020000001</c:v>
                </c:pt>
                <c:pt idx="4">
                  <c:v>0.72371996710000031</c:v>
                </c:pt>
                <c:pt idx="5">
                  <c:v>0.74199518379999996</c:v>
                </c:pt>
                <c:pt idx="6">
                  <c:v>0.77625766660000017</c:v>
                </c:pt>
                <c:pt idx="7">
                  <c:v>0.80109702790000015</c:v>
                </c:pt>
                <c:pt idx="8">
                  <c:v>0.81641181959999998</c:v>
                </c:pt>
                <c:pt idx="9">
                  <c:v>0.84389068660000011</c:v>
                </c:pt>
                <c:pt idx="10">
                  <c:v>0.87720333610000023</c:v>
                </c:pt>
                <c:pt idx="11">
                  <c:v>0.85721566319999998</c:v>
                </c:pt>
                <c:pt idx="12">
                  <c:v>0.86503354860000004</c:v>
                </c:pt>
                <c:pt idx="13">
                  <c:v>0.85962928480000012</c:v>
                </c:pt>
                <c:pt idx="14">
                  <c:v>0.9151101518000001</c:v>
                </c:pt>
                <c:pt idx="15">
                  <c:v>0.95166865039999993</c:v>
                </c:pt>
                <c:pt idx="16">
                  <c:v>0.96313838789999995</c:v>
                </c:pt>
                <c:pt idx="17">
                  <c:v>0.98770712429999996</c:v>
                </c:pt>
                <c:pt idx="18">
                  <c:v>0.97833789170000018</c:v>
                </c:pt>
                <c:pt idx="19">
                  <c:v>0.92571889670000007</c:v>
                </c:pt>
                <c:pt idx="20">
                  <c:v>0.9755077592000001</c:v>
                </c:pt>
                <c:pt idx="21">
                  <c:v>1.0025491658000001</c:v>
                </c:pt>
                <c:pt idx="22">
                  <c:v>1.0147719114000002</c:v>
                </c:pt>
                <c:pt idx="23">
                  <c:v>1.039916514</c:v>
                </c:pt>
                <c:pt idx="24">
                  <c:v>1.0742286958000002</c:v>
                </c:pt>
                <c:pt idx="25">
                  <c:v>1.1335091391000001</c:v>
                </c:pt>
                <c:pt idx="26">
                  <c:v>1.1871014922000003</c:v>
                </c:pt>
                <c:pt idx="27">
                  <c:v>1.2618077849000002</c:v>
                </c:pt>
                <c:pt idx="28">
                  <c:v>1.3098997873</c:v>
                </c:pt>
                <c:pt idx="29">
                  <c:v>1.3351</c:v>
                </c:pt>
                <c:pt idx="30">
                  <c:v>0.78780000000000006</c:v>
                </c:pt>
                <c:pt idx="31">
                  <c:v>0.94418185646570651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C4-EC41-863C-FA0D2A65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25615"/>
        <c:axId val="171880111"/>
      </c:lineChart>
      <c:catAx>
        <c:axId val="166582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0111"/>
        <c:crosses val="autoZero"/>
        <c:auto val="1"/>
        <c:lblAlgn val="ctr"/>
        <c:lblOffset val="100"/>
        <c:noMultiLvlLbl val="0"/>
      </c:catAx>
      <c:valAx>
        <c:axId val="171880111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2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GTP50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'Fig1_non-CO2_emissions'!$A$11:$A$71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'Fig1_non-CO2_emissions'!$S$11:$S$71</c:f>
              <c:numCache>
                <c:formatCode>_(* #,##0.0_);_(* \(#,##0.0\);_(* "-"??_);_(@_)</c:formatCode>
                <c:ptCount val="61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  <c:pt idx="32">
                  <c:v>0.79684047320491125</c:v>
                </c:pt>
                <c:pt idx="33">
                  <c:v>0.86624988502273925</c:v>
                </c:pt>
                <c:pt idx="34">
                  <c:v>0.93454791169443974</c:v>
                </c:pt>
                <c:pt idx="35">
                  <c:v>0.9622105298805953</c:v>
                </c:pt>
                <c:pt idx="36">
                  <c:v>0.99069196156506112</c:v>
                </c:pt>
                <c:pt idx="37">
                  <c:v>1.0200164436273871</c:v>
                </c:pt>
                <c:pt idx="38">
                  <c:v>1.0502089303587578</c:v>
                </c:pt>
                <c:pt idx="39">
                  <c:v>1.081295114697377</c:v>
                </c:pt>
                <c:pt idx="40">
                  <c:v>1.1133014500924192</c:v>
                </c:pt>
                <c:pt idx="41">
                  <c:v>1.1462551730151551</c:v>
                </c:pt>
                <c:pt idx="42">
                  <c:v>1.1801843261364038</c:v>
                </c:pt>
                <c:pt idx="43">
                  <c:v>1.215117782190041</c:v>
                </c:pt>
                <c:pt idx="44">
                  <c:v>1.2510852685428664</c:v>
                </c:pt>
                <c:pt idx="45">
                  <c:v>1.2881173924917351</c:v>
                </c:pt>
                <c:pt idx="46">
                  <c:v>1.3262456673094907</c:v>
                </c:pt>
                <c:pt idx="47">
                  <c:v>1.3655025390618518</c:v>
                </c:pt>
                <c:pt idx="48">
                  <c:v>1.4059214142180825</c:v>
                </c:pt>
                <c:pt idx="49">
                  <c:v>1.4475366880789378</c:v>
                </c:pt>
                <c:pt idx="50">
                  <c:v>1.4903837740460746</c:v>
                </c:pt>
                <c:pt idx="51">
                  <c:v>1.534499133757838</c:v>
                </c:pt>
                <c:pt idx="52">
                  <c:v>1.5799203081170705</c:v>
                </c:pt>
                <c:pt idx="53">
                  <c:v>1.6266859492373358</c:v>
                </c:pt>
                <c:pt idx="54">
                  <c:v>1.6748358533347611</c:v>
                </c:pt>
                <c:pt idx="55">
                  <c:v>1.7244109945934696</c:v>
                </c:pt>
                <c:pt idx="56">
                  <c:v>1.7754535600334365</c:v>
                </c:pt>
                <c:pt idx="57">
                  <c:v>1.8280069854104264</c:v>
                </c:pt>
                <c:pt idx="58">
                  <c:v>1.8821159921785751</c:v>
                </c:pt>
                <c:pt idx="59">
                  <c:v>1.9378266255470609</c:v>
                </c:pt>
                <c:pt idx="60">
                  <c:v>1.9951862936632541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2-4D41-B54C-DEAC15D56D7E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'Fig1_non-CO2_emissions'!$AG$11:$AG$71</c:f>
              <c:numCache>
                <c:formatCode>0.0</c:formatCode>
                <c:ptCount val="61"/>
                <c:pt idx="0">
                  <c:v>0.54125598992348656</c:v>
                </c:pt>
                <c:pt idx="1">
                  <c:v>0.52355577440579537</c:v>
                </c:pt>
                <c:pt idx="2">
                  <c:v>0.52505603251206501</c:v>
                </c:pt>
                <c:pt idx="3">
                  <c:v>0.53014127285569623</c:v>
                </c:pt>
                <c:pt idx="4">
                  <c:v>0.55421301136739254</c:v>
                </c:pt>
                <c:pt idx="5">
                  <c:v>0.56811955783034851</c:v>
                </c:pt>
                <c:pt idx="6">
                  <c:v>0.59222831681170196</c:v>
                </c:pt>
                <c:pt idx="7">
                  <c:v>0.6125218233757016</c:v>
                </c:pt>
                <c:pt idx="8">
                  <c:v>0.62628443310914006</c:v>
                </c:pt>
                <c:pt idx="9">
                  <c:v>0.64799529479716478</c:v>
                </c:pt>
                <c:pt idx="10">
                  <c:v>0.67042612600512863</c:v>
                </c:pt>
                <c:pt idx="11">
                  <c:v>0.65679616104328098</c:v>
                </c:pt>
                <c:pt idx="12">
                  <c:v>0.66211352973719628</c:v>
                </c:pt>
                <c:pt idx="13">
                  <c:v>0.65836531438651913</c:v>
                </c:pt>
                <c:pt idx="14">
                  <c:v>0.70040427319320397</c:v>
                </c:pt>
                <c:pt idx="15">
                  <c:v>0.73121102139519345</c:v>
                </c:pt>
                <c:pt idx="16">
                  <c:v>0.73952333179077301</c:v>
                </c:pt>
                <c:pt idx="17">
                  <c:v>0.75958185128096256</c:v>
                </c:pt>
                <c:pt idx="18">
                  <c:v>0.75035074714423378</c:v>
                </c:pt>
                <c:pt idx="19">
                  <c:v>0.71241534302246678</c:v>
                </c:pt>
                <c:pt idx="20">
                  <c:v>0.75109787453766663</c:v>
                </c:pt>
                <c:pt idx="21">
                  <c:v>0.76896389601984694</c:v>
                </c:pt>
                <c:pt idx="22">
                  <c:v>0.77458586170542221</c:v>
                </c:pt>
                <c:pt idx="23">
                  <c:v>0.79932239637301195</c:v>
                </c:pt>
                <c:pt idx="24">
                  <c:v>0.82491168826830807</c:v>
                </c:pt>
                <c:pt idx="25">
                  <c:v>0.87040570032811293</c:v>
                </c:pt>
                <c:pt idx="26">
                  <c:v>0.90847117637029762</c:v>
                </c:pt>
                <c:pt idx="27">
                  <c:v>0.9686673176502516</c:v>
                </c:pt>
                <c:pt idx="28">
                  <c:v>1.011481419340921</c:v>
                </c:pt>
                <c:pt idx="29">
                  <c:v>1.0269999999999997</c:v>
                </c:pt>
                <c:pt idx="30">
                  <c:v>0.60599999999999965</c:v>
                </c:pt>
                <c:pt idx="31">
                  <c:v>0.72629373574285128</c:v>
                </c:pt>
                <c:pt idx="32">
                  <c:v>0.79684047320491125</c:v>
                </c:pt>
                <c:pt idx="33">
                  <c:v>0.86047488578925457</c:v>
                </c:pt>
                <c:pt idx="34">
                  <c:v>0.92208727287184711</c:v>
                </c:pt>
                <c:pt idx="35">
                  <c:v>0.94042408208619643</c:v>
                </c:pt>
                <c:pt idx="36">
                  <c:v>0.95933690653488302</c:v>
                </c:pt>
                <c:pt idx="37">
                  <c:v>0.97858060777062128</c:v>
                </c:pt>
                <c:pt idx="38">
                  <c:v>0.9981592449454213</c:v>
                </c:pt>
                <c:pt idx="39">
                  <c:v>1.0180768584525193</c:v>
                </c:pt>
                <c:pt idx="40">
                  <c:v>1.0383374661722664</c:v>
                </c:pt>
                <c:pt idx="41">
                  <c:v>1.0396015431585279</c:v>
                </c:pt>
                <c:pt idx="42">
                  <c:v>1.0401808836197366</c:v>
                </c:pt>
                <c:pt idx="43">
                  <c:v>1.0400382889441195</c:v>
                </c:pt>
                <c:pt idx="44">
                  <c:v>1.0391350898824387</c:v>
                </c:pt>
                <c:pt idx="45">
                  <c:v>1.0374310959730002</c:v>
                </c:pt>
                <c:pt idx="46">
                  <c:v>1.0087044284398254</c:v>
                </c:pt>
                <c:pt idx="47">
                  <c:v>0.97769214930602644</c:v>
                </c:pt>
                <c:pt idx="48">
                  <c:v>0.94429370881916497</c:v>
                </c:pt>
                <c:pt idx="49">
                  <c:v>0.90840489108611877</c:v>
                </c:pt>
                <c:pt idx="50">
                  <c:v>0.86991769353698234</c:v>
                </c:pt>
                <c:pt idx="51">
                  <c:v>0.84921858228648017</c:v>
                </c:pt>
                <c:pt idx="52">
                  <c:v>0.82678746447262086</c:v>
                </c:pt>
                <c:pt idx="53">
                  <c:v>0.80254750585027301</c:v>
                </c:pt>
                <c:pt idx="54">
                  <c:v>0.77641906502024582</c:v>
                </c:pt>
                <c:pt idx="55">
                  <c:v>0.74831960119284024</c:v>
                </c:pt>
                <c:pt idx="56">
                  <c:v>0.73152476201456096</c:v>
                </c:pt>
                <c:pt idx="57">
                  <c:v>0.71329686615578403</c:v>
                </c:pt>
                <c:pt idx="58">
                  <c:v>0.69357221025413696</c:v>
                </c:pt>
                <c:pt idx="59">
                  <c:v>0.67228476528649017</c:v>
                </c:pt>
                <c:pt idx="60">
                  <c:v>0.64936610032792208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2-4D41-B54C-DEAC15D56D7E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'Fig1_non-CO2_emissions'!$AU$11:$AU$71</c:f>
              <c:numCache>
                <c:formatCode>0.0</c:formatCode>
                <c:ptCount val="61"/>
                <c:pt idx="0">
                  <c:v>0.54125598992348656</c:v>
                </c:pt>
                <c:pt idx="1">
                  <c:v>0.52355577440579537</c:v>
                </c:pt>
                <c:pt idx="2">
                  <c:v>0.52505603251206501</c:v>
                </c:pt>
                <c:pt idx="3">
                  <c:v>0.53014127285569623</c:v>
                </c:pt>
                <c:pt idx="4">
                  <c:v>0.55421301136739254</c:v>
                </c:pt>
                <c:pt idx="5">
                  <c:v>0.56811955783034851</c:v>
                </c:pt>
                <c:pt idx="6">
                  <c:v>0.59222831681170196</c:v>
                </c:pt>
                <c:pt idx="7">
                  <c:v>0.6125218233757016</c:v>
                </c:pt>
                <c:pt idx="8">
                  <c:v>0.62628443310914006</c:v>
                </c:pt>
                <c:pt idx="9">
                  <c:v>0.64799529479716478</c:v>
                </c:pt>
                <c:pt idx="10">
                  <c:v>0.67042612600512863</c:v>
                </c:pt>
                <c:pt idx="11">
                  <c:v>0.65679616104328098</c:v>
                </c:pt>
                <c:pt idx="12">
                  <c:v>0.66211352973719628</c:v>
                </c:pt>
                <c:pt idx="13">
                  <c:v>0.65836531438651913</c:v>
                </c:pt>
                <c:pt idx="14">
                  <c:v>0.70040427319320397</c:v>
                </c:pt>
                <c:pt idx="15">
                  <c:v>0.73121102139519345</c:v>
                </c:pt>
                <c:pt idx="16">
                  <c:v>0.73952333179077301</c:v>
                </c:pt>
                <c:pt idx="17">
                  <c:v>0.75958185128096256</c:v>
                </c:pt>
                <c:pt idx="18">
                  <c:v>0.75035074714423378</c:v>
                </c:pt>
                <c:pt idx="19">
                  <c:v>0.71241534302246678</c:v>
                </c:pt>
                <c:pt idx="20">
                  <c:v>0.75109787453766663</c:v>
                </c:pt>
                <c:pt idx="21">
                  <c:v>0.76896389601984694</c:v>
                </c:pt>
                <c:pt idx="22">
                  <c:v>0.77458586170542221</c:v>
                </c:pt>
                <c:pt idx="23">
                  <c:v>0.79932239637301195</c:v>
                </c:pt>
                <c:pt idx="24">
                  <c:v>0.82491168826830807</c:v>
                </c:pt>
                <c:pt idx="25">
                  <c:v>0.87040570032811293</c:v>
                </c:pt>
                <c:pt idx="26">
                  <c:v>0.90847117637029762</c:v>
                </c:pt>
                <c:pt idx="27">
                  <c:v>0.9686673176502516</c:v>
                </c:pt>
                <c:pt idx="28">
                  <c:v>1.011481419340921</c:v>
                </c:pt>
                <c:pt idx="29">
                  <c:v>1.0269999999999997</c:v>
                </c:pt>
                <c:pt idx="30">
                  <c:v>0.60599999999999965</c:v>
                </c:pt>
                <c:pt idx="31">
                  <c:v>0.72629373574285128</c:v>
                </c:pt>
                <c:pt idx="32">
                  <c:v>0.79684047320491125</c:v>
                </c:pt>
                <c:pt idx="33">
                  <c:v>0.83531238912907013</c:v>
                </c:pt>
                <c:pt idx="34">
                  <c:v>0.86779448943055115</c:v>
                </c:pt>
                <c:pt idx="35">
                  <c:v>0.85020816682828548</c:v>
                </c:pt>
                <c:pt idx="36">
                  <c:v>0.83155417236315521</c:v>
                </c:pt>
                <c:pt idx="37">
                  <c:v>0.8118064277448398</c:v>
                </c:pt>
                <c:pt idx="38">
                  <c:v>0.79093888919537636</c:v>
                </c:pt>
                <c:pt idx="39">
                  <c:v>0.76892559137076177</c:v>
                </c:pt>
                <c:pt idx="40">
                  <c:v>0.74574069441575286</c:v>
                </c:pt>
                <c:pt idx="41">
                  <c:v>0.72135853431554509</c:v>
                </c:pt>
                <c:pt idx="42">
                  <c:v>0.69575367671543842</c:v>
                </c:pt>
                <c:pt idx="43">
                  <c:v>0.6689009743873594</c:v>
                </c:pt>
                <c:pt idx="44">
                  <c:v>0.64077562853017522</c:v>
                </c:pt>
                <c:pt idx="45">
                  <c:v>0.61135325409914065</c:v>
                </c:pt>
                <c:pt idx="46">
                  <c:v>0.58060994936859822</c:v>
                </c:pt>
                <c:pt idx="47">
                  <c:v>0.548522369941146</c:v>
                </c:pt>
                <c:pt idx="48">
                  <c:v>0.51506780742602332</c:v>
                </c:pt>
                <c:pt idx="49">
                  <c:v>0.48022427301933091</c:v>
                </c:pt>
                <c:pt idx="50">
                  <c:v>0.44397058622902213</c:v>
                </c:pt>
                <c:pt idx="51">
                  <c:v>0.40628646899832965</c:v>
                </c:pt>
                <c:pt idx="52">
                  <c:v>0.3671526454924543</c:v>
                </c:pt>
                <c:pt idx="53">
                  <c:v>0.32655094782497529</c:v>
                </c:pt>
                <c:pt idx="54">
                  <c:v>0.28446442801255051</c:v>
                </c:pt>
                <c:pt idx="55">
                  <c:v>0.2408774764590651</c:v>
                </c:pt>
                <c:pt idx="56">
                  <c:v>0.19577594728351158</c:v>
                </c:pt>
                <c:pt idx="57">
                  <c:v>0.14914729081952563</c:v>
                </c:pt>
                <c:pt idx="58">
                  <c:v>0.10098069362871115</c:v>
                </c:pt>
                <c:pt idx="59">
                  <c:v>5.126722638466584E-2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2-4D41-B54C-DEAC15D56D7E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'Fig1_non-CO2_emissions'!$S$79:$S$139</c:f>
              <c:numCache>
                <c:formatCode>_(* #,##0.0_);_(* \(#,##0.0\);_(* "-"??_);_(@_)</c:formatCode>
                <c:ptCount val="61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  <c:pt idx="32">
                  <c:v>0.78576230195852748</c:v>
                </c:pt>
                <c:pt idx="33">
                  <c:v>0.84270495344625407</c:v>
                </c:pt>
                <c:pt idx="34">
                  <c:v>0.8971997249015361</c:v>
                </c:pt>
                <c:pt idx="35">
                  <c:v>0.90409428537575154</c:v>
                </c:pt>
                <c:pt idx="36">
                  <c:v>0.9110432820097315</c:v>
                </c:pt>
                <c:pt idx="37">
                  <c:v>0.91804715334004583</c:v>
                </c:pt>
                <c:pt idx="38">
                  <c:v>0.92510634148715032</c:v>
                </c:pt>
                <c:pt idx="39">
                  <c:v>0.93222129218496919</c:v>
                </c:pt>
                <c:pt idx="40">
                  <c:v>0.9393924548107212</c:v>
                </c:pt>
                <c:pt idx="41">
                  <c:v>0.94662028241499574</c:v>
                </c:pt>
                <c:pt idx="42">
                  <c:v>0.95390523175207675</c:v>
                </c:pt>
                <c:pt idx="43">
                  <c:v>0.96124776331052009</c:v>
                </c:pt>
                <c:pt idx="44">
                  <c:v>0.96864834134398448</c:v>
                </c:pt>
                <c:pt idx="45">
                  <c:v>0.97610743390231824</c:v>
                </c:pt>
                <c:pt idx="46">
                  <c:v>0.983625512862906</c:v>
                </c:pt>
                <c:pt idx="47">
                  <c:v>0.99120305396227404</c:v>
                </c:pt>
                <c:pt idx="48">
                  <c:v>0.9988405368279587</c:v>
                </c:pt>
                <c:pt idx="49">
                  <c:v>1.0065384450106416</c:v>
                </c:pt>
                <c:pt idx="50">
                  <c:v>1.0142972660165499</c:v>
                </c:pt>
                <c:pt idx="51">
                  <c:v>1.0221174913401259</c:v>
                </c:pt>
                <c:pt idx="52">
                  <c:v>1.02999961649697</c:v>
                </c:pt>
                <c:pt idx="53">
                  <c:v>1.037944141057056</c:v>
                </c:pt>
                <c:pt idx="54">
                  <c:v>1.0459515686782226</c:v>
                </c:pt>
                <c:pt idx="55">
                  <c:v>1.054022407139944</c:v>
                </c:pt>
                <c:pt idx="56">
                  <c:v>1.0621571683773825</c:v>
                </c:pt>
                <c:pt idx="57">
                  <c:v>1.07035636851572</c:v>
                </c:pt>
                <c:pt idx="58">
                  <c:v>1.0786205279047796</c:v>
                </c:pt>
                <c:pt idx="59">
                  <c:v>1.0869501711539342</c:v>
                </c:pt>
                <c:pt idx="60">
                  <c:v>1.0953458271673011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2-4D41-B54C-DEAC15D56D7E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'Fig1_non-CO2_emissions'!$AG$79:$AG$139</c:f>
              <c:numCache>
                <c:formatCode>0.0</c:formatCode>
                <c:ptCount val="61"/>
                <c:pt idx="0">
                  <c:v>0.54125598992348656</c:v>
                </c:pt>
                <c:pt idx="1">
                  <c:v>0.52355577440579537</c:v>
                </c:pt>
                <c:pt idx="2">
                  <c:v>0.52505603251206501</c:v>
                </c:pt>
                <c:pt idx="3">
                  <c:v>0.53014127285569623</c:v>
                </c:pt>
                <c:pt idx="4">
                  <c:v>0.55421301136739254</c:v>
                </c:pt>
                <c:pt idx="5">
                  <c:v>0.56811955783034851</c:v>
                </c:pt>
                <c:pt idx="6">
                  <c:v>0.59222831681170196</c:v>
                </c:pt>
                <c:pt idx="7">
                  <c:v>0.6125218233757016</c:v>
                </c:pt>
                <c:pt idx="8">
                  <c:v>0.62628443310914006</c:v>
                </c:pt>
                <c:pt idx="9">
                  <c:v>0.64799529479716478</c:v>
                </c:pt>
                <c:pt idx="10">
                  <c:v>0.67042612600512863</c:v>
                </c:pt>
                <c:pt idx="11">
                  <c:v>0.65679616104328098</c:v>
                </c:pt>
                <c:pt idx="12">
                  <c:v>0.66211352973719628</c:v>
                </c:pt>
                <c:pt idx="13">
                  <c:v>0.65836531438651913</c:v>
                </c:pt>
                <c:pt idx="14">
                  <c:v>0.70040427319320397</c:v>
                </c:pt>
                <c:pt idx="15">
                  <c:v>0.73121102139519345</c:v>
                </c:pt>
                <c:pt idx="16">
                  <c:v>0.73952333179077301</c:v>
                </c:pt>
                <c:pt idx="17">
                  <c:v>0.75958185128096256</c:v>
                </c:pt>
                <c:pt idx="18">
                  <c:v>0.75035074714423378</c:v>
                </c:pt>
                <c:pt idx="19">
                  <c:v>0.71241534302246678</c:v>
                </c:pt>
                <c:pt idx="20">
                  <c:v>0.75109787453766663</c:v>
                </c:pt>
                <c:pt idx="21">
                  <c:v>0.76896389601984694</c:v>
                </c:pt>
                <c:pt idx="22">
                  <c:v>0.77458586170542221</c:v>
                </c:pt>
                <c:pt idx="23">
                  <c:v>0.79932239637301195</c:v>
                </c:pt>
                <c:pt idx="24">
                  <c:v>0.82491168826830807</c:v>
                </c:pt>
                <c:pt idx="25">
                  <c:v>0.87040570032811293</c:v>
                </c:pt>
                <c:pt idx="26">
                  <c:v>0.90847117637029762</c:v>
                </c:pt>
                <c:pt idx="27">
                  <c:v>0.9686673176502516</c:v>
                </c:pt>
                <c:pt idx="28">
                  <c:v>1.011481419340921</c:v>
                </c:pt>
                <c:pt idx="29">
                  <c:v>1.0269999999999997</c:v>
                </c:pt>
                <c:pt idx="30">
                  <c:v>0.60599999999999965</c:v>
                </c:pt>
                <c:pt idx="31">
                  <c:v>0.72629373574285128</c:v>
                </c:pt>
                <c:pt idx="32">
                  <c:v>0.78576230195852748</c:v>
                </c:pt>
                <c:pt idx="33">
                  <c:v>0.83708692042327904</c:v>
                </c:pt>
                <c:pt idx="34">
                  <c:v>0.88523706190284901</c:v>
                </c:pt>
                <c:pt idx="35">
                  <c:v>0.88362371023873088</c:v>
                </c:pt>
                <c:pt idx="36">
                  <c:v>0.88220907990602027</c:v>
                </c:pt>
                <c:pt idx="37">
                  <c:v>0.88075358675861803</c:v>
                </c:pt>
                <c:pt idx="38">
                  <c:v>0.87925689890829128</c:v>
                </c:pt>
                <c:pt idx="39">
                  <c:v>0.8777186834843318</c:v>
                </c:pt>
                <c:pt idx="40">
                  <c:v>0.87613860665369425</c:v>
                </c:pt>
                <c:pt idx="41">
                  <c:v>0.85854173621319829</c:v>
                </c:pt>
                <c:pt idx="42">
                  <c:v>0.84074492846525406</c:v>
                </c:pt>
                <c:pt idx="43">
                  <c:v>0.82274697453853884</c:v>
                </c:pt>
                <c:pt idx="44">
                  <c:v>0.80454666564756883</c:v>
                </c:pt>
                <c:pt idx="45">
                  <c:v>0.78614279322928426</c:v>
                </c:pt>
                <c:pt idx="46">
                  <c:v>0.74811736257282146</c:v>
                </c:pt>
                <c:pt idx="47">
                  <c:v>0.70969582004063725</c:v>
                </c:pt>
                <c:pt idx="48">
                  <c:v>0.6708759291249351</c:v>
                </c:pt>
                <c:pt idx="49">
                  <c:v>0.63165545581254501</c:v>
                </c:pt>
                <c:pt idx="50">
                  <c:v>0.59203216888129284</c:v>
                </c:pt>
                <c:pt idx="51">
                  <c:v>0.56565764543667463</c:v>
                </c:pt>
                <c:pt idx="52">
                  <c:v>0.53900868730918261</c:v>
                </c:pt>
                <c:pt idx="53">
                  <c:v>0.51208377499528546</c:v>
                </c:pt>
                <c:pt idx="54">
                  <c:v>0.48488139144659537</c:v>
                </c:pt>
                <c:pt idx="55">
                  <c:v>0.45740002228716209</c:v>
                </c:pt>
                <c:pt idx="56">
                  <c:v>0.43763142405408328</c:v>
                </c:pt>
                <c:pt idx="57">
                  <c:v>0.41765805569978753</c:v>
                </c:pt>
                <c:pt idx="58">
                  <c:v>0.39747880931528806</c:v>
                </c:pt>
                <c:pt idx="59">
                  <c:v>0.3770925794179551</c:v>
                </c:pt>
                <c:pt idx="60">
                  <c:v>0.35649826312316368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2-4D41-B54C-DEAC15D56D7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'Fig1_non-CO2_emissions'!$AU$79:$AU$139</c:f>
              <c:numCache>
                <c:formatCode>0.0</c:formatCode>
                <c:ptCount val="61"/>
                <c:pt idx="0">
                  <c:v>0.54125598992348656</c:v>
                </c:pt>
                <c:pt idx="1">
                  <c:v>0.52355577440579537</c:v>
                </c:pt>
                <c:pt idx="2">
                  <c:v>0.52505603251206501</c:v>
                </c:pt>
                <c:pt idx="3">
                  <c:v>0.53014127285569623</c:v>
                </c:pt>
                <c:pt idx="4">
                  <c:v>0.55421301136739254</c:v>
                </c:pt>
                <c:pt idx="5">
                  <c:v>0.56811955783034851</c:v>
                </c:pt>
                <c:pt idx="6">
                  <c:v>0.59222831681170196</c:v>
                </c:pt>
                <c:pt idx="7">
                  <c:v>0.6125218233757016</c:v>
                </c:pt>
                <c:pt idx="8">
                  <c:v>0.62628443310914006</c:v>
                </c:pt>
                <c:pt idx="9">
                  <c:v>0.64799529479716478</c:v>
                </c:pt>
                <c:pt idx="10">
                  <c:v>0.67042612600512863</c:v>
                </c:pt>
                <c:pt idx="11">
                  <c:v>0.65679616104328098</c:v>
                </c:pt>
                <c:pt idx="12">
                  <c:v>0.66211352973719628</c:v>
                </c:pt>
                <c:pt idx="13">
                  <c:v>0.65836531438651913</c:v>
                </c:pt>
                <c:pt idx="14">
                  <c:v>0.70040427319320397</c:v>
                </c:pt>
                <c:pt idx="15">
                  <c:v>0.73121102139519345</c:v>
                </c:pt>
                <c:pt idx="16">
                  <c:v>0.73952333179077301</c:v>
                </c:pt>
                <c:pt idx="17">
                  <c:v>0.75958185128096256</c:v>
                </c:pt>
                <c:pt idx="18">
                  <c:v>0.75035074714423378</c:v>
                </c:pt>
                <c:pt idx="19">
                  <c:v>0.71241534302246678</c:v>
                </c:pt>
                <c:pt idx="20">
                  <c:v>0.75109787453766663</c:v>
                </c:pt>
                <c:pt idx="21">
                  <c:v>0.76896389601984694</c:v>
                </c:pt>
                <c:pt idx="22">
                  <c:v>0.77458586170542221</c:v>
                </c:pt>
                <c:pt idx="23">
                  <c:v>0.79932239637301195</c:v>
                </c:pt>
                <c:pt idx="24">
                  <c:v>0.82491168826830807</c:v>
                </c:pt>
                <c:pt idx="25">
                  <c:v>0.87040570032811293</c:v>
                </c:pt>
                <c:pt idx="26">
                  <c:v>0.90847117637029762</c:v>
                </c:pt>
                <c:pt idx="27">
                  <c:v>0.9686673176502516</c:v>
                </c:pt>
                <c:pt idx="28">
                  <c:v>1.011481419340921</c:v>
                </c:pt>
                <c:pt idx="29">
                  <c:v>1.0269999999999997</c:v>
                </c:pt>
                <c:pt idx="30">
                  <c:v>0.60599999999999965</c:v>
                </c:pt>
                <c:pt idx="31">
                  <c:v>0.72629373574285128</c:v>
                </c:pt>
                <c:pt idx="32">
                  <c:v>0.78576230195852748</c:v>
                </c:pt>
                <c:pt idx="33">
                  <c:v>0.81260834796603076</c:v>
                </c:pt>
                <c:pt idx="34">
                  <c:v>0.83311403026571207</c:v>
                </c:pt>
                <c:pt idx="35">
                  <c:v>0.79885671704781047</c:v>
                </c:pt>
                <c:pt idx="36">
                  <c:v>0.76469969652505632</c:v>
                </c:pt>
                <c:pt idx="37">
                  <c:v>0.73065153479677825</c:v>
                </c:pt>
                <c:pt idx="38">
                  <c:v>0.69672096758260404</c:v>
                </c:pt>
                <c:pt idx="39">
                  <c:v>0.66291690273876525</c:v>
                </c:pt>
                <c:pt idx="40">
                  <c:v>0.62924842280705851</c:v>
                </c:pt>
                <c:pt idx="41">
                  <c:v>0.59572478759685421</c:v>
                </c:pt>
                <c:pt idx="42">
                  <c:v>0.56235543680054967</c:v>
                </c:pt>
                <c:pt idx="43">
                  <c:v>0.52914999264286666</c:v>
                </c:pt>
                <c:pt idx="44">
                  <c:v>0.49611826256440045</c:v>
                </c:pt>
                <c:pt idx="45">
                  <c:v>0.46327024193982613</c:v>
                </c:pt>
                <c:pt idx="46">
                  <c:v>0.43061611683118262</c:v>
                </c:pt>
                <c:pt idx="47">
                  <c:v>0.39816626677664563</c:v>
                </c:pt>
                <c:pt idx="48">
                  <c:v>0.36593126761522227</c:v>
                </c:pt>
                <c:pt idx="49">
                  <c:v>0.33392189434778879</c:v>
                </c:pt>
                <c:pt idx="50">
                  <c:v>0.30214912403490823</c:v>
                </c:pt>
                <c:pt idx="51">
                  <c:v>0.27062413873186669</c:v>
                </c:pt>
                <c:pt idx="52">
                  <c:v>0.23935832846137078</c:v>
                </c:pt>
                <c:pt idx="53">
                  <c:v>0.20836329422435396</c:v>
                </c:pt>
                <c:pt idx="54">
                  <c:v>0.17765085104934755</c:v>
                </c:pt>
                <c:pt idx="55">
                  <c:v>0.14723303108087274</c:v>
                </c:pt>
                <c:pt idx="56">
                  <c:v>0.11712208670731901</c:v>
                </c:pt>
                <c:pt idx="57">
                  <c:v>8.7330493728776812E-2</c:v>
                </c:pt>
                <c:pt idx="58">
                  <c:v>5.7870954565300212E-2</c:v>
                </c:pt>
                <c:pt idx="59">
                  <c:v>2.8756401506078243E-2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B2-4D41-B54C-DEAC15D56D7E}"/>
            </c:ext>
          </c:extLst>
        </c:ser>
        <c:ser>
          <c:idx val="6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'Fig1_non-CO2_emissions'!$S$147:$S$207</c:f>
              <c:numCache>
                <c:formatCode>_(* #,##0.0_);_(* \(#,##0.0\);_(* "-"??_);_(@_)</c:formatCode>
                <c:ptCount val="61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  <c:pt idx="32">
                  <c:v>0.68280815454197707</c:v>
                </c:pt>
                <c:pt idx="33">
                  <c:v>0.63779010292483329</c:v>
                </c:pt>
                <c:pt idx="34">
                  <c:v>0.59123958089141948</c:v>
                </c:pt>
                <c:pt idx="35">
                  <c:v>0.54315658844173587</c:v>
                </c:pt>
                <c:pt idx="36">
                  <c:v>0.53778915977931308</c:v>
                </c:pt>
                <c:pt idx="37">
                  <c:v>0.53207858539716424</c:v>
                </c:pt>
                <c:pt idx="38">
                  <c:v>0.52602486529528913</c:v>
                </c:pt>
                <c:pt idx="39">
                  <c:v>0.51962799947368787</c:v>
                </c:pt>
                <c:pt idx="40">
                  <c:v>0.51288798793236035</c:v>
                </c:pt>
                <c:pt idx="41">
                  <c:v>0.50580483067130655</c:v>
                </c:pt>
                <c:pt idx="42">
                  <c:v>0.49837852769052654</c:v>
                </c:pt>
                <c:pt idx="43">
                  <c:v>0.49060907899002026</c:v>
                </c:pt>
                <c:pt idx="44">
                  <c:v>0.48249648456978778</c:v>
                </c:pt>
                <c:pt idx="45">
                  <c:v>0.47404074442982919</c:v>
                </c:pt>
                <c:pt idx="46">
                  <c:v>0.46524185857014427</c:v>
                </c:pt>
                <c:pt idx="47">
                  <c:v>0.4560998269907332</c:v>
                </c:pt>
                <c:pt idx="48">
                  <c:v>0.44661464969159576</c:v>
                </c:pt>
                <c:pt idx="49">
                  <c:v>0.43678632667273232</c:v>
                </c:pt>
                <c:pt idx="50">
                  <c:v>0.42661485793414239</c:v>
                </c:pt>
                <c:pt idx="51">
                  <c:v>0.41610024347582636</c:v>
                </c:pt>
                <c:pt idx="52">
                  <c:v>0.40524248329778417</c:v>
                </c:pt>
                <c:pt idx="53">
                  <c:v>0.39404157740001566</c:v>
                </c:pt>
                <c:pt idx="54">
                  <c:v>0.38249752578252094</c:v>
                </c:pt>
                <c:pt idx="55">
                  <c:v>0.37061032844530006</c:v>
                </c:pt>
                <c:pt idx="56">
                  <c:v>0.35837998538835292</c:v>
                </c:pt>
                <c:pt idx="57">
                  <c:v>0.34580649661167956</c:v>
                </c:pt>
                <c:pt idx="58">
                  <c:v>0.33288986211527999</c:v>
                </c:pt>
                <c:pt idx="59">
                  <c:v>0.31963008189915432</c:v>
                </c:pt>
                <c:pt idx="60">
                  <c:v>0.30602715596330221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B2-4D41-B54C-DEAC15D56D7E}"/>
            </c:ext>
          </c:extLst>
        </c:ser>
        <c:ser>
          <c:idx val="7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'Fig1_non-CO2_emissions'!$AG$147:$AG$207</c:f>
              <c:numCache>
                <c:formatCode>0.0</c:formatCode>
                <c:ptCount val="61"/>
                <c:pt idx="0">
                  <c:v>0.54125598992348656</c:v>
                </c:pt>
                <c:pt idx="1">
                  <c:v>0.52355577440579537</c:v>
                </c:pt>
                <c:pt idx="2">
                  <c:v>0.52505603251206501</c:v>
                </c:pt>
                <c:pt idx="3">
                  <c:v>0.53014127285569623</c:v>
                </c:pt>
                <c:pt idx="4">
                  <c:v>0.55421301136739254</c:v>
                </c:pt>
                <c:pt idx="5">
                  <c:v>0.56811955783034851</c:v>
                </c:pt>
                <c:pt idx="6">
                  <c:v>0.59222831681170196</c:v>
                </c:pt>
                <c:pt idx="7">
                  <c:v>0.6125218233757016</c:v>
                </c:pt>
                <c:pt idx="8">
                  <c:v>0.62628443310914006</c:v>
                </c:pt>
                <c:pt idx="9">
                  <c:v>0.64799529479716478</c:v>
                </c:pt>
                <c:pt idx="10">
                  <c:v>0.67042612600512863</c:v>
                </c:pt>
                <c:pt idx="11">
                  <c:v>0.65679616104328098</c:v>
                </c:pt>
                <c:pt idx="12">
                  <c:v>0.66211352973719628</c:v>
                </c:pt>
                <c:pt idx="13">
                  <c:v>0.65836531438651913</c:v>
                </c:pt>
                <c:pt idx="14">
                  <c:v>0.70040427319320397</c:v>
                </c:pt>
                <c:pt idx="15">
                  <c:v>0.73121102139519345</c:v>
                </c:pt>
                <c:pt idx="16">
                  <c:v>0.73952333179077301</c:v>
                </c:pt>
                <c:pt idx="17">
                  <c:v>0.75958185128096256</c:v>
                </c:pt>
                <c:pt idx="18">
                  <c:v>0.75035074714423378</c:v>
                </c:pt>
                <c:pt idx="19">
                  <c:v>0.71241534302246678</c:v>
                </c:pt>
                <c:pt idx="20">
                  <c:v>0.75109787453766663</c:v>
                </c:pt>
                <c:pt idx="21">
                  <c:v>0.76896389601984694</c:v>
                </c:pt>
                <c:pt idx="22">
                  <c:v>0.77458586170542221</c:v>
                </c:pt>
                <c:pt idx="23">
                  <c:v>0.79932239637301195</c:v>
                </c:pt>
                <c:pt idx="24">
                  <c:v>0.82491168826830807</c:v>
                </c:pt>
                <c:pt idx="25">
                  <c:v>0.87040570032811293</c:v>
                </c:pt>
                <c:pt idx="26">
                  <c:v>0.90847117637029762</c:v>
                </c:pt>
                <c:pt idx="27">
                  <c:v>0.9686673176502516</c:v>
                </c:pt>
                <c:pt idx="28">
                  <c:v>1.011481419340921</c:v>
                </c:pt>
                <c:pt idx="29">
                  <c:v>1.0269999999999997</c:v>
                </c:pt>
                <c:pt idx="30">
                  <c:v>0.60599999999999965</c:v>
                </c:pt>
                <c:pt idx="31">
                  <c:v>0.72629373574285128</c:v>
                </c:pt>
                <c:pt idx="32">
                  <c:v>0.68280815454197707</c:v>
                </c:pt>
                <c:pt idx="33">
                  <c:v>0.63353816890533443</c:v>
                </c:pt>
                <c:pt idx="34">
                  <c:v>0.58335638647953392</c:v>
                </c:pt>
                <c:pt idx="35">
                  <c:v>0.530858393513711</c:v>
                </c:pt>
                <c:pt idx="36">
                  <c:v>0.52076832045315669</c:v>
                </c:pt>
                <c:pt idx="37">
                  <c:v>0.51046410940988218</c:v>
                </c:pt>
                <c:pt idx="38">
                  <c:v>0.4999544063925454</c:v>
                </c:pt>
                <c:pt idx="39">
                  <c:v>0.4892477863605228</c:v>
                </c:pt>
                <c:pt idx="40">
                  <c:v>0.47835275322390891</c:v>
                </c:pt>
                <c:pt idx="41">
                  <c:v>0.45874208019471763</c:v>
                </c:pt>
                <c:pt idx="42">
                  <c:v>0.43925665324445173</c:v>
                </c:pt>
                <c:pt idx="43">
                  <c:v>0.41991997362888489</c:v>
                </c:pt>
                <c:pt idx="44">
                  <c:v>0.40075528060956317</c:v>
                </c:pt>
                <c:pt idx="45">
                  <c:v>0.38178555145380511</c:v>
                </c:pt>
                <c:pt idx="46">
                  <c:v>0.35384961821388289</c:v>
                </c:pt>
                <c:pt idx="47">
                  <c:v>0.32656491466873655</c:v>
                </c:pt>
                <c:pt idx="48">
                  <c:v>0.29997082319483803</c:v>
                </c:pt>
                <c:pt idx="49">
                  <c:v>0.27410623770484493</c:v>
                </c:pt>
                <c:pt idx="50">
                  <c:v>0.24900956364760019</c:v>
                </c:pt>
                <c:pt idx="51">
                  <c:v>0.23027713152776852</c:v>
                </c:pt>
                <c:pt idx="52">
                  <c:v>0.21206728183757007</c:v>
                </c:pt>
                <c:pt idx="53">
                  <c:v>0.19440573965242414</c:v>
                </c:pt>
                <c:pt idx="54">
                  <c:v>0.17731789700424039</c:v>
                </c:pt>
                <c:pt idx="55">
                  <c:v>0.16082881288141879</c:v>
                </c:pt>
                <c:pt idx="56">
                  <c:v>0.1476602032424095</c:v>
                </c:pt>
                <c:pt idx="57">
                  <c:v>0.1349353105858295</c:v>
                </c:pt>
                <c:pt idx="58">
                  <c:v>0.12267211925192728</c:v>
                </c:pt>
                <c:pt idx="59">
                  <c:v>0.11088836934904425</c:v>
                </c:pt>
                <c:pt idx="60">
                  <c:v>9.9601556753614498E-2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B2-4D41-B54C-DEAC15D56D7E}"/>
            </c:ext>
          </c:extLst>
        </c:ser>
        <c:ser>
          <c:idx val="8"/>
          <c:order val="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'Fig1_non-CO2_emissions'!$AU$147:$AU$207</c:f>
              <c:numCache>
                <c:formatCode>0.0</c:formatCode>
                <c:ptCount val="61"/>
                <c:pt idx="0">
                  <c:v>0.54125598992348656</c:v>
                </c:pt>
                <c:pt idx="1">
                  <c:v>0.52355577440579537</c:v>
                </c:pt>
                <c:pt idx="2">
                  <c:v>0.52505603251206501</c:v>
                </c:pt>
                <c:pt idx="3">
                  <c:v>0.53014127285569623</c:v>
                </c:pt>
                <c:pt idx="4">
                  <c:v>0.55421301136739254</c:v>
                </c:pt>
                <c:pt idx="5">
                  <c:v>0.56811955783034851</c:v>
                </c:pt>
                <c:pt idx="6">
                  <c:v>0.59222831681170196</c:v>
                </c:pt>
                <c:pt idx="7">
                  <c:v>0.6125218233757016</c:v>
                </c:pt>
                <c:pt idx="8">
                  <c:v>0.62628443310914006</c:v>
                </c:pt>
                <c:pt idx="9">
                  <c:v>0.64799529479716478</c:v>
                </c:pt>
                <c:pt idx="10">
                  <c:v>0.67042612600512863</c:v>
                </c:pt>
                <c:pt idx="11">
                  <c:v>0.65679616104328098</c:v>
                </c:pt>
                <c:pt idx="12">
                  <c:v>0.66211352973719628</c:v>
                </c:pt>
                <c:pt idx="13">
                  <c:v>0.65836531438651913</c:v>
                </c:pt>
                <c:pt idx="14">
                  <c:v>0.70040427319320397</c:v>
                </c:pt>
                <c:pt idx="15">
                  <c:v>0.73121102139519345</c:v>
                </c:pt>
                <c:pt idx="16">
                  <c:v>0.73952333179077301</c:v>
                </c:pt>
                <c:pt idx="17">
                  <c:v>0.75958185128096256</c:v>
                </c:pt>
                <c:pt idx="18">
                  <c:v>0.75035074714423378</c:v>
                </c:pt>
                <c:pt idx="19">
                  <c:v>0.71241534302246678</c:v>
                </c:pt>
                <c:pt idx="20">
                  <c:v>0.75109787453766663</c:v>
                </c:pt>
                <c:pt idx="21">
                  <c:v>0.76896389601984694</c:v>
                </c:pt>
                <c:pt idx="22">
                  <c:v>0.77458586170542221</c:v>
                </c:pt>
                <c:pt idx="23">
                  <c:v>0.79932239637301195</c:v>
                </c:pt>
                <c:pt idx="24">
                  <c:v>0.82491168826830807</c:v>
                </c:pt>
                <c:pt idx="25">
                  <c:v>0.87040570032811293</c:v>
                </c:pt>
                <c:pt idx="26">
                  <c:v>0.90847117637029762</c:v>
                </c:pt>
                <c:pt idx="27">
                  <c:v>0.9686673176502516</c:v>
                </c:pt>
                <c:pt idx="28">
                  <c:v>1.011481419340921</c:v>
                </c:pt>
                <c:pt idx="29">
                  <c:v>1.0269999999999997</c:v>
                </c:pt>
                <c:pt idx="30">
                  <c:v>0.60599999999999965</c:v>
                </c:pt>
                <c:pt idx="31">
                  <c:v>0.72629373574285128</c:v>
                </c:pt>
                <c:pt idx="32">
                  <c:v>0.68280815454197707</c:v>
                </c:pt>
                <c:pt idx="33">
                  <c:v>0.61501188496323211</c:v>
                </c:pt>
                <c:pt idx="34">
                  <c:v>0.54900818225631809</c:v>
                </c:pt>
                <c:pt idx="35">
                  <c:v>0.47993256467174589</c:v>
                </c:pt>
                <c:pt idx="36">
                  <c:v>0.45140249140579564</c:v>
                </c:pt>
                <c:pt idx="37">
                  <c:v>0.42346848267927473</c:v>
                </c:pt>
                <c:pt idx="38">
                  <c:v>0.39616262118784035</c:v>
                </c:pt>
                <c:pt idx="39">
                  <c:v>0.36951546470265439</c:v>
                </c:pt>
                <c:pt idx="40">
                  <c:v>0.34355604607038415</c:v>
                </c:pt>
                <c:pt idx="41">
                  <c:v>0.31831187321320126</c:v>
                </c:pt>
                <c:pt idx="42">
                  <c:v>0.29380892912878265</c:v>
                </c:pt>
                <c:pt idx="43">
                  <c:v>0.27007167189030962</c:v>
                </c:pt>
                <c:pt idx="44">
                  <c:v>0.24712303464646898</c:v>
                </c:pt>
                <c:pt idx="45">
                  <c:v>0.22498442562145177</c:v>
                </c:pt>
                <c:pt idx="46">
                  <c:v>0.20367572811495435</c:v>
                </c:pt>
                <c:pt idx="47">
                  <c:v>0.18321530050217757</c:v>
                </c:pt>
                <c:pt idx="48">
                  <c:v>0.16361997623382749</c:v>
                </c:pt>
                <c:pt idx="49">
                  <c:v>0.1449050638361149</c:v>
                </c:pt>
                <c:pt idx="50">
                  <c:v>0.12708434691075537</c:v>
                </c:pt>
                <c:pt idx="51">
                  <c:v>0.11017008413496944</c:v>
                </c:pt>
                <c:pt idx="52">
                  <c:v>9.4173009261482504E-2</c:v>
                </c:pt>
                <c:pt idx="53">
                  <c:v>7.9102331118524757E-2</c:v>
                </c:pt>
                <c:pt idx="54">
                  <c:v>6.4965733609831322E-2</c:v>
                </c:pt>
                <c:pt idx="55">
                  <c:v>5.1769375714642185E-2</c:v>
                </c:pt>
                <c:pt idx="56">
                  <c:v>3.9517891487702156E-2</c:v>
                </c:pt>
                <c:pt idx="57">
                  <c:v>2.8214390059260932E-2</c:v>
                </c:pt>
                <c:pt idx="58">
                  <c:v>1.7860455635073078E-2</c:v>
                </c:pt>
                <c:pt idx="59">
                  <c:v>8.456147496398031E-3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B2-4D41-B54C-DEAC15D56D7E}"/>
            </c:ext>
          </c:extLst>
        </c:ser>
        <c:ser>
          <c:idx val="9"/>
          <c:order val="9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'Fig1_non-CO2_emissions'!$S$11:$S$42</c:f>
              <c:numCache>
                <c:formatCode>_(* #,##0.0_);_(* \(#,##0.0\);_(* "-"??_);_(@_)</c:formatCode>
                <c:ptCount val="32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B2-4D41-B54C-DEAC15D5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25615"/>
        <c:axId val="171880111"/>
      </c:lineChart>
      <c:catAx>
        <c:axId val="166582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0111"/>
        <c:crosses val="autoZero"/>
        <c:auto val="1"/>
        <c:lblAlgn val="ctr"/>
        <c:lblOffset val="100"/>
        <c:noMultiLvlLbl val="0"/>
      </c:catAx>
      <c:valAx>
        <c:axId val="171880111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2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GTP100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'Fig1_non-CO2_emissions'!$A$11:$A$71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'Fig1_non-CO2_emissions'!$T$11:$T$71</c:f>
              <c:numCache>
                <c:formatCode>_(* #,##0.0_);_(* \(#,##0.0\);_(* "-"??_);_(@_)</c:formatCode>
                <c:ptCount val="61"/>
                <c:pt idx="0">
                  <c:v>0.59696755800000012</c:v>
                </c:pt>
                <c:pt idx="1">
                  <c:v>0.57818283160000006</c:v>
                </c:pt>
                <c:pt idx="2">
                  <c:v>0.58208243059999998</c:v>
                </c:pt>
                <c:pt idx="3">
                  <c:v>0.58699492939999998</c:v>
                </c:pt>
                <c:pt idx="4">
                  <c:v>0.61237843370000022</c:v>
                </c:pt>
                <c:pt idx="5">
                  <c:v>0.62784207859999996</c:v>
                </c:pt>
                <c:pt idx="6">
                  <c:v>0.65683341020000019</c:v>
                </c:pt>
                <c:pt idx="7">
                  <c:v>0.67785133130000019</c:v>
                </c:pt>
                <c:pt idx="8">
                  <c:v>0.69081000120000002</c:v>
                </c:pt>
                <c:pt idx="9">
                  <c:v>0.71406135020000006</c:v>
                </c:pt>
                <c:pt idx="10">
                  <c:v>0.74224897670000023</c:v>
                </c:pt>
                <c:pt idx="11">
                  <c:v>0.72533633040000001</c:v>
                </c:pt>
                <c:pt idx="12">
                  <c:v>0.73195146420000001</c:v>
                </c:pt>
                <c:pt idx="13">
                  <c:v>0.72737862560000011</c:v>
                </c:pt>
                <c:pt idx="14">
                  <c:v>0.77432397460000013</c:v>
                </c:pt>
                <c:pt idx="15">
                  <c:v>0.80525808880000005</c:v>
                </c:pt>
                <c:pt idx="16">
                  <c:v>0.81496325130000002</c:v>
                </c:pt>
                <c:pt idx="17">
                  <c:v>0.83575218210000002</c:v>
                </c:pt>
                <c:pt idx="18">
                  <c:v>0.82782436990000019</c:v>
                </c:pt>
                <c:pt idx="19">
                  <c:v>0.78330060490000009</c:v>
                </c:pt>
                <c:pt idx="20">
                  <c:v>0.82542964240000005</c:v>
                </c:pt>
                <c:pt idx="21">
                  <c:v>0.84831083260000018</c:v>
                </c:pt>
                <c:pt idx="22">
                  <c:v>0.85865315580000012</c:v>
                </c:pt>
                <c:pt idx="23">
                  <c:v>0.87992935800000005</c:v>
                </c:pt>
                <c:pt idx="24">
                  <c:v>0.90896274260000021</c:v>
                </c:pt>
                <c:pt idx="25">
                  <c:v>0.95912311770000014</c:v>
                </c:pt>
                <c:pt idx="26">
                  <c:v>1.0044704934000002</c:v>
                </c:pt>
                <c:pt idx="27">
                  <c:v>1.0676835103000002</c:v>
                </c:pt>
                <c:pt idx="28">
                  <c:v>1.1083767431</c:v>
                </c:pt>
                <c:pt idx="29">
                  <c:v>1.1296999999999999</c:v>
                </c:pt>
                <c:pt idx="30">
                  <c:v>0.66660000000000008</c:v>
                </c:pt>
                <c:pt idx="31">
                  <c:v>0.79892310931713639</c:v>
                </c:pt>
                <c:pt idx="32">
                  <c:v>0.87652452052540253</c:v>
                </c:pt>
                <c:pt idx="33">
                  <c:v>0.95287487352501343</c:v>
                </c:pt>
                <c:pt idx="34">
                  <c:v>1.0280027028638838</c:v>
                </c:pt>
                <c:pt idx="35">
                  <c:v>1.058431582868655</c:v>
                </c:pt>
                <c:pt idx="36">
                  <c:v>1.0897611577215673</c:v>
                </c:pt>
                <c:pt idx="37">
                  <c:v>1.1220180879901258</c:v>
                </c:pt>
                <c:pt idx="38">
                  <c:v>1.1552298233946334</c:v>
                </c:pt>
                <c:pt idx="39">
                  <c:v>1.1894246261671149</c:v>
                </c:pt>
                <c:pt idx="40">
                  <c:v>1.2246315951016613</c:v>
                </c:pt>
                <c:pt idx="41">
                  <c:v>1.2608806903166707</c:v>
                </c:pt>
                <c:pt idx="42">
                  <c:v>1.2982027587500442</c:v>
                </c:pt>
                <c:pt idx="43">
                  <c:v>1.3366295604090452</c:v>
                </c:pt>
                <c:pt idx="44">
                  <c:v>1.3761937953971535</c:v>
                </c:pt>
                <c:pt idx="45">
                  <c:v>1.4169291317409087</c:v>
                </c:pt>
                <c:pt idx="46">
                  <c:v>1.45887023404044</c:v>
                </c:pt>
                <c:pt idx="47">
                  <c:v>1.5020527929680372</c:v>
                </c:pt>
                <c:pt idx="48">
                  <c:v>1.546513555639891</c:v>
                </c:pt>
                <c:pt idx="49">
                  <c:v>1.5922903568868318</c:v>
                </c:pt>
                <c:pt idx="50">
                  <c:v>1.6394221514506824</c:v>
                </c:pt>
                <c:pt idx="51">
                  <c:v>1.687949047133622</c:v>
                </c:pt>
                <c:pt idx="52">
                  <c:v>1.7379123389287776</c:v>
                </c:pt>
                <c:pt idx="53">
                  <c:v>1.7893545441610694</c:v>
                </c:pt>
                <c:pt idx="54">
                  <c:v>1.8423194386682376</c:v>
                </c:pt>
                <c:pt idx="55">
                  <c:v>1.8968520940528169</c:v>
                </c:pt>
                <c:pt idx="56">
                  <c:v>1.9529989160367807</c:v>
                </c:pt>
                <c:pt idx="57">
                  <c:v>2.010807683951469</c:v>
                </c:pt>
                <c:pt idx="58">
                  <c:v>2.0703275913964325</c:v>
                </c:pt>
                <c:pt idx="59">
                  <c:v>2.1316092881017674</c:v>
                </c:pt>
                <c:pt idx="60">
                  <c:v>2.1947049230295796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F-AC48-83BD-95640D2527C4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'Fig1_non-CO2_emissions'!$AH$11:$AH$71</c:f>
              <c:numCache>
                <c:formatCode>0.0</c:formatCode>
                <c:ptCount val="61"/>
                <c:pt idx="0">
                  <c:v>0.59538158891583537</c:v>
                </c:pt>
                <c:pt idx="1">
                  <c:v>0.57591135184637499</c:v>
                </c:pt>
                <c:pt idx="2">
                  <c:v>0.57756163576327157</c:v>
                </c:pt>
                <c:pt idx="3">
                  <c:v>0.58315540014126599</c:v>
                </c:pt>
                <c:pt idx="4">
                  <c:v>0.60963431250413191</c:v>
                </c:pt>
                <c:pt idx="5">
                  <c:v>0.62493151361338339</c:v>
                </c:pt>
                <c:pt idx="6">
                  <c:v>0.65145114849287222</c:v>
                </c:pt>
                <c:pt idx="7">
                  <c:v>0.67377400571327173</c:v>
                </c:pt>
                <c:pt idx="8">
                  <c:v>0.68891287642005417</c:v>
                </c:pt>
                <c:pt idx="9">
                  <c:v>0.71279482427688134</c:v>
                </c:pt>
                <c:pt idx="10">
                  <c:v>0.73746873860564155</c:v>
                </c:pt>
                <c:pt idx="11">
                  <c:v>0.72247577714760913</c:v>
                </c:pt>
                <c:pt idx="12">
                  <c:v>0.728324882710916</c:v>
                </c:pt>
                <c:pt idx="13">
                  <c:v>0.72420184582517111</c:v>
                </c:pt>
                <c:pt idx="14">
                  <c:v>0.77044470051252434</c:v>
                </c:pt>
                <c:pt idx="15">
                  <c:v>0.80433212353471284</c:v>
                </c:pt>
                <c:pt idx="16">
                  <c:v>0.81347566496985046</c:v>
                </c:pt>
                <c:pt idx="17">
                  <c:v>0.83554003640905894</c:v>
                </c:pt>
                <c:pt idx="18">
                  <c:v>0.82538582185865728</c:v>
                </c:pt>
                <c:pt idx="19">
                  <c:v>0.78365687732471356</c:v>
                </c:pt>
                <c:pt idx="20">
                  <c:v>0.82620766199143347</c:v>
                </c:pt>
                <c:pt idx="21">
                  <c:v>0.84586028562183169</c:v>
                </c:pt>
                <c:pt idx="22">
                  <c:v>0.85204444787596445</c:v>
                </c:pt>
                <c:pt idx="23">
                  <c:v>0.87925463601031328</c:v>
                </c:pt>
                <c:pt idx="24">
                  <c:v>0.9074028570951389</c:v>
                </c:pt>
                <c:pt idx="25">
                  <c:v>0.95744627036092433</c:v>
                </c:pt>
                <c:pt idx="26">
                  <c:v>0.99931829400732763</c:v>
                </c:pt>
                <c:pt idx="27">
                  <c:v>1.065534049415277</c:v>
                </c:pt>
                <c:pt idx="28">
                  <c:v>1.1126295612750132</c:v>
                </c:pt>
                <c:pt idx="29">
                  <c:v>1.1296999999999999</c:v>
                </c:pt>
                <c:pt idx="30">
                  <c:v>0.66659999999999975</c:v>
                </c:pt>
                <c:pt idx="31">
                  <c:v>0.79892310931713639</c:v>
                </c:pt>
                <c:pt idx="32">
                  <c:v>0.87652452052540253</c:v>
                </c:pt>
                <c:pt idx="33">
                  <c:v>0.94709987429152853</c:v>
                </c:pt>
                <c:pt idx="34">
                  <c:v>1.0155420640412915</c:v>
                </c:pt>
                <c:pt idx="35">
                  <c:v>1.0363857231154003</c:v>
                </c:pt>
                <c:pt idx="36">
                  <c:v>1.0578719215857133</c:v>
                </c:pt>
                <c:pt idx="37">
                  <c:v>1.0797572628337544</c:v>
                </c:pt>
                <c:pt idx="38">
                  <c:v>1.102047592670798</c:v>
                </c:pt>
                <c:pt idx="39">
                  <c:v>1.1247487841076449</c:v>
                </c:pt>
                <c:pt idx="40">
                  <c:v>1.1478667347558391</c:v>
                </c:pt>
                <c:pt idx="41">
                  <c:v>1.1520638476975296</c:v>
                </c:pt>
                <c:pt idx="42">
                  <c:v>1.1556538946787662</c:v>
                </c:pt>
                <c:pt idx="43">
                  <c:v>1.1586017053764182</c:v>
                </c:pt>
                <c:pt idx="44">
                  <c:v>1.1608706908527342</c:v>
                </c:pt>
                <c:pt idx="45">
                  <c:v>1.1624227942830005</c:v>
                </c:pt>
                <c:pt idx="46">
                  <c:v>1.137038325187895</c:v>
                </c:pt>
                <c:pt idx="47">
                  <c:v>1.109456589913308</c:v>
                </c:pt>
                <c:pt idx="48">
                  <c:v>1.0795793404551488</c:v>
                </c:pt>
                <c:pt idx="49">
                  <c:v>1.0473047215274218</c:v>
                </c:pt>
                <c:pt idx="50">
                  <c:v>1.0125271514938647</c:v>
                </c:pt>
                <c:pt idx="51">
                  <c:v>0.99563557923242529</c:v>
                </c:pt>
                <c:pt idx="52">
                  <c:v>0.97711245801309754</c:v>
                </c:pt>
                <c:pt idx="53">
                  <c:v>0.95688356466763369</c:v>
                </c:pt>
                <c:pt idx="54">
                  <c:v>0.93487193543254099</c:v>
                </c:pt>
                <c:pt idx="55">
                  <c:v>0.91099777536519699</c:v>
                </c:pt>
                <c:pt idx="56">
                  <c:v>0.89853954786263468</c:v>
                </c:pt>
                <c:pt idx="57">
                  <c:v>0.88476245898169381</c:v>
                </c:pt>
                <c:pt idx="58">
                  <c:v>0.86960576615620244</c:v>
                </c:pt>
                <c:pt idx="59">
                  <c:v>0.85300647638500926</c:v>
                </c:pt>
                <c:pt idx="60">
                  <c:v>0.83489927185018575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F-AC48-83BD-95640D2527C4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'Fig1_non-CO2_emissions'!$AV$11:$AV$71</c:f>
              <c:numCache>
                <c:formatCode>_(* #,##0.0_);_(* \(#,##0.0\);_(* "-"??_);_(@_)</c:formatCode>
                <c:ptCount val="61"/>
                <c:pt idx="0">
                  <c:v>0.59538158891583537</c:v>
                </c:pt>
                <c:pt idx="1">
                  <c:v>0.57591135184637499</c:v>
                </c:pt>
                <c:pt idx="2">
                  <c:v>0.57756163576327157</c:v>
                </c:pt>
                <c:pt idx="3">
                  <c:v>0.58315540014126599</c:v>
                </c:pt>
                <c:pt idx="4">
                  <c:v>0.60963431250413191</c:v>
                </c:pt>
                <c:pt idx="5">
                  <c:v>0.62493151361338339</c:v>
                </c:pt>
                <c:pt idx="6">
                  <c:v>0.65145114849287222</c:v>
                </c:pt>
                <c:pt idx="7">
                  <c:v>0.67377400571327173</c:v>
                </c:pt>
                <c:pt idx="8">
                  <c:v>0.68891287642005417</c:v>
                </c:pt>
                <c:pt idx="9">
                  <c:v>0.71279482427688134</c:v>
                </c:pt>
                <c:pt idx="10">
                  <c:v>0.73746873860564155</c:v>
                </c:pt>
                <c:pt idx="11">
                  <c:v>0.72247577714760913</c:v>
                </c:pt>
                <c:pt idx="12">
                  <c:v>0.728324882710916</c:v>
                </c:pt>
                <c:pt idx="13">
                  <c:v>0.72420184582517111</c:v>
                </c:pt>
                <c:pt idx="14">
                  <c:v>0.77044470051252434</c:v>
                </c:pt>
                <c:pt idx="15">
                  <c:v>0.80433212353471284</c:v>
                </c:pt>
                <c:pt idx="16">
                  <c:v>0.81347566496985046</c:v>
                </c:pt>
                <c:pt idx="17">
                  <c:v>0.83554003640905894</c:v>
                </c:pt>
                <c:pt idx="18">
                  <c:v>0.82538582185865728</c:v>
                </c:pt>
                <c:pt idx="19">
                  <c:v>0.78365687732471356</c:v>
                </c:pt>
                <c:pt idx="20">
                  <c:v>0.82620766199143347</c:v>
                </c:pt>
                <c:pt idx="21">
                  <c:v>0.84586028562183169</c:v>
                </c:pt>
                <c:pt idx="22">
                  <c:v>0.85204444787596445</c:v>
                </c:pt>
                <c:pt idx="23">
                  <c:v>0.87925463601031328</c:v>
                </c:pt>
                <c:pt idx="24">
                  <c:v>0.9074028570951389</c:v>
                </c:pt>
                <c:pt idx="25">
                  <c:v>0.95744627036092433</c:v>
                </c:pt>
                <c:pt idx="26">
                  <c:v>0.99931829400732763</c:v>
                </c:pt>
                <c:pt idx="27">
                  <c:v>1.065534049415277</c:v>
                </c:pt>
                <c:pt idx="28">
                  <c:v>1.1126295612750132</c:v>
                </c:pt>
                <c:pt idx="29">
                  <c:v>1.1296999999999999</c:v>
                </c:pt>
                <c:pt idx="30">
                  <c:v>0.66659999999999975</c:v>
                </c:pt>
                <c:pt idx="31">
                  <c:v>0.79892310931713639</c:v>
                </c:pt>
                <c:pt idx="32">
                  <c:v>0.87652452052540253</c:v>
                </c:pt>
                <c:pt idx="33">
                  <c:v>0.9219373776313442</c:v>
                </c:pt>
                <c:pt idx="34">
                  <c:v>0.96124928059999537</c:v>
                </c:pt>
                <c:pt idx="35">
                  <c:v>0.94543148151305345</c:v>
                </c:pt>
                <c:pt idx="36">
                  <c:v>0.92856882580552347</c:v>
                </c:pt>
                <c:pt idx="37">
                  <c:v>0.91063503633986376</c:v>
                </c:pt>
                <c:pt idx="38">
                  <c:v>0.89160383872933369</c:v>
                </c:pt>
                <c:pt idx="39">
                  <c:v>0.87144900355353005</c:v>
                </c:pt>
                <c:pt idx="40">
                  <c:v>0.85014439163395839</c:v>
                </c:pt>
                <c:pt idx="41">
                  <c:v>0.82766400253046768</c:v>
                </c:pt>
                <c:pt idx="42">
                  <c:v>0.80398202642672911</c:v>
                </c:pt>
                <c:pt idx="43">
                  <c:v>0.77907289958057169</c:v>
                </c:pt>
                <c:pt idx="44">
                  <c:v>0.75291136352295585</c:v>
                </c:pt>
                <c:pt idx="45">
                  <c:v>0.72547252819764696</c:v>
                </c:pt>
                <c:pt idx="46">
                  <c:v>0.69673193924231802</c:v>
                </c:pt>
                <c:pt idx="47">
                  <c:v>0.66666564962077735</c:v>
                </c:pt>
                <c:pt idx="48">
                  <c:v>0.63525029582542913</c:v>
                </c:pt>
                <c:pt idx="49">
                  <c:v>0.60246317887879708</c:v>
                </c:pt>
                <c:pt idx="50">
                  <c:v>0.56828235037314845</c:v>
                </c:pt>
                <c:pt idx="51">
                  <c:v>0.53268670379781002</c:v>
                </c:pt>
                <c:pt idx="52">
                  <c:v>0.49565607141481333</c:v>
                </c:pt>
                <c:pt idx="53">
                  <c:v>0.45717132695496548</c:v>
                </c:pt>
                <c:pt idx="54">
                  <c:v>0.41721449441840752</c:v>
                </c:pt>
                <c:pt idx="55">
                  <c:v>0.37576886327614151</c:v>
                </c:pt>
                <c:pt idx="56">
                  <c:v>0.3328191103819696</c:v>
                </c:pt>
                <c:pt idx="57">
                  <c:v>0.28835142891774934</c:v>
                </c:pt>
                <c:pt idx="58">
                  <c:v>0.24235366470890635</c:v>
                </c:pt>
                <c:pt idx="59">
                  <c:v>0.19481546026172913</c:v>
                </c:pt>
                <c:pt idx="60">
                  <c:v>0.14572840688916427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F-AC48-83BD-95640D2527C4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'Fig1_non-CO2_emissions'!$T$79:$T$139</c:f>
              <c:numCache>
                <c:formatCode>_(* #,##0.0_);_(* \(#,##0.0\);_(* "-"??_);_(@_)</c:formatCode>
                <c:ptCount val="61"/>
                <c:pt idx="0">
                  <c:v>0.59696755800000012</c:v>
                </c:pt>
                <c:pt idx="1">
                  <c:v>0.57818283160000006</c:v>
                </c:pt>
                <c:pt idx="2">
                  <c:v>0.58208243059999998</c:v>
                </c:pt>
                <c:pt idx="3">
                  <c:v>0.58699492939999998</c:v>
                </c:pt>
                <c:pt idx="4">
                  <c:v>0.61237843370000022</c:v>
                </c:pt>
                <c:pt idx="5">
                  <c:v>0.62784207859999996</c:v>
                </c:pt>
                <c:pt idx="6">
                  <c:v>0.65683341020000019</c:v>
                </c:pt>
                <c:pt idx="7">
                  <c:v>0.67785133130000019</c:v>
                </c:pt>
                <c:pt idx="8">
                  <c:v>0.69081000120000002</c:v>
                </c:pt>
                <c:pt idx="9">
                  <c:v>0.71406135020000006</c:v>
                </c:pt>
                <c:pt idx="10">
                  <c:v>0.74224897670000023</c:v>
                </c:pt>
                <c:pt idx="11">
                  <c:v>0.72533633040000001</c:v>
                </c:pt>
                <c:pt idx="12">
                  <c:v>0.73195146420000001</c:v>
                </c:pt>
                <c:pt idx="13">
                  <c:v>0.72737862560000011</c:v>
                </c:pt>
                <c:pt idx="14">
                  <c:v>0.77432397460000013</c:v>
                </c:pt>
                <c:pt idx="15">
                  <c:v>0.80525808880000005</c:v>
                </c:pt>
                <c:pt idx="16">
                  <c:v>0.81496325130000002</c:v>
                </c:pt>
                <c:pt idx="17">
                  <c:v>0.83575218210000002</c:v>
                </c:pt>
                <c:pt idx="18">
                  <c:v>0.82782436990000019</c:v>
                </c:pt>
                <c:pt idx="19">
                  <c:v>0.78330060490000009</c:v>
                </c:pt>
                <c:pt idx="20">
                  <c:v>0.82542964240000005</c:v>
                </c:pt>
                <c:pt idx="21">
                  <c:v>0.84831083260000018</c:v>
                </c:pt>
                <c:pt idx="22">
                  <c:v>0.85865315580000012</c:v>
                </c:pt>
                <c:pt idx="23">
                  <c:v>0.87992935800000005</c:v>
                </c:pt>
                <c:pt idx="24">
                  <c:v>0.90896274260000021</c:v>
                </c:pt>
                <c:pt idx="25">
                  <c:v>0.95912311770000014</c:v>
                </c:pt>
                <c:pt idx="26">
                  <c:v>1.0044704934000002</c:v>
                </c:pt>
                <c:pt idx="27">
                  <c:v>1.0676835103000002</c:v>
                </c:pt>
                <c:pt idx="28">
                  <c:v>1.1083767431</c:v>
                </c:pt>
                <c:pt idx="29">
                  <c:v>1.1296999999999999</c:v>
                </c:pt>
                <c:pt idx="30">
                  <c:v>0.66660000000000008</c:v>
                </c:pt>
                <c:pt idx="31">
                  <c:v>0.79892310931713639</c:v>
                </c:pt>
                <c:pt idx="32">
                  <c:v>0.86433853215438017</c:v>
                </c:pt>
                <c:pt idx="33">
                  <c:v>0.92697544879087945</c:v>
                </c:pt>
                <c:pt idx="34">
                  <c:v>0.98691969739168983</c:v>
                </c:pt>
                <c:pt idx="35">
                  <c:v>0.99450371391332681</c:v>
                </c:pt>
                <c:pt idx="36">
                  <c:v>1.0021476102107048</c:v>
                </c:pt>
                <c:pt idx="37">
                  <c:v>1.0098518686740505</c:v>
                </c:pt>
                <c:pt idx="38">
                  <c:v>1.0176169756358655</c:v>
                </c:pt>
                <c:pt idx="39">
                  <c:v>1.0254434214034662</c:v>
                </c:pt>
                <c:pt idx="40">
                  <c:v>1.0333317002917934</c:v>
                </c:pt>
                <c:pt idx="41">
                  <c:v>1.0412823106564955</c:v>
                </c:pt>
                <c:pt idx="42">
                  <c:v>1.0492957549272846</c:v>
                </c:pt>
                <c:pt idx="43">
                  <c:v>1.0573725396415723</c:v>
                </c:pt>
                <c:pt idx="44">
                  <c:v>1.0655131754783831</c:v>
                </c:pt>
                <c:pt idx="45">
                  <c:v>1.0737181772925501</c:v>
                </c:pt>
                <c:pt idx="46">
                  <c:v>1.0819880641491966</c:v>
                </c:pt>
                <c:pt idx="47">
                  <c:v>1.0903233593585018</c:v>
                </c:pt>
                <c:pt idx="48">
                  <c:v>1.0987245905107546</c:v>
                </c:pt>
                <c:pt idx="49">
                  <c:v>1.1071922895117061</c:v>
                </c:pt>
                <c:pt idx="50">
                  <c:v>1.115726992618205</c:v>
                </c:pt>
                <c:pt idx="51">
                  <c:v>1.1243292404741385</c:v>
                </c:pt>
                <c:pt idx="52">
                  <c:v>1.1329995781466671</c:v>
                </c:pt>
                <c:pt idx="53">
                  <c:v>1.1417385551627617</c:v>
                </c:pt>
                <c:pt idx="54">
                  <c:v>1.1505467255460449</c:v>
                </c:pt>
                <c:pt idx="55">
                  <c:v>1.1594246478539385</c:v>
                </c:pt>
                <c:pt idx="56">
                  <c:v>1.1683728852151207</c:v>
                </c:pt>
                <c:pt idx="57">
                  <c:v>1.1773920053672922</c:v>
                </c:pt>
                <c:pt idx="58">
                  <c:v>1.1864825806952579</c:v>
                </c:pt>
                <c:pt idx="59">
                  <c:v>1.195645188269328</c:v>
                </c:pt>
                <c:pt idx="60">
                  <c:v>1.2048804098840316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F-AC48-83BD-95640D2527C4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'Fig1_non-CO2_emissions'!$AH$79:$AH$139</c:f>
              <c:numCache>
                <c:formatCode>0.0</c:formatCode>
                <c:ptCount val="61"/>
                <c:pt idx="0">
                  <c:v>0.59538158891583537</c:v>
                </c:pt>
                <c:pt idx="1">
                  <c:v>0.57591135184637499</c:v>
                </c:pt>
                <c:pt idx="2">
                  <c:v>0.57756163576327157</c:v>
                </c:pt>
                <c:pt idx="3">
                  <c:v>0.58315540014126599</c:v>
                </c:pt>
                <c:pt idx="4">
                  <c:v>0.60963431250413191</c:v>
                </c:pt>
                <c:pt idx="5">
                  <c:v>0.62493151361338339</c:v>
                </c:pt>
                <c:pt idx="6">
                  <c:v>0.65145114849287222</c:v>
                </c:pt>
                <c:pt idx="7">
                  <c:v>0.67377400571327173</c:v>
                </c:pt>
                <c:pt idx="8">
                  <c:v>0.68891287642005417</c:v>
                </c:pt>
                <c:pt idx="9">
                  <c:v>0.71279482427688134</c:v>
                </c:pt>
                <c:pt idx="10">
                  <c:v>0.73746873860564155</c:v>
                </c:pt>
                <c:pt idx="11">
                  <c:v>0.72247577714760913</c:v>
                </c:pt>
                <c:pt idx="12">
                  <c:v>0.728324882710916</c:v>
                </c:pt>
                <c:pt idx="13">
                  <c:v>0.72420184582517111</c:v>
                </c:pt>
                <c:pt idx="14">
                  <c:v>0.77044470051252434</c:v>
                </c:pt>
                <c:pt idx="15">
                  <c:v>0.80433212353471284</c:v>
                </c:pt>
                <c:pt idx="16">
                  <c:v>0.81347566496985046</c:v>
                </c:pt>
                <c:pt idx="17">
                  <c:v>0.83554003640905894</c:v>
                </c:pt>
                <c:pt idx="18">
                  <c:v>0.82538582185865728</c:v>
                </c:pt>
                <c:pt idx="19">
                  <c:v>0.78365687732471356</c:v>
                </c:pt>
                <c:pt idx="20">
                  <c:v>0.82620766199143347</c:v>
                </c:pt>
                <c:pt idx="21">
                  <c:v>0.84586028562183169</c:v>
                </c:pt>
                <c:pt idx="22">
                  <c:v>0.85204444787596445</c:v>
                </c:pt>
                <c:pt idx="23">
                  <c:v>0.87925463601031328</c:v>
                </c:pt>
                <c:pt idx="24">
                  <c:v>0.9074028570951389</c:v>
                </c:pt>
                <c:pt idx="25">
                  <c:v>0.95744627036092433</c:v>
                </c:pt>
                <c:pt idx="26">
                  <c:v>0.99931829400732763</c:v>
                </c:pt>
                <c:pt idx="27">
                  <c:v>1.065534049415277</c:v>
                </c:pt>
                <c:pt idx="28">
                  <c:v>1.1126295612750132</c:v>
                </c:pt>
                <c:pt idx="29">
                  <c:v>1.1296999999999999</c:v>
                </c:pt>
                <c:pt idx="30">
                  <c:v>0.66659999999999975</c:v>
                </c:pt>
                <c:pt idx="31">
                  <c:v>0.79892310931713639</c:v>
                </c:pt>
                <c:pt idx="32">
                  <c:v>0.86433853215438017</c:v>
                </c:pt>
                <c:pt idx="33">
                  <c:v>0.92135741576790453</c:v>
                </c:pt>
                <c:pt idx="34">
                  <c:v>0.97495703439300285</c:v>
                </c:pt>
                <c:pt idx="35">
                  <c:v>0.97378939495696892</c:v>
                </c:pt>
                <c:pt idx="36">
                  <c:v>0.97282217356933376</c:v>
                </c:pt>
                <c:pt idx="37">
                  <c:v>0.97181578555500114</c:v>
                </c:pt>
                <c:pt idx="38">
                  <c:v>0.9707698983783466</c:v>
                </c:pt>
                <c:pt idx="39">
                  <c:v>0.96968417840096344</c:v>
                </c:pt>
                <c:pt idx="40">
                  <c:v>0.96855829089986467</c:v>
                </c:pt>
                <c:pt idx="41">
                  <c:v>0.95141730265772451</c:v>
                </c:pt>
                <c:pt idx="42">
                  <c:v>0.93407806883661915</c:v>
                </c:pt>
                <c:pt idx="43">
                  <c:v>0.91653937929669427</c:v>
                </c:pt>
                <c:pt idx="44">
                  <c:v>0.89880002385370406</c:v>
                </c:pt>
                <c:pt idx="45">
                  <c:v>0.88085879241353549</c:v>
                </c:pt>
                <c:pt idx="46">
                  <c:v>0.84329768859989807</c:v>
                </c:pt>
                <c:pt idx="47">
                  <c:v>0.80534215697333777</c:v>
                </c:pt>
                <c:pt idx="48">
                  <c:v>0.76698995908552769</c:v>
                </c:pt>
                <c:pt idx="49">
                  <c:v>0.72823885884198647</c:v>
                </c:pt>
                <c:pt idx="50">
                  <c:v>0.68908662279625876</c:v>
                </c:pt>
                <c:pt idx="51">
                  <c:v>0.66318482568437731</c:v>
                </c:pt>
                <c:pt idx="52">
                  <c:v>0.63701026681994333</c:v>
                </c:pt>
                <c:pt idx="53">
                  <c:v>0.61056142403284064</c:v>
                </c:pt>
                <c:pt idx="54">
                  <c:v>0.58383677745610474</c:v>
                </c:pt>
                <c:pt idx="55">
                  <c:v>0.55683480974089317</c:v>
                </c:pt>
                <c:pt idx="56">
                  <c:v>0.53754727429474169</c:v>
                </c:pt>
                <c:pt idx="57">
                  <c:v>0.51805662678146747</c:v>
                </c:pt>
                <c:pt idx="58">
                  <c:v>0.49836175584201109</c:v>
                </c:pt>
                <c:pt idx="59">
                  <c:v>0.47846155237977117</c:v>
                </c:pt>
                <c:pt idx="60">
                  <c:v>0.45835490972978205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FF-AC48-83BD-95640D2527C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'Fig1_non-CO2_emissions'!$AV$79:$AV$139</c:f>
              <c:numCache>
                <c:formatCode>0.0</c:formatCode>
                <c:ptCount val="61"/>
                <c:pt idx="0">
                  <c:v>0.59538158891583537</c:v>
                </c:pt>
                <c:pt idx="1">
                  <c:v>0.57591135184637499</c:v>
                </c:pt>
                <c:pt idx="2">
                  <c:v>0.57756163576327157</c:v>
                </c:pt>
                <c:pt idx="3">
                  <c:v>0.58315540014126599</c:v>
                </c:pt>
                <c:pt idx="4">
                  <c:v>0.60963431250413191</c:v>
                </c:pt>
                <c:pt idx="5">
                  <c:v>0.62493151361338339</c:v>
                </c:pt>
                <c:pt idx="6">
                  <c:v>0.65145114849287222</c:v>
                </c:pt>
                <c:pt idx="7">
                  <c:v>0.67377400571327173</c:v>
                </c:pt>
                <c:pt idx="8">
                  <c:v>0.68891287642005417</c:v>
                </c:pt>
                <c:pt idx="9">
                  <c:v>0.71279482427688134</c:v>
                </c:pt>
                <c:pt idx="10">
                  <c:v>0.73746873860564155</c:v>
                </c:pt>
                <c:pt idx="11">
                  <c:v>0.72247577714760913</c:v>
                </c:pt>
                <c:pt idx="12">
                  <c:v>0.728324882710916</c:v>
                </c:pt>
                <c:pt idx="13">
                  <c:v>0.72420184582517111</c:v>
                </c:pt>
                <c:pt idx="14">
                  <c:v>0.77044470051252434</c:v>
                </c:pt>
                <c:pt idx="15">
                  <c:v>0.80433212353471284</c:v>
                </c:pt>
                <c:pt idx="16">
                  <c:v>0.81347566496985046</c:v>
                </c:pt>
                <c:pt idx="17">
                  <c:v>0.83554003640905894</c:v>
                </c:pt>
                <c:pt idx="18">
                  <c:v>0.82538582185865728</c:v>
                </c:pt>
                <c:pt idx="19">
                  <c:v>0.78365687732471356</c:v>
                </c:pt>
                <c:pt idx="20">
                  <c:v>0.82620766199143347</c:v>
                </c:pt>
                <c:pt idx="21">
                  <c:v>0.84586028562183169</c:v>
                </c:pt>
                <c:pt idx="22">
                  <c:v>0.85204444787596445</c:v>
                </c:pt>
                <c:pt idx="23">
                  <c:v>0.87925463601031328</c:v>
                </c:pt>
                <c:pt idx="24">
                  <c:v>0.9074028570951389</c:v>
                </c:pt>
                <c:pt idx="25">
                  <c:v>0.95744627036092433</c:v>
                </c:pt>
                <c:pt idx="26">
                  <c:v>0.99931829400732763</c:v>
                </c:pt>
                <c:pt idx="27">
                  <c:v>1.065534049415277</c:v>
                </c:pt>
                <c:pt idx="28">
                  <c:v>1.1126295612750132</c:v>
                </c:pt>
                <c:pt idx="29">
                  <c:v>1.1296999999999999</c:v>
                </c:pt>
                <c:pt idx="30">
                  <c:v>0.66659999999999975</c:v>
                </c:pt>
                <c:pt idx="31">
                  <c:v>0.79892310931713639</c:v>
                </c:pt>
                <c:pt idx="32">
                  <c:v>0.86433853215438017</c:v>
                </c:pt>
                <c:pt idx="33">
                  <c:v>0.89687884331065615</c:v>
                </c:pt>
                <c:pt idx="34">
                  <c:v>0.92283400275586591</c:v>
                </c:pt>
                <c:pt idx="35">
                  <c:v>0.88832866935716526</c:v>
                </c:pt>
                <c:pt idx="36">
                  <c:v>0.85391466111964631</c:v>
                </c:pt>
                <c:pt idx="37">
                  <c:v>0.81960041729377719</c:v>
                </c:pt>
                <c:pt idx="38">
                  <c:v>0.78539454527493557</c:v>
                </c:pt>
                <c:pt idx="39">
                  <c:v>0.75130582310393401</c:v>
                </c:pt>
                <c:pt idx="40">
                  <c:v>0.71734320200004675</c:v>
                </c:pt>
                <c:pt idx="41">
                  <c:v>0.68351580892691721</c:v>
                </c:pt>
                <c:pt idx="42">
                  <c:v>0.6498329491917465</c:v>
                </c:pt>
                <c:pt idx="43">
                  <c:v>0.61630410907816247</c:v>
                </c:pt>
                <c:pt idx="44">
                  <c:v>0.58293895851317057</c:v>
                </c:pt>
                <c:pt idx="45">
                  <c:v>0.54974735376859374</c:v>
                </c:pt>
                <c:pt idx="46">
                  <c:v>0.51673934019741918</c:v>
                </c:pt>
                <c:pt idx="47">
                  <c:v>0.48392515500546157</c:v>
                </c:pt>
                <c:pt idx="48">
                  <c:v>0.45131523005877427</c:v>
                </c:pt>
                <c:pt idx="49">
                  <c:v>0.41892019472722603</c:v>
                </c:pt>
                <c:pt idx="50">
                  <c:v>0.38675087876468267</c:v>
                </c:pt>
                <c:pt idx="51">
                  <c:v>0.35481831522622537</c:v>
                </c:pt>
                <c:pt idx="52">
                  <c:v>0.32313374342285056</c:v>
                </c:pt>
                <c:pt idx="53">
                  <c:v>0.29170861191409558</c:v>
                </c:pt>
                <c:pt idx="54">
                  <c:v>0.2605545815390431</c:v>
                </c:pt>
                <c:pt idx="55">
                  <c:v>0.22968352848616147</c:v>
                </c:pt>
                <c:pt idx="56">
                  <c:v>0.19910754740244224</c:v>
                </c:pt>
                <c:pt idx="57">
                  <c:v>0.16883895454230172</c:v>
                </c:pt>
                <c:pt idx="58">
                  <c:v>0.13889029095672029</c:v>
                </c:pt>
                <c:pt idx="59">
                  <c:v>0.10927432572309673</c:v>
                </c:pt>
                <c:pt idx="60">
                  <c:v>8.0004059216299786E-2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FF-AC48-83BD-95640D2527C4}"/>
            </c:ext>
          </c:extLst>
        </c:ser>
        <c:ser>
          <c:idx val="6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'Fig1_non-CO2_emissions'!$T$147:$T$207</c:f>
              <c:numCache>
                <c:formatCode>_(* #,##0.0_);_(* \(#,##0.0\);_(* "-"??_);_(@_)</c:formatCode>
                <c:ptCount val="61"/>
                <c:pt idx="0">
                  <c:v>0.59696755800000012</c:v>
                </c:pt>
                <c:pt idx="1">
                  <c:v>0.57818283160000006</c:v>
                </c:pt>
                <c:pt idx="2">
                  <c:v>0.58208243059999998</c:v>
                </c:pt>
                <c:pt idx="3">
                  <c:v>0.58699492939999998</c:v>
                </c:pt>
                <c:pt idx="4">
                  <c:v>0.61237843370000022</c:v>
                </c:pt>
                <c:pt idx="5">
                  <c:v>0.62784207859999996</c:v>
                </c:pt>
                <c:pt idx="6">
                  <c:v>0.65683341020000019</c:v>
                </c:pt>
                <c:pt idx="7">
                  <c:v>0.67785133130000019</c:v>
                </c:pt>
                <c:pt idx="8">
                  <c:v>0.69081000120000002</c:v>
                </c:pt>
                <c:pt idx="9">
                  <c:v>0.71406135020000006</c:v>
                </c:pt>
                <c:pt idx="10">
                  <c:v>0.74224897670000023</c:v>
                </c:pt>
                <c:pt idx="11">
                  <c:v>0.72533633040000001</c:v>
                </c:pt>
                <c:pt idx="12">
                  <c:v>0.73195146420000001</c:v>
                </c:pt>
                <c:pt idx="13">
                  <c:v>0.72737862560000011</c:v>
                </c:pt>
                <c:pt idx="14">
                  <c:v>0.77432397460000013</c:v>
                </c:pt>
                <c:pt idx="15">
                  <c:v>0.80525808880000005</c:v>
                </c:pt>
                <c:pt idx="16">
                  <c:v>0.81496325130000002</c:v>
                </c:pt>
                <c:pt idx="17">
                  <c:v>0.83575218210000002</c:v>
                </c:pt>
                <c:pt idx="18">
                  <c:v>0.82782436990000019</c:v>
                </c:pt>
                <c:pt idx="19">
                  <c:v>0.78330060490000009</c:v>
                </c:pt>
                <c:pt idx="20">
                  <c:v>0.82542964240000005</c:v>
                </c:pt>
                <c:pt idx="21">
                  <c:v>0.84831083260000018</c:v>
                </c:pt>
                <c:pt idx="22">
                  <c:v>0.85865315580000012</c:v>
                </c:pt>
                <c:pt idx="23">
                  <c:v>0.87992935800000005</c:v>
                </c:pt>
                <c:pt idx="24">
                  <c:v>0.90896274260000021</c:v>
                </c:pt>
                <c:pt idx="25">
                  <c:v>0.95912311770000014</c:v>
                </c:pt>
                <c:pt idx="26">
                  <c:v>1.0044704934000002</c:v>
                </c:pt>
                <c:pt idx="27">
                  <c:v>1.0676835103000002</c:v>
                </c:pt>
                <c:pt idx="28">
                  <c:v>1.1083767431</c:v>
                </c:pt>
                <c:pt idx="29">
                  <c:v>1.1296999999999999</c:v>
                </c:pt>
                <c:pt idx="30">
                  <c:v>0.66660000000000008</c:v>
                </c:pt>
                <c:pt idx="31">
                  <c:v>0.79892310931713639</c:v>
                </c:pt>
                <c:pt idx="32">
                  <c:v>0.75108896999617492</c:v>
                </c:pt>
                <c:pt idx="33">
                  <c:v>0.70156911321731674</c:v>
                </c:pt>
                <c:pt idx="34">
                  <c:v>0.65036353898056154</c:v>
                </c:pt>
                <c:pt idx="35">
                  <c:v>0.59747224728590942</c:v>
                </c:pt>
                <c:pt idx="36">
                  <c:v>0.59156807575724446</c:v>
                </c:pt>
                <c:pt idx="37">
                  <c:v>0.58528644393688067</c:v>
                </c:pt>
                <c:pt idx="38">
                  <c:v>0.57862735182481817</c:v>
                </c:pt>
                <c:pt idx="39">
                  <c:v>0.57159079942105662</c:v>
                </c:pt>
                <c:pt idx="40">
                  <c:v>0.56417678672559646</c:v>
                </c:pt>
                <c:pt idx="41">
                  <c:v>0.55638531373843725</c:v>
                </c:pt>
                <c:pt idx="42">
                  <c:v>0.54821638045957921</c:v>
                </c:pt>
                <c:pt idx="43">
                  <c:v>0.53966998688902235</c:v>
                </c:pt>
                <c:pt idx="44">
                  <c:v>0.53074613302676665</c:v>
                </c:pt>
                <c:pt idx="45">
                  <c:v>0.52144481887281213</c:v>
                </c:pt>
                <c:pt idx="46">
                  <c:v>0.51176604442715878</c:v>
                </c:pt>
                <c:pt idx="47">
                  <c:v>0.50170980968980661</c:v>
                </c:pt>
                <c:pt idx="48">
                  <c:v>0.49127611466075538</c:v>
                </c:pt>
                <c:pt idx="49">
                  <c:v>0.48046495934000566</c:v>
                </c:pt>
                <c:pt idx="50">
                  <c:v>0.46927634372755672</c:v>
                </c:pt>
                <c:pt idx="51">
                  <c:v>0.45771026782340907</c:v>
                </c:pt>
                <c:pt idx="52">
                  <c:v>0.44576673162756258</c:v>
                </c:pt>
                <c:pt idx="53">
                  <c:v>0.43344573514001727</c:v>
                </c:pt>
                <c:pt idx="54">
                  <c:v>0.42074727836077308</c:v>
                </c:pt>
                <c:pt idx="55">
                  <c:v>0.40767136128983011</c:v>
                </c:pt>
                <c:pt idx="56">
                  <c:v>0.39421798392718826</c:v>
                </c:pt>
                <c:pt idx="57">
                  <c:v>0.38038714627284759</c:v>
                </c:pt>
                <c:pt idx="58">
                  <c:v>0.36617884832680797</c:v>
                </c:pt>
                <c:pt idx="59">
                  <c:v>0.3515930900890698</c:v>
                </c:pt>
                <c:pt idx="60">
                  <c:v>0.33662987155963248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FF-AC48-83BD-95640D2527C4}"/>
            </c:ext>
          </c:extLst>
        </c:ser>
        <c:ser>
          <c:idx val="7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'Fig1_non-CO2_emissions'!$AH$147:$AH$207</c:f>
              <c:numCache>
                <c:formatCode>0.0</c:formatCode>
                <c:ptCount val="61"/>
                <c:pt idx="0">
                  <c:v>0.59538158891583537</c:v>
                </c:pt>
                <c:pt idx="1">
                  <c:v>0.57591135184637499</c:v>
                </c:pt>
                <c:pt idx="2">
                  <c:v>0.57756163576327157</c:v>
                </c:pt>
                <c:pt idx="3">
                  <c:v>0.58315540014126599</c:v>
                </c:pt>
                <c:pt idx="4">
                  <c:v>0.60963431250413191</c:v>
                </c:pt>
                <c:pt idx="5">
                  <c:v>0.62493151361338339</c:v>
                </c:pt>
                <c:pt idx="6">
                  <c:v>0.65145114849287222</c:v>
                </c:pt>
                <c:pt idx="7">
                  <c:v>0.67377400571327173</c:v>
                </c:pt>
                <c:pt idx="8">
                  <c:v>0.68891287642005417</c:v>
                </c:pt>
                <c:pt idx="9">
                  <c:v>0.71279482427688134</c:v>
                </c:pt>
                <c:pt idx="10">
                  <c:v>0.73746873860564155</c:v>
                </c:pt>
                <c:pt idx="11">
                  <c:v>0.72247577714760913</c:v>
                </c:pt>
                <c:pt idx="12">
                  <c:v>0.728324882710916</c:v>
                </c:pt>
                <c:pt idx="13">
                  <c:v>0.72420184582517111</c:v>
                </c:pt>
                <c:pt idx="14">
                  <c:v>0.77044470051252434</c:v>
                </c:pt>
                <c:pt idx="15">
                  <c:v>0.80433212353471284</c:v>
                </c:pt>
                <c:pt idx="16">
                  <c:v>0.81347566496985046</c:v>
                </c:pt>
                <c:pt idx="17">
                  <c:v>0.83554003640905894</c:v>
                </c:pt>
                <c:pt idx="18">
                  <c:v>0.82538582185865728</c:v>
                </c:pt>
                <c:pt idx="19">
                  <c:v>0.78365687732471356</c:v>
                </c:pt>
                <c:pt idx="20">
                  <c:v>0.82620766199143347</c:v>
                </c:pt>
                <c:pt idx="21">
                  <c:v>0.84586028562183169</c:v>
                </c:pt>
                <c:pt idx="22">
                  <c:v>0.85204444787596445</c:v>
                </c:pt>
                <c:pt idx="23">
                  <c:v>0.87925463601031328</c:v>
                </c:pt>
                <c:pt idx="24">
                  <c:v>0.9074028570951389</c:v>
                </c:pt>
                <c:pt idx="25">
                  <c:v>0.95744627036092433</c:v>
                </c:pt>
                <c:pt idx="26">
                  <c:v>0.99931829400732763</c:v>
                </c:pt>
                <c:pt idx="27">
                  <c:v>1.065534049415277</c:v>
                </c:pt>
                <c:pt idx="28">
                  <c:v>1.1126295612750132</c:v>
                </c:pt>
                <c:pt idx="29">
                  <c:v>1.1296999999999999</c:v>
                </c:pt>
                <c:pt idx="30">
                  <c:v>0.66659999999999975</c:v>
                </c:pt>
                <c:pt idx="31">
                  <c:v>0.79892310931713639</c:v>
                </c:pt>
                <c:pt idx="32">
                  <c:v>0.75108896999617492</c:v>
                </c:pt>
                <c:pt idx="33">
                  <c:v>0.69731717919781788</c:v>
                </c:pt>
                <c:pt idx="34">
                  <c:v>0.64248034456867598</c:v>
                </c:pt>
                <c:pt idx="35">
                  <c:v>0.58502761734164066</c:v>
                </c:pt>
                <c:pt idx="36">
                  <c:v>0.57425726051613513</c:v>
                </c:pt>
                <c:pt idx="37">
                  <c:v>0.56324162278972933</c:v>
                </c:pt>
                <c:pt idx="38">
                  <c:v>0.55198962770733973</c:v>
                </c:pt>
                <c:pt idx="39">
                  <c:v>0.54051012776460106</c:v>
                </c:pt>
                <c:pt idx="40">
                  <c:v>0.52881190440786563</c:v>
                </c:pt>
                <c:pt idx="41">
                  <c:v>0.50836800838540552</c:v>
                </c:pt>
                <c:pt idx="42">
                  <c:v>0.48801960320498161</c:v>
                </c:pt>
                <c:pt idx="43">
                  <c:v>0.46779046765862559</c:v>
                </c:pt>
                <c:pt idx="44">
                  <c:v>0.44770411854414188</c:v>
                </c:pt>
                <c:pt idx="45">
                  <c:v>0.42778381066510701</c:v>
                </c:pt>
                <c:pt idx="46">
                  <c:v>0.39886865361005114</c:v>
                </c:pt>
                <c:pt idx="47">
                  <c:v>0.37057635869417288</c:v>
                </c:pt>
                <c:pt idx="48">
                  <c:v>0.34294658583020177</c:v>
                </c:pt>
                <c:pt idx="49">
                  <c:v>0.31601850646705371</c:v>
                </c:pt>
                <c:pt idx="50">
                  <c:v>0.28983080358982977</c:v>
                </c:pt>
                <c:pt idx="51">
                  <c:v>0.26998008523945283</c:v>
                </c:pt>
                <c:pt idx="52">
                  <c:v>0.25062496944440105</c:v>
                </c:pt>
                <c:pt idx="53">
                  <c:v>0.23179145881635191</c:v>
                </c:pt>
                <c:pt idx="54">
                  <c:v>0.21350522292347318</c:v>
                </c:pt>
                <c:pt idx="55">
                  <c:v>0.19579159829042295</c:v>
                </c:pt>
                <c:pt idx="56">
                  <c:v>0.18137257841190943</c:v>
                </c:pt>
                <c:pt idx="57">
                  <c:v>0.16737168332280783</c:v>
                </c:pt>
                <c:pt idx="58">
                  <c:v>0.15380717489962462</c:v>
                </c:pt>
                <c:pt idx="59">
                  <c:v>0.14069707078695945</c:v>
                </c:pt>
                <c:pt idx="60">
                  <c:v>0.12805914439750438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FF-AC48-83BD-95640D2527C4}"/>
            </c:ext>
          </c:extLst>
        </c:ser>
        <c:ser>
          <c:idx val="8"/>
          <c:order val="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'Fig1_non-CO2_emissions'!$AV$147:$AV$207</c:f>
              <c:numCache>
                <c:formatCode>0.0</c:formatCode>
                <c:ptCount val="61"/>
                <c:pt idx="0">
                  <c:v>0.59538158891583537</c:v>
                </c:pt>
                <c:pt idx="1">
                  <c:v>0.57591135184637499</c:v>
                </c:pt>
                <c:pt idx="2">
                  <c:v>0.57756163576327157</c:v>
                </c:pt>
                <c:pt idx="3">
                  <c:v>0.58315540014126599</c:v>
                </c:pt>
                <c:pt idx="4">
                  <c:v>0.60963431250413191</c:v>
                </c:pt>
                <c:pt idx="5">
                  <c:v>0.62493151361338339</c:v>
                </c:pt>
                <c:pt idx="6">
                  <c:v>0.65145114849287222</c:v>
                </c:pt>
                <c:pt idx="7">
                  <c:v>0.67377400571327173</c:v>
                </c:pt>
                <c:pt idx="8">
                  <c:v>0.68891287642005417</c:v>
                </c:pt>
                <c:pt idx="9">
                  <c:v>0.71279482427688134</c:v>
                </c:pt>
                <c:pt idx="10">
                  <c:v>0.73746873860564155</c:v>
                </c:pt>
                <c:pt idx="11">
                  <c:v>0.72247577714760913</c:v>
                </c:pt>
                <c:pt idx="12">
                  <c:v>0.728324882710916</c:v>
                </c:pt>
                <c:pt idx="13">
                  <c:v>0.72420184582517111</c:v>
                </c:pt>
                <c:pt idx="14">
                  <c:v>0.77044470051252434</c:v>
                </c:pt>
                <c:pt idx="15">
                  <c:v>0.80433212353471284</c:v>
                </c:pt>
                <c:pt idx="16">
                  <c:v>0.81347566496985046</c:v>
                </c:pt>
                <c:pt idx="17">
                  <c:v>0.83554003640905894</c:v>
                </c:pt>
                <c:pt idx="18">
                  <c:v>0.82538582185865728</c:v>
                </c:pt>
                <c:pt idx="19">
                  <c:v>0.78365687732471356</c:v>
                </c:pt>
                <c:pt idx="20">
                  <c:v>0.82620766199143347</c:v>
                </c:pt>
                <c:pt idx="21">
                  <c:v>0.84586028562183169</c:v>
                </c:pt>
                <c:pt idx="22">
                  <c:v>0.85204444787596445</c:v>
                </c:pt>
                <c:pt idx="23">
                  <c:v>0.87925463601031328</c:v>
                </c:pt>
                <c:pt idx="24">
                  <c:v>0.9074028570951389</c:v>
                </c:pt>
                <c:pt idx="25">
                  <c:v>0.95744627036092433</c:v>
                </c:pt>
                <c:pt idx="26">
                  <c:v>0.99931829400732763</c:v>
                </c:pt>
                <c:pt idx="27">
                  <c:v>1.065534049415277</c:v>
                </c:pt>
                <c:pt idx="28">
                  <c:v>1.1126295612750132</c:v>
                </c:pt>
                <c:pt idx="29">
                  <c:v>1.1296999999999999</c:v>
                </c:pt>
                <c:pt idx="30">
                  <c:v>0.66659999999999975</c:v>
                </c:pt>
                <c:pt idx="31">
                  <c:v>0.79892310931713639</c:v>
                </c:pt>
                <c:pt idx="32">
                  <c:v>0.75108896999617492</c:v>
                </c:pt>
                <c:pt idx="33">
                  <c:v>0.67879089525571557</c:v>
                </c:pt>
                <c:pt idx="34">
                  <c:v>0.60813214034546015</c:v>
                </c:pt>
                <c:pt idx="35">
                  <c:v>0.53368501191498152</c:v>
                </c:pt>
                <c:pt idx="36">
                  <c:v>0.5040661154031385</c:v>
                </c:pt>
                <c:pt idx="37">
                  <c:v>0.47502116752718643</c:v>
                </c:pt>
                <c:pt idx="38">
                  <c:v>0.44658331842992921</c:v>
                </c:pt>
                <c:pt idx="39">
                  <c:v>0.41878419332967504</c:v>
                </c:pt>
                <c:pt idx="40">
                  <c:v>0.39165389252023791</c:v>
                </c:pt>
                <c:pt idx="41">
                  <c:v>0.36522099137093628</c:v>
                </c:pt>
                <c:pt idx="42">
                  <c:v>0.33951254032659339</c:v>
                </c:pt>
                <c:pt idx="43">
                  <c:v>0.31455406490753723</c:v>
                </c:pt>
                <c:pt idx="44">
                  <c:v>0.2903695657096011</c:v>
                </c:pt>
                <c:pt idx="45">
                  <c:v>0.26698151840412282</c:v>
                </c:pt>
                <c:pt idx="46">
                  <c:v>0.24441087373794526</c:v>
                </c:pt>
                <c:pt idx="47">
                  <c:v>0.22267705753341582</c:v>
                </c:pt>
                <c:pt idx="48">
                  <c:v>0.20179797068838728</c:v>
                </c:pt>
                <c:pt idx="49">
                  <c:v>0.18178998917621694</c:v>
                </c:pt>
                <c:pt idx="50">
                  <c:v>0.16266796404576692</c:v>
                </c:pt>
                <c:pt idx="51">
                  <c:v>0.14444522142140442</c:v>
                </c:pt>
                <c:pt idx="52">
                  <c:v>0.12713356250300137</c:v>
                </c:pt>
                <c:pt idx="53">
                  <c:v>0.11074326356593467</c:v>
                </c:pt>
                <c:pt idx="54">
                  <c:v>9.5283075961085942E-2</c:v>
                </c:pt>
                <c:pt idx="55">
                  <c:v>8.0760226114841807E-2</c:v>
                </c:pt>
                <c:pt idx="56">
                  <c:v>6.7180415529093637E-2</c:v>
                </c:pt>
                <c:pt idx="57">
                  <c:v>5.4547820781237766E-2</c:v>
                </c:pt>
                <c:pt idx="58">
                  <c:v>4.2865093524175307E-2</c:v>
                </c:pt>
                <c:pt idx="59">
                  <c:v>3.2133360486312344E-2</c:v>
                </c:pt>
                <c:pt idx="60">
                  <c:v>2.2352223471559626E-2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FF-AC48-83BD-95640D2527C4}"/>
            </c:ext>
          </c:extLst>
        </c:ser>
        <c:ser>
          <c:idx val="9"/>
          <c:order val="9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'Fig1_non-CO2_emissions'!$T$11:$T$42</c:f>
              <c:numCache>
                <c:formatCode>_(* #,##0.0_);_(* \(#,##0.0\);_(* "-"??_);_(@_)</c:formatCode>
                <c:ptCount val="32"/>
                <c:pt idx="0">
                  <c:v>0.59696755800000012</c:v>
                </c:pt>
                <c:pt idx="1">
                  <c:v>0.57818283160000006</c:v>
                </c:pt>
                <c:pt idx="2">
                  <c:v>0.58208243059999998</c:v>
                </c:pt>
                <c:pt idx="3">
                  <c:v>0.58699492939999998</c:v>
                </c:pt>
                <c:pt idx="4">
                  <c:v>0.61237843370000022</c:v>
                </c:pt>
                <c:pt idx="5">
                  <c:v>0.62784207859999996</c:v>
                </c:pt>
                <c:pt idx="6">
                  <c:v>0.65683341020000019</c:v>
                </c:pt>
                <c:pt idx="7">
                  <c:v>0.67785133130000019</c:v>
                </c:pt>
                <c:pt idx="8">
                  <c:v>0.69081000120000002</c:v>
                </c:pt>
                <c:pt idx="9">
                  <c:v>0.71406135020000006</c:v>
                </c:pt>
                <c:pt idx="10">
                  <c:v>0.74224897670000023</c:v>
                </c:pt>
                <c:pt idx="11">
                  <c:v>0.72533633040000001</c:v>
                </c:pt>
                <c:pt idx="12">
                  <c:v>0.73195146420000001</c:v>
                </c:pt>
                <c:pt idx="13">
                  <c:v>0.72737862560000011</c:v>
                </c:pt>
                <c:pt idx="14">
                  <c:v>0.77432397460000013</c:v>
                </c:pt>
                <c:pt idx="15">
                  <c:v>0.80525808880000005</c:v>
                </c:pt>
                <c:pt idx="16">
                  <c:v>0.81496325130000002</c:v>
                </c:pt>
                <c:pt idx="17">
                  <c:v>0.83575218210000002</c:v>
                </c:pt>
                <c:pt idx="18">
                  <c:v>0.82782436990000019</c:v>
                </c:pt>
                <c:pt idx="19">
                  <c:v>0.78330060490000009</c:v>
                </c:pt>
                <c:pt idx="20">
                  <c:v>0.82542964240000005</c:v>
                </c:pt>
                <c:pt idx="21">
                  <c:v>0.84831083260000018</c:v>
                </c:pt>
                <c:pt idx="22">
                  <c:v>0.85865315580000012</c:v>
                </c:pt>
                <c:pt idx="23">
                  <c:v>0.87992935800000005</c:v>
                </c:pt>
                <c:pt idx="24">
                  <c:v>0.90896274260000021</c:v>
                </c:pt>
                <c:pt idx="25">
                  <c:v>0.95912311770000014</c:v>
                </c:pt>
                <c:pt idx="26">
                  <c:v>1.0044704934000002</c:v>
                </c:pt>
                <c:pt idx="27">
                  <c:v>1.0676835103000002</c:v>
                </c:pt>
                <c:pt idx="28">
                  <c:v>1.1083767431</c:v>
                </c:pt>
                <c:pt idx="29">
                  <c:v>1.1296999999999999</c:v>
                </c:pt>
                <c:pt idx="30">
                  <c:v>0.66660000000000008</c:v>
                </c:pt>
                <c:pt idx="31">
                  <c:v>0.79892310931713639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FF-AC48-83BD-95640D252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25615"/>
        <c:axId val="171880111"/>
      </c:lineChart>
      <c:catAx>
        <c:axId val="166582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0111"/>
        <c:crosses val="autoZero"/>
        <c:auto val="1"/>
        <c:lblAlgn val="ctr"/>
        <c:lblOffset val="100"/>
        <c:noMultiLvlLbl val="0"/>
      </c:catAx>
      <c:valAx>
        <c:axId val="171880111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2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GTP20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co2</c:v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'Fig1_non-CO2_emissions'!$D$11:$D$42</c:f>
              <c:numCache>
                <c:formatCode>_(* #,##0.00_);_(* \(#,##0.00\);_(* "-"??_);_(@_)</c:formatCode>
                <c:ptCount val="32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6-7747-9643-0DC9407B6B35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'Fig1_non-CO2_emissions'!$BB$11:$BB$42</c:f>
              <c:numCache>
                <c:formatCode>0.00</c:formatCode>
                <c:ptCount val="32"/>
                <c:pt idx="0">
                  <c:v>0.16280933400000008</c:v>
                </c:pt>
                <c:pt idx="1">
                  <c:v>0.1576862268</c:v>
                </c:pt>
                <c:pt idx="2">
                  <c:v>0.1587497538</c:v>
                </c:pt>
                <c:pt idx="3">
                  <c:v>0.16008952620000005</c:v>
                </c:pt>
                <c:pt idx="4">
                  <c:v>0.16701230010000012</c:v>
                </c:pt>
                <c:pt idx="5">
                  <c:v>0.17122965779999999</c:v>
                </c:pt>
                <c:pt idx="6">
                  <c:v>0.17913638460000003</c:v>
                </c:pt>
                <c:pt idx="7">
                  <c:v>0.18486854490000004</c:v>
                </c:pt>
                <c:pt idx="8">
                  <c:v>0.18840272759999999</c:v>
                </c:pt>
                <c:pt idx="9">
                  <c:v>0.19474400460000008</c:v>
                </c:pt>
                <c:pt idx="10">
                  <c:v>0.20243153910000011</c:v>
                </c:pt>
                <c:pt idx="11">
                  <c:v>0.19781899920000001</c:v>
                </c:pt>
                <c:pt idx="12">
                  <c:v>0.19962312660000003</c:v>
                </c:pt>
                <c:pt idx="13">
                  <c:v>0.19837598880000007</c:v>
                </c:pt>
                <c:pt idx="14">
                  <c:v>0.21117926580000002</c:v>
                </c:pt>
                <c:pt idx="15">
                  <c:v>0.21961584239999998</c:v>
                </c:pt>
                <c:pt idx="16">
                  <c:v>0.2222627049</c:v>
                </c:pt>
                <c:pt idx="17">
                  <c:v>0.22793241330000003</c:v>
                </c:pt>
                <c:pt idx="18">
                  <c:v>0.2257702827000001</c:v>
                </c:pt>
                <c:pt idx="19">
                  <c:v>0.21362743770000003</c:v>
                </c:pt>
                <c:pt idx="20">
                  <c:v>0.22511717520000007</c:v>
                </c:pt>
                <c:pt idx="21">
                  <c:v>0.23135749979999998</c:v>
                </c:pt>
                <c:pt idx="22">
                  <c:v>0.23417813340000015</c:v>
                </c:pt>
                <c:pt idx="23">
                  <c:v>0.23998073399999997</c:v>
                </c:pt>
                <c:pt idx="24">
                  <c:v>0.24789892980000017</c:v>
                </c:pt>
                <c:pt idx="25">
                  <c:v>0.2615790321</c:v>
                </c:pt>
                <c:pt idx="26">
                  <c:v>0.27394649820000017</c:v>
                </c:pt>
                <c:pt idx="27">
                  <c:v>0.29118641190000016</c:v>
                </c:pt>
                <c:pt idx="28">
                  <c:v>0.3022845663</c:v>
                </c:pt>
                <c:pt idx="29">
                  <c:v>0.30810000000000004</c:v>
                </c:pt>
                <c:pt idx="30">
                  <c:v>0.18180000000000007</c:v>
                </c:pt>
                <c:pt idx="31">
                  <c:v>0.21788812072285535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6-7747-9643-0DC9407B6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89584"/>
        <c:axId val="258694592"/>
      </c:areaChart>
      <c:catAx>
        <c:axId val="2583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94592"/>
        <c:crosses val="autoZero"/>
        <c:auto val="1"/>
        <c:lblAlgn val="ctr"/>
        <c:lblOffset val="100"/>
        <c:noMultiLvlLbl val="0"/>
      </c:catAx>
      <c:valAx>
        <c:axId val="2586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Fig1_future_Kaya!$J$3</c:f>
              <c:strCache>
                <c:ptCount val="1"/>
                <c:pt idx="0">
                  <c:v>Business-as-usual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Fig1_future_Kaya!$R$4:$R$64</c:f>
              <c:numCache>
                <c:formatCode>_(* #,##0.0_);_(* \(#,##0.0\);_(* "-"??_);_(@_)</c:formatCode>
                <c:ptCount val="61"/>
                <c:pt idx="0">
                  <c:v>31.634770408101428</c:v>
                </c:pt>
                <c:pt idx="1">
                  <c:v>31.140677300670895</c:v>
                </c:pt>
                <c:pt idx="2">
                  <c:v>29.698064240754807</c:v>
                </c:pt>
                <c:pt idx="3">
                  <c:v>28.869366882617065</c:v>
                </c:pt>
                <c:pt idx="4">
                  <c:v>27.454390835884784</c:v>
                </c:pt>
                <c:pt idx="5">
                  <c:v>26.383617122651792</c:v>
                </c:pt>
                <c:pt idx="6">
                  <c:v>25.424930964761749</c:v>
                </c:pt>
                <c:pt idx="7">
                  <c:v>24.392367383519211</c:v>
                </c:pt>
                <c:pt idx="8">
                  <c:v>24.424560202110836</c:v>
                </c:pt>
                <c:pt idx="9">
                  <c:v>23.685610716757044</c:v>
                </c:pt>
                <c:pt idx="10">
                  <c:v>22.819143580846905</c:v>
                </c:pt>
                <c:pt idx="11">
                  <c:v>23.260773823128829</c:v>
                </c:pt>
                <c:pt idx="12">
                  <c:v>22.886139708106437</c:v>
                </c:pt>
                <c:pt idx="13">
                  <c:v>21.848733076497489</c:v>
                </c:pt>
                <c:pt idx="14">
                  <c:v>20.631340903864153</c:v>
                </c:pt>
                <c:pt idx="15">
                  <c:v>20.284318316323407</c:v>
                </c:pt>
                <c:pt idx="16">
                  <c:v>19.352307452012091</c:v>
                </c:pt>
                <c:pt idx="17">
                  <c:v>18.610761903543839</c:v>
                </c:pt>
                <c:pt idx="18">
                  <c:v>18.193789300259677</c:v>
                </c:pt>
                <c:pt idx="19">
                  <c:v>16.72422930113062</c:v>
                </c:pt>
                <c:pt idx="20">
                  <c:v>16.355968316974295</c:v>
                </c:pt>
                <c:pt idx="21">
                  <c:v>15.974387215917677</c:v>
                </c:pt>
                <c:pt idx="22">
                  <c:v>15.677884313364491</c:v>
                </c:pt>
                <c:pt idx="23">
                  <c:v>15.529631804717662</c:v>
                </c:pt>
                <c:pt idx="24">
                  <c:v>15.153670387054609</c:v>
                </c:pt>
                <c:pt idx="25">
                  <c:v>15.080854303119143</c:v>
                </c:pt>
                <c:pt idx="26">
                  <c:v>14.775283399578271</c:v>
                </c:pt>
                <c:pt idx="27">
                  <c:v>14.555888031102301</c:v>
                </c:pt>
                <c:pt idx="28">
                  <c:v>14.424016294141925</c:v>
                </c:pt>
                <c:pt idx="29">
                  <c:v>14.046170256969022</c:v>
                </c:pt>
                <c:pt idx="30">
                  <c:v>18.345083922942074</c:v>
                </c:pt>
                <c:pt idx="31">
                  <c:v>12.574809105739336</c:v>
                </c:pt>
                <c:pt idx="32">
                  <c:v>12.449061014681941</c:v>
                </c:pt>
                <c:pt idx="33">
                  <c:v>12.324570404535121</c:v>
                </c:pt>
                <c:pt idx="34">
                  <c:v>12.201324700489771</c:v>
                </c:pt>
                <c:pt idx="35">
                  <c:v>12.079311453484873</c:v>
                </c:pt>
                <c:pt idx="36">
                  <c:v>11.958518338950025</c:v>
                </c:pt>
                <c:pt idx="37">
                  <c:v>11.838933155560525</c:v>
                </c:pt>
                <c:pt idx="38">
                  <c:v>11.72054382400492</c:v>
                </c:pt>
                <c:pt idx="39">
                  <c:v>11.603338385764872</c:v>
                </c:pt>
                <c:pt idx="40">
                  <c:v>11.487305001907222</c:v>
                </c:pt>
                <c:pt idx="41">
                  <c:v>11.372431951888149</c:v>
                </c:pt>
                <c:pt idx="42">
                  <c:v>11.258707632369267</c:v>
                </c:pt>
                <c:pt idx="43">
                  <c:v>11.146120556045574</c:v>
                </c:pt>
                <c:pt idx="44">
                  <c:v>11.034659350485118</c:v>
                </c:pt>
                <c:pt idx="45">
                  <c:v>10.924312756980267</c:v>
                </c:pt>
                <c:pt idx="46">
                  <c:v>10.815069629410464</c:v>
                </c:pt>
                <c:pt idx="47">
                  <c:v>10.706918933116359</c:v>
                </c:pt>
                <c:pt idx="48">
                  <c:v>10.599849743785196</c:v>
                </c:pt>
                <c:pt idx="49">
                  <c:v>10.493851246347344</c:v>
                </c:pt>
                <c:pt idx="50">
                  <c:v>10.38891273388387</c:v>
                </c:pt>
                <c:pt idx="51">
                  <c:v>10.285023606545032</c:v>
                </c:pt>
                <c:pt idx="52">
                  <c:v>10.182173370479582</c:v>
                </c:pt>
                <c:pt idx="53">
                  <c:v>10.080351636774786</c:v>
                </c:pt>
                <c:pt idx="54">
                  <c:v>9.9795481204070384</c:v>
                </c:pt>
                <c:pt idx="55">
                  <c:v>9.8797526392029678</c:v>
                </c:pt>
                <c:pt idx="56">
                  <c:v>9.780955112810938</c:v>
                </c:pt>
                <c:pt idx="57">
                  <c:v>9.6831455616828279</c:v>
                </c:pt>
                <c:pt idx="58">
                  <c:v>9.5863141060660002</c:v>
                </c:pt>
                <c:pt idx="59">
                  <c:v>9.4904509650053406</c:v>
                </c:pt>
                <c:pt idx="60">
                  <c:v>9.3955464553552872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5-714E-9860-2F694CAD65D6}"/>
            </c:ext>
          </c:extLst>
        </c:ser>
        <c:ser>
          <c:idx val="1"/>
          <c:order val="1"/>
          <c:tx>
            <c:strRef>
              <c:f>Fig1_future_Kaya!$K$3</c:f>
              <c:strCache>
                <c:ptCount val="1"/>
                <c:pt idx="0">
                  <c:v>Industry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Fig1_future_Kaya!$S$4:$S$64</c:f>
              <c:numCache>
                <c:formatCode>_(* #,##0.0_);_(* \(#,##0.0\);_(* "-"??_);_(@_)</c:formatCode>
                <c:ptCount val="61"/>
                <c:pt idx="0">
                  <c:v>31.634770408101428</c:v>
                </c:pt>
                <c:pt idx="1">
                  <c:v>31.140677300670895</c:v>
                </c:pt>
                <c:pt idx="2">
                  <c:v>29.698064240754807</c:v>
                </c:pt>
                <c:pt idx="3">
                  <c:v>28.869366882617065</c:v>
                </c:pt>
                <c:pt idx="4">
                  <c:v>27.454390835884784</c:v>
                </c:pt>
                <c:pt idx="5">
                  <c:v>26.383617122651792</c:v>
                </c:pt>
                <c:pt idx="6">
                  <c:v>25.424930964761749</c:v>
                </c:pt>
                <c:pt idx="7">
                  <c:v>24.392367383519211</c:v>
                </c:pt>
                <c:pt idx="8">
                  <c:v>24.424560202110836</c:v>
                </c:pt>
                <c:pt idx="9">
                  <c:v>23.685610716757044</c:v>
                </c:pt>
                <c:pt idx="10">
                  <c:v>22.819143580846905</c:v>
                </c:pt>
                <c:pt idx="11">
                  <c:v>23.260773823128829</c:v>
                </c:pt>
                <c:pt idx="12">
                  <c:v>22.886139708106437</c:v>
                </c:pt>
                <c:pt idx="13">
                  <c:v>21.848733076497489</c:v>
                </c:pt>
                <c:pt idx="14">
                  <c:v>20.631340903864153</c:v>
                </c:pt>
                <c:pt idx="15">
                  <c:v>20.284318316323407</c:v>
                </c:pt>
                <c:pt idx="16">
                  <c:v>19.352307452012091</c:v>
                </c:pt>
                <c:pt idx="17">
                  <c:v>18.610761903543839</c:v>
                </c:pt>
                <c:pt idx="18">
                  <c:v>18.193789300259677</c:v>
                </c:pt>
                <c:pt idx="19">
                  <c:v>16.72422930113062</c:v>
                </c:pt>
                <c:pt idx="20">
                  <c:v>16.355968316974295</c:v>
                </c:pt>
                <c:pt idx="21">
                  <c:v>15.974387215917677</c:v>
                </c:pt>
                <c:pt idx="22">
                  <c:v>15.677884313364491</c:v>
                </c:pt>
                <c:pt idx="23">
                  <c:v>15.529631804717662</c:v>
                </c:pt>
                <c:pt idx="24">
                  <c:v>15.153670387054609</c:v>
                </c:pt>
                <c:pt idx="25">
                  <c:v>15.080854303119143</c:v>
                </c:pt>
                <c:pt idx="26">
                  <c:v>14.775283399578271</c:v>
                </c:pt>
                <c:pt idx="27">
                  <c:v>14.555888031102301</c:v>
                </c:pt>
                <c:pt idx="28">
                  <c:v>14.424016294141925</c:v>
                </c:pt>
                <c:pt idx="29">
                  <c:v>14.046170256969022</c:v>
                </c:pt>
                <c:pt idx="30">
                  <c:v>18.345083922942074</c:v>
                </c:pt>
                <c:pt idx="31">
                  <c:v>12.574809105739336</c:v>
                </c:pt>
                <c:pt idx="32">
                  <c:v>12.323312923624549</c:v>
                </c:pt>
                <c:pt idx="33">
                  <c:v>12.076846665152058</c:v>
                </c:pt>
                <c:pt idx="34">
                  <c:v>11.835309731849016</c:v>
                </c:pt>
                <c:pt idx="35">
                  <c:v>11.598603537212036</c:v>
                </c:pt>
                <c:pt idx="36">
                  <c:v>11.366631466467794</c:v>
                </c:pt>
                <c:pt idx="37">
                  <c:v>11.139298837138439</c:v>
                </c:pt>
                <c:pt idx="38">
                  <c:v>10.91651286039567</c:v>
                </c:pt>
                <c:pt idx="39">
                  <c:v>10.698182603187757</c:v>
                </c:pt>
                <c:pt idx="40">
                  <c:v>10.484218951124001</c:v>
                </c:pt>
                <c:pt idx="41">
                  <c:v>10.274534572101521</c:v>
                </c:pt>
                <c:pt idx="42">
                  <c:v>10.069043880659491</c:v>
                </c:pt>
                <c:pt idx="43">
                  <c:v>9.8676630030463013</c:v>
                </c:pt>
                <c:pt idx="44">
                  <c:v>9.6703097429853759</c:v>
                </c:pt>
                <c:pt idx="45">
                  <c:v>9.4769035481256676</c:v>
                </c:pt>
                <c:pt idx="46">
                  <c:v>9.2873654771631546</c:v>
                </c:pt>
                <c:pt idx="47">
                  <c:v>9.1016181676198915</c:v>
                </c:pt>
                <c:pt idx="48">
                  <c:v>8.9195858042674931</c:v>
                </c:pt>
                <c:pt idx="49">
                  <c:v>8.7411940881821426</c:v>
                </c:pt>
                <c:pt idx="50">
                  <c:v>8.5663702064184992</c:v>
                </c:pt>
                <c:pt idx="51">
                  <c:v>8.3950428022901296</c:v>
                </c:pt>
                <c:pt idx="52">
                  <c:v>8.2271419462443269</c:v>
                </c:pt>
                <c:pt idx="53">
                  <c:v>8.062599107319441</c:v>
                </c:pt>
                <c:pt idx="54">
                  <c:v>7.9013471251730518</c:v>
                </c:pt>
                <c:pt idx="55">
                  <c:v>7.7433201826695903</c:v>
                </c:pt>
                <c:pt idx="56">
                  <c:v>7.5884537790161986</c:v>
                </c:pt>
                <c:pt idx="57">
                  <c:v>7.4366847034358745</c:v>
                </c:pt>
                <c:pt idx="58">
                  <c:v>7.2879510093671565</c:v>
                </c:pt>
                <c:pt idx="59">
                  <c:v>7.1421919891798131</c:v>
                </c:pt>
                <c:pt idx="60">
                  <c:v>6.9993481493962166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5-714E-9860-2F694CAD65D6}"/>
            </c:ext>
          </c:extLst>
        </c:ser>
        <c:ser>
          <c:idx val="2"/>
          <c:order val="2"/>
          <c:tx>
            <c:strRef>
              <c:f>Fig1_future_Kaya!$L$3</c:f>
              <c:strCache>
                <c:ptCount val="1"/>
                <c:pt idx="0">
                  <c:v>Ambitious Projections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Fig1_future_Kaya!$T$4:$T$64</c:f>
              <c:numCache>
                <c:formatCode>_(* #,##0.0_);_(* \(#,##0.0\);_(* "-"??_);_(@_)</c:formatCode>
                <c:ptCount val="61"/>
                <c:pt idx="0">
                  <c:v>31.634770408101428</c:v>
                </c:pt>
                <c:pt idx="1">
                  <c:v>31.140677300670895</c:v>
                </c:pt>
                <c:pt idx="2">
                  <c:v>29.698064240754807</c:v>
                </c:pt>
                <c:pt idx="3">
                  <c:v>28.869366882617065</c:v>
                </c:pt>
                <c:pt idx="4">
                  <c:v>27.454390835884784</c:v>
                </c:pt>
                <c:pt idx="5">
                  <c:v>26.383617122651792</c:v>
                </c:pt>
                <c:pt idx="6">
                  <c:v>25.424930964761749</c:v>
                </c:pt>
                <c:pt idx="7">
                  <c:v>24.392367383519211</c:v>
                </c:pt>
                <c:pt idx="8">
                  <c:v>24.424560202110836</c:v>
                </c:pt>
                <c:pt idx="9">
                  <c:v>23.685610716757044</c:v>
                </c:pt>
                <c:pt idx="10">
                  <c:v>22.819143580846905</c:v>
                </c:pt>
                <c:pt idx="11">
                  <c:v>23.260773823128829</c:v>
                </c:pt>
                <c:pt idx="12">
                  <c:v>22.886139708106437</c:v>
                </c:pt>
                <c:pt idx="13">
                  <c:v>21.848733076497489</c:v>
                </c:pt>
                <c:pt idx="14">
                  <c:v>20.631340903864153</c:v>
                </c:pt>
                <c:pt idx="15">
                  <c:v>20.284318316323407</c:v>
                </c:pt>
                <c:pt idx="16">
                  <c:v>19.352307452012091</c:v>
                </c:pt>
                <c:pt idx="17">
                  <c:v>18.610761903543839</c:v>
                </c:pt>
                <c:pt idx="18">
                  <c:v>18.193789300259677</c:v>
                </c:pt>
                <c:pt idx="19">
                  <c:v>16.72422930113062</c:v>
                </c:pt>
                <c:pt idx="20">
                  <c:v>16.355968316974295</c:v>
                </c:pt>
                <c:pt idx="21">
                  <c:v>15.974387215917677</c:v>
                </c:pt>
                <c:pt idx="22">
                  <c:v>15.677884313364491</c:v>
                </c:pt>
                <c:pt idx="23">
                  <c:v>15.529631804717662</c:v>
                </c:pt>
                <c:pt idx="24">
                  <c:v>15.153670387054609</c:v>
                </c:pt>
                <c:pt idx="25">
                  <c:v>15.080854303119143</c:v>
                </c:pt>
                <c:pt idx="26">
                  <c:v>14.775283399578271</c:v>
                </c:pt>
                <c:pt idx="27">
                  <c:v>14.555888031102301</c:v>
                </c:pt>
                <c:pt idx="28">
                  <c:v>14.424016294141925</c:v>
                </c:pt>
                <c:pt idx="29">
                  <c:v>14.046170256969022</c:v>
                </c:pt>
                <c:pt idx="30">
                  <c:v>18.345083922942074</c:v>
                </c:pt>
                <c:pt idx="31">
                  <c:v>12.574809105739336</c:v>
                </c:pt>
                <c:pt idx="32">
                  <c:v>11.654009920430333</c:v>
                </c:pt>
                <c:pt idx="33">
                  <c:v>10.733210735121331</c:v>
                </c:pt>
                <c:pt idx="34">
                  <c:v>9.8124115498123281</c:v>
                </c:pt>
                <c:pt idx="35">
                  <c:v>8.8916123645033256</c:v>
                </c:pt>
                <c:pt idx="36">
                  <c:v>8.6854300488046974</c:v>
                </c:pt>
                <c:pt idx="37">
                  <c:v>8.4792477331060692</c:v>
                </c:pt>
                <c:pt idx="38">
                  <c:v>8.2730654174074409</c:v>
                </c:pt>
                <c:pt idx="39">
                  <c:v>8.0668831017088127</c:v>
                </c:pt>
                <c:pt idx="40">
                  <c:v>7.8607007860101863</c:v>
                </c:pt>
                <c:pt idx="41">
                  <c:v>7.6545184703115581</c:v>
                </c:pt>
                <c:pt idx="42">
                  <c:v>7.4483361546129299</c:v>
                </c:pt>
                <c:pt idx="43">
                  <c:v>7.2421538389143016</c:v>
                </c:pt>
                <c:pt idx="44">
                  <c:v>7.0359715232156734</c:v>
                </c:pt>
                <c:pt idx="45">
                  <c:v>6.8297892075170452</c:v>
                </c:pt>
                <c:pt idx="46">
                  <c:v>6.623606891818417</c:v>
                </c:pt>
                <c:pt idx="47">
                  <c:v>6.4174245761197888</c:v>
                </c:pt>
                <c:pt idx="48">
                  <c:v>6.2112422604211606</c:v>
                </c:pt>
                <c:pt idx="49">
                  <c:v>6.0050599447225324</c:v>
                </c:pt>
                <c:pt idx="50">
                  <c:v>5.7988776290239041</c:v>
                </c:pt>
                <c:pt idx="51">
                  <c:v>5.5926953133252759</c:v>
                </c:pt>
                <c:pt idx="52">
                  <c:v>5.3865129976266477</c:v>
                </c:pt>
                <c:pt idx="53">
                  <c:v>5.1803306819280195</c:v>
                </c:pt>
                <c:pt idx="54">
                  <c:v>4.9741483662293913</c:v>
                </c:pt>
                <c:pt idx="55">
                  <c:v>4.7679660505307631</c:v>
                </c:pt>
                <c:pt idx="56">
                  <c:v>4.5617837348321348</c:v>
                </c:pt>
                <c:pt idx="57">
                  <c:v>4.3556014191335066</c:v>
                </c:pt>
                <c:pt idx="58">
                  <c:v>4.1494191034348784</c:v>
                </c:pt>
                <c:pt idx="59">
                  <c:v>3.9432367877362506</c:v>
                </c:pt>
                <c:pt idx="60">
                  <c:v>3.7370544720376229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5-714E-9860-2F694CAD65D6}"/>
            </c:ext>
          </c:extLst>
        </c:ser>
        <c:ser>
          <c:idx val="3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Fig1_future_Kaya!$R$4:$R$35</c:f>
              <c:numCache>
                <c:formatCode>_(* #,##0.0_);_(* \(#,##0.0\);_(* "-"??_);_(@_)</c:formatCode>
                <c:ptCount val="32"/>
                <c:pt idx="0">
                  <c:v>31.634770408101428</c:v>
                </c:pt>
                <c:pt idx="1">
                  <c:v>31.140677300670895</c:v>
                </c:pt>
                <c:pt idx="2">
                  <c:v>29.698064240754807</c:v>
                </c:pt>
                <c:pt idx="3">
                  <c:v>28.869366882617065</c:v>
                </c:pt>
                <c:pt idx="4">
                  <c:v>27.454390835884784</c:v>
                </c:pt>
                <c:pt idx="5">
                  <c:v>26.383617122651792</c:v>
                </c:pt>
                <c:pt idx="6">
                  <c:v>25.424930964761749</c:v>
                </c:pt>
                <c:pt idx="7">
                  <c:v>24.392367383519211</c:v>
                </c:pt>
                <c:pt idx="8">
                  <c:v>24.424560202110836</c:v>
                </c:pt>
                <c:pt idx="9">
                  <c:v>23.685610716757044</c:v>
                </c:pt>
                <c:pt idx="10">
                  <c:v>22.819143580846905</c:v>
                </c:pt>
                <c:pt idx="11">
                  <c:v>23.260773823128829</c:v>
                </c:pt>
                <c:pt idx="12">
                  <c:v>22.886139708106437</c:v>
                </c:pt>
                <c:pt idx="13">
                  <c:v>21.848733076497489</c:v>
                </c:pt>
                <c:pt idx="14">
                  <c:v>20.631340903864153</c:v>
                </c:pt>
                <c:pt idx="15">
                  <c:v>20.284318316323407</c:v>
                </c:pt>
                <c:pt idx="16">
                  <c:v>19.352307452012091</c:v>
                </c:pt>
                <c:pt idx="17">
                  <c:v>18.610761903543839</c:v>
                </c:pt>
                <c:pt idx="18">
                  <c:v>18.193789300259677</c:v>
                </c:pt>
                <c:pt idx="19">
                  <c:v>16.72422930113062</c:v>
                </c:pt>
                <c:pt idx="20">
                  <c:v>16.355968316974295</c:v>
                </c:pt>
                <c:pt idx="21">
                  <c:v>15.974387215917677</c:v>
                </c:pt>
                <c:pt idx="22">
                  <c:v>15.677884313364491</c:v>
                </c:pt>
                <c:pt idx="23">
                  <c:v>15.529631804717662</c:v>
                </c:pt>
                <c:pt idx="24">
                  <c:v>15.153670387054609</c:v>
                </c:pt>
                <c:pt idx="25">
                  <c:v>15.080854303119143</c:v>
                </c:pt>
                <c:pt idx="26">
                  <c:v>14.775283399578271</c:v>
                </c:pt>
                <c:pt idx="27">
                  <c:v>14.555888031102301</c:v>
                </c:pt>
                <c:pt idx="28">
                  <c:v>14.424016294141925</c:v>
                </c:pt>
                <c:pt idx="29">
                  <c:v>14.046170256969022</c:v>
                </c:pt>
                <c:pt idx="30">
                  <c:v>18.345083922942074</c:v>
                </c:pt>
                <c:pt idx="31">
                  <c:v>12.574809105739336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65-714E-9860-2F694CAD6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877136"/>
        <c:axId val="687934176"/>
      </c:lineChart>
      <c:catAx>
        <c:axId val="5298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34176"/>
        <c:crosses val="autoZero"/>
        <c:auto val="1"/>
        <c:lblAlgn val="ctr"/>
        <c:lblOffset val="100"/>
        <c:noMultiLvlLbl val="0"/>
      </c:catAx>
      <c:valAx>
        <c:axId val="6879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GTP50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co2</c:v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'Fig1_non-CO2_emissions'!$D$11:$D$42</c:f>
              <c:numCache>
                <c:formatCode>_(* #,##0.00_);_(* \(#,##0.00\);_(* "-"??_);_(@_)</c:formatCode>
                <c:ptCount val="32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4-AC40-83B1-52279F37A07E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'Fig1_non-CO2_emissions'!$BC$11:$BC$42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4-AC40-83B1-52279F37A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89584"/>
        <c:axId val="258694592"/>
      </c:areaChart>
      <c:catAx>
        <c:axId val="2583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94592"/>
        <c:crosses val="autoZero"/>
        <c:auto val="1"/>
        <c:lblAlgn val="ctr"/>
        <c:lblOffset val="100"/>
        <c:noMultiLvlLbl val="0"/>
      </c:catAx>
      <c:valAx>
        <c:axId val="2586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GTP100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co2</c:v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'Fig1_non-CO2_emissions'!$D$11:$D$42</c:f>
              <c:numCache>
                <c:formatCode>_(* #,##0.00_);_(* \(#,##0.00\);_(* "-"??_);_(@_)</c:formatCode>
                <c:ptCount val="32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C-7D4C-A47B-EF1E9B766FD5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'Fig1_non-CO2_emissions'!$BD$11:$BD$42</c:f>
              <c:numCache>
                <c:formatCode>0.00</c:formatCode>
                <c:ptCount val="32"/>
                <c:pt idx="0">
                  <c:v>5.4269778000000102E-2</c:v>
                </c:pt>
                <c:pt idx="1">
                  <c:v>5.2562075600000036E-2</c:v>
                </c:pt>
                <c:pt idx="2">
                  <c:v>5.2916584600000038E-2</c:v>
                </c:pt>
                <c:pt idx="3">
                  <c:v>5.3363175400000018E-2</c:v>
                </c:pt>
                <c:pt idx="4">
                  <c:v>5.5670766700000041E-2</c:v>
                </c:pt>
                <c:pt idx="5">
                  <c:v>5.7076552599999997E-2</c:v>
                </c:pt>
                <c:pt idx="6">
                  <c:v>5.9712128200000048E-2</c:v>
                </c:pt>
                <c:pt idx="7">
                  <c:v>6.1622848300000088E-2</c:v>
                </c:pt>
                <c:pt idx="8">
                  <c:v>6.2800909200000032E-2</c:v>
                </c:pt>
                <c:pt idx="9">
                  <c:v>6.4914668200000025E-2</c:v>
                </c:pt>
                <c:pt idx="10">
                  <c:v>6.7477179700000112E-2</c:v>
                </c:pt>
                <c:pt idx="11">
                  <c:v>6.5939666400000041E-2</c:v>
                </c:pt>
                <c:pt idx="12">
                  <c:v>6.6541042200000011E-2</c:v>
                </c:pt>
                <c:pt idx="13">
                  <c:v>6.612532960000006E-2</c:v>
                </c:pt>
                <c:pt idx="14">
                  <c:v>7.0393088600000042E-2</c:v>
                </c:pt>
                <c:pt idx="15">
                  <c:v>7.3205280800000105E-2</c:v>
                </c:pt>
                <c:pt idx="16">
                  <c:v>7.4087568300000073E-2</c:v>
                </c:pt>
                <c:pt idx="17">
                  <c:v>7.5977471100000082E-2</c:v>
                </c:pt>
                <c:pt idx="18">
                  <c:v>7.5256760900000108E-2</c:v>
                </c:pt>
                <c:pt idx="19">
                  <c:v>7.1209145900000048E-2</c:v>
                </c:pt>
                <c:pt idx="20">
                  <c:v>7.5039058400000025E-2</c:v>
                </c:pt>
                <c:pt idx="21">
                  <c:v>7.7119166600000066E-2</c:v>
                </c:pt>
                <c:pt idx="22">
                  <c:v>7.8059377800000052E-2</c:v>
                </c:pt>
                <c:pt idx="23">
                  <c:v>7.9993578000000065E-2</c:v>
                </c:pt>
                <c:pt idx="24">
                  <c:v>8.263297660000013E-2</c:v>
                </c:pt>
                <c:pt idx="25">
                  <c:v>8.7193010700000073E-2</c:v>
                </c:pt>
                <c:pt idx="26">
                  <c:v>9.1315499400000055E-2</c:v>
                </c:pt>
                <c:pt idx="27">
                  <c:v>9.7062137300000129E-2</c:v>
                </c:pt>
                <c:pt idx="28">
                  <c:v>0.1007615221</c:v>
                </c:pt>
                <c:pt idx="29">
                  <c:v>0.10270000000000001</c:v>
                </c:pt>
                <c:pt idx="30">
                  <c:v>6.0600000000000098E-2</c:v>
                </c:pt>
                <c:pt idx="31">
                  <c:v>7.2629373574285228E-2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C-7D4C-A47B-EF1E9B76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89584"/>
        <c:axId val="258694592"/>
      </c:areaChart>
      <c:catAx>
        <c:axId val="2583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94592"/>
        <c:crosses val="autoZero"/>
        <c:auto val="1"/>
        <c:lblAlgn val="ctr"/>
        <c:lblOffset val="100"/>
        <c:noMultiLvlLbl val="0"/>
      </c:catAx>
      <c:valAx>
        <c:axId val="2586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Reduced 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Fig3_SAF_demand!$B$1</c:f>
              <c:strCache>
                <c:ptCount val="1"/>
                <c:pt idx="0">
                  <c:v>Business-as-usual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Fig3_SAF_demand!$A$4:$A$32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Fig3_SAF_demand!$F$4:$F$32</c:f>
              <c:numCache>
                <c:formatCode>0.0</c:formatCode>
                <c:ptCount val="29"/>
                <c:pt idx="0">
                  <c:v>0</c:v>
                </c:pt>
                <c:pt idx="1">
                  <c:v>7.8605916035707574E-2</c:v>
                </c:pt>
                <c:pt idx="2">
                  <c:v>0.16960693663138696</c:v>
                </c:pt>
                <c:pt idx="3">
                  <c:v>0.26123476012440527</c:v>
                </c:pt>
                <c:pt idx="4">
                  <c:v>0.35407708103833474</c:v>
                </c:pt>
                <c:pt idx="5">
                  <c:v>0.45170766827970654</c:v>
                </c:pt>
                <c:pt idx="6">
                  <c:v>0.55431446066476553</c:v>
                </c:pt>
                <c:pt idx="7">
                  <c:v>0.66209190791830863</c:v>
                </c:pt>
                <c:pt idx="8">
                  <c:v>0.77524117902945144</c:v>
                </c:pt>
                <c:pt idx="9">
                  <c:v>1.1572630221121005</c:v>
                </c:pt>
                <c:pt idx="10">
                  <c:v>1.5591771623091983</c:v>
                </c:pt>
                <c:pt idx="11">
                  <c:v>1.9817660041956182</c:v>
                </c:pt>
                <c:pt idx="12">
                  <c:v>2.4258390508502052</c:v>
                </c:pt>
                <c:pt idx="13">
                  <c:v>2.892233769561658</c:v>
                </c:pt>
                <c:pt idx="14">
                  <c:v>3.7381649145820806</c:v>
                </c:pt>
                <c:pt idx="15">
                  <c:v>4.6272315321908142</c:v>
                </c:pt>
                <c:pt idx="16">
                  <c:v>5.561115547420008</c:v>
                </c:pt>
                <c:pt idx="17">
                  <c:v>6.5415567981802276</c:v>
                </c:pt>
                <c:pt idx="18">
                  <c:v>7.5703548757075838</c:v>
                </c:pt>
                <c:pt idx="19">
                  <c:v>8.3703590514574255</c:v>
                </c:pt>
                <c:pt idx="20">
                  <c:v>9.2076119911987497</c:v>
                </c:pt>
                <c:pt idx="21">
                  <c:v>10.08351492232511</c:v>
                </c:pt>
                <c:pt idx="22">
                  <c:v>10.999516341168528</c:v>
                </c:pt>
                <c:pt idx="23">
                  <c:v>11.957113493405</c:v>
                </c:pt>
                <c:pt idx="24">
                  <c:v>12.775989281902014</c:v>
                </c:pt>
                <c:pt idx="25">
                  <c:v>13.62991459823772</c:v>
                </c:pt>
                <c:pt idx="26">
                  <c:v>14.520159541650578</c:v>
                </c:pt>
                <c:pt idx="27">
                  <c:v>15.448036106208324</c:v>
                </c:pt>
                <c:pt idx="28">
                  <c:v>16.414899471624601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8-5944-997F-62725D12521C}"/>
            </c:ext>
          </c:extLst>
        </c:ser>
        <c:ser>
          <c:idx val="1"/>
          <c:order val="1"/>
          <c:tx>
            <c:strRef>
              <c:f>Fig3_SAF_demand!$I$1</c:f>
              <c:strCache>
                <c:ptCount val="1"/>
                <c:pt idx="0">
                  <c:v>Industry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Fig3_SAF_demand!$A$4:$A$32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Fig3_SAF_demand!$M$4:$M$32</c:f>
              <c:numCache>
                <c:formatCode>0.0</c:formatCode>
                <c:ptCount val="29"/>
                <c:pt idx="0">
                  <c:v>0</c:v>
                </c:pt>
                <c:pt idx="1">
                  <c:v>7.6469383671816868E-2</c:v>
                </c:pt>
                <c:pt idx="2">
                  <c:v>0.16282878061454237</c:v>
                </c:pt>
                <c:pt idx="3">
                  <c:v>0.24545652581799193</c:v>
                </c:pt>
                <c:pt idx="4">
                  <c:v>0.32561033954892504</c:v>
                </c:pt>
                <c:pt idx="5">
                  <c:v>0.40655122924424203</c:v>
                </c:pt>
                <c:pt idx="6">
                  <c:v>0.4882836242535365</c:v>
                </c:pt>
                <c:pt idx="7">
                  <c:v>0.57081195092383086</c:v>
                </c:pt>
                <c:pt idx="8">
                  <c:v>0.65414063206185435</c:v>
                </c:pt>
                <c:pt idx="9">
                  <c:v>0.95571097484216494</c:v>
                </c:pt>
                <c:pt idx="10">
                  <c:v>1.2602330156545398</c:v>
                </c:pt>
                <c:pt idx="11">
                  <c:v>1.5677230362841759</c:v>
                </c:pt>
                <c:pt idx="12">
                  <c:v>1.8781972996215528</c:v>
                </c:pt>
                <c:pt idx="13">
                  <c:v>2.191672047523086</c:v>
                </c:pt>
                <c:pt idx="14">
                  <c:v>2.7724534540657402</c:v>
                </c:pt>
                <c:pt idx="15">
                  <c:v>3.3588557288580168</c:v>
                </c:pt>
                <c:pt idx="16">
                  <c:v>3.9509090498038928</c:v>
                </c:pt>
                <c:pt idx="17">
                  <c:v>4.5486435416896738</c:v>
                </c:pt>
                <c:pt idx="18">
                  <c:v>5.152089271852125</c:v>
                </c:pt>
                <c:pt idx="19">
                  <c:v>5.5754286249352401</c:v>
                </c:pt>
                <c:pt idx="20">
                  <c:v>6.002731132110287</c:v>
                </c:pt>
                <c:pt idx="21">
                  <c:v>6.434017113011727</c:v>
                </c:pt>
                <c:pt idx="22">
                  <c:v>6.8693068331678395</c:v>
                </c:pt>
                <c:pt idx="23">
                  <c:v>7.3086205007266365</c:v>
                </c:pt>
                <c:pt idx="24">
                  <c:v>7.6431785682016189</c:v>
                </c:pt>
                <c:pt idx="25">
                  <c:v>7.9807495315854151</c:v>
                </c:pt>
                <c:pt idx="26">
                  <c:v>8.3213480014842709</c:v>
                </c:pt>
                <c:pt idx="27">
                  <c:v>8.6649885331692218</c:v>
                </c:pt>
                <c:pt idx="28">
                  <c:v>9.0116856239036451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8-5944-997F-62725D12521C}"/>
            </c:ext>
          </c:extLst>
        </c:ser>
        <c:ser>
          <c:idx val="2"/>
          <c:order val="2"/>
          <c:tx>
            <c:strRef>
              <c:f>Fig3_SAF_demand!$P$1</c:f>
              <c:strCache>
                <c:ptCount val="1"/>
                <c:pt idx="0">
                  <c:v>Ambitious Projections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Fig3_SAF_demand!$A$4:$A$32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Fig3_SAF_demand!$T$4:$T$32</c:f>
              <c:numCache>
                <c:formatCode>0.0</c:formatCode>
                <c:ptCount val="29"/>
                <c:pt idx="0">
                  <c:v>0</c:v>
                </c:pt>
                <c:pt idx="1">
                  <c:v>5.7874842058534541E-2</c:v>
                </c:pt>
                <c:pt idx="2">
                  <c:v>0.10730143727826963</c:v>
                </c:pt>
                <c:pt idx="3">
                  <c:v>0.14746396623738373</c:v>
                </c:pt>
                <c:pt idx="4">
                  <c:v>0.1922078943770783</c:v>
                </c:pt>
                <c:pt idx="5">
                  <c:v>0.23562755154868434</c:v>
                </c:pt>
                <c:pt idx="6">
                  <c:v>0.27764302994720069</c:v>
                </c:pt>
                <c:pt idx="7">
                  <c:v>0.31817538884894997</c:v>
                </c:pt>
                <c:pt idx="8">
                  <c:v>0.35714665461157774</c:v>
                </c:pt>
                <c:pt idx="9">
                  <c:v>0.51066223361230278</c:v>
                </c:pt>
                <c:pt idx="10">
                  <c:v>0.65842292712379225</c:v>
                </c:pt>
                <c:pt idx="11">
                  <c:v>0.80014662639517231</c:v>
                </c:pt>
                <c:pt idx="12">
                  <c:v>0.93555478878794796</c:v>
                </c:pt>
                <c:pt idx="13">
                  <c:v>1.0643724377760053</c:v>
                </c:pt>
                <c:pt idx="14">
                  <c:v>1.3113338164791353</c:v>
                </c:pt>
                <c:pt idx="15">
                  <c:v>1.545569811044269</c:v>
                </c:pt>
                <c:pt idx="16">
                  <c:v>1.7665821481827244</c:v>
                </c:pt>
                <c:pt idx="17">
                  <c:v>1.9738792032899195</c:v>
                </c:pt>
                <c:pt idx="18">
                  <c:v>2.1669760004453669</c:v>
                </c:pt>
                <c:pt idx="19">
                  <c:v>2.2697363345929173</c:v>
                </c:pt>
                <c:pt idx="20">
                  <c:v>2.361711239095833</c:v>
                </c:pt>
                <c:pt idx="21">
                  <c:v>2.4425883358692921</c:v>
                </c:pt>
                <c:pt idx="22">
                  <c:v>2.5120597800221738</c:v>
                </c:pt>
                <c:pt idx="23">
                  <c:v>2.5698222598570628</c:v>
                </c:pt>
                <c:pt idx="24">
                  <c:v>2.5788671442825959</c:v>
                </c:pt>
                <c:pt idx="25">
                  <c:v>2.5783889525316752</c:v>
                </c:pt>
                <c:pt idx="26">
                  <c:v>2.568180668884787</c:v>
                </c:pt>
                <c:pt idx="27">
                  <c:v>2.5480386019644699</c:v>
                </c:pt>
                <c:pt idx="28">
                  <c:v>2.5177623847353048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8-5944-997F-62725D12521C}"/>
            </c:ext>
          </c:extLst>
        </c:ser>
        <c:ser>
          <c:idx val="3"/>
          <c:order val="3"/>
          <c:tx>
            <c:strRef>
              <c:f>Fig3_SAF_demand!$AD$2</c:f>
              <c:strCache>
                <c:ptCount val="1"/>
                <c:pt idx="0">
                  <c:v>2019 biofuel produciton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Fig3_SAF_demand!$AD$3:$AD$31</c:f>
              <c:numCache>
                <c:formatCode>0.00</c:formatCode>
                <c:ptCount val="29"/>
                <c:pt idx="0">
                  <c:v>4.0220000000000002</c:v>
                </c:pt>
                <c:pt idx="1">
                  <c:v>4.0220000000000002</c:v>
                </c:pt>
                <c:pt idx="2">
                  <c:v>4.0220000000000002</c:v>
                </c:pt>
                <c:pt idx="3">
                  <c:v>4.0220000000000002</c:v>
                </c:pt>
                <c:pt idx="4">
                  <c:v>4.0220000000000002</c:v>
                </c:pt>
                <c:pt idx="5">
                  <c:v>4.0220000000000002</c:v>
                </c:pt>
                <c:pt idx="6">
                  <c:v>4.0220000000000002</c:v>
                </c:pt>
                <c:pt idx="7">
                  <c:v>4.0220000000000002</c:v>
                </c:pt>
                <c:pt idx="8">
                  <c:v>4.0220000000000002</c:v>
                </c:pt>
                <c:pt idx="9">
                  <c:v>4.0220000000000002</c:v>
                </c:pt>
                <c:pt idx="10">
                  <c:v>4.0220000000000002</c:v>
                </c:pt>
                <c:pt idx="11">
                  <c:v>4.0220000000000002</c:v>
                </c:pt>
                <c:pt idx="12">
                  <c:v>4.0220000000000002</c:v>
                </c:pt>
                <c:pt idx="13">
                  <c:v>4.0220000000000002</c:v>
                </c:pt>
                <c:pt idx="14">
                  <c:v>4.0220000000000002</c:v>
                </c:pt>
                <c:pt idx="15">
                  <c:v>4.0220000000000002</c:v>
                </c:pt>
                <c:pt idx="16">
                  <c:v>4.0220000000000002</c:v>
                </c:pt>
                <c:pt idx="17">
                  <c:v>4.0220000000000002</c:v>
                </c:pt>
                <c:pt idx="18">
                  <c:v>4.0220000000000002</c:v>
                </c:pt>
                <c:pt idx="19">
                  <c:v>4.0220000000000002</c:v>
                </c:pt>
                <c:pt idx="20">
                  <c:v>4.0220000000000002</c:v>
                </c:pt>
                <c:pt idx="21">
                  <c:v>4.0220000000000002</c:v>
                </c:pt>
                <c:pt idx="22">
                  <c:v>4.0220000000000002</c:v>
                </c:pt>
                <c:pt idx="23">
                  <c:v>4.0220000000000002</c:v>
                </c:pt>
                <c:pt idx="24">
                  <c:v>4.0220000000000002</c:v>
                </c:pt>
                <c:pt idx="25">
                  <c:v>4.0220000000000002</c:v>
                </c:pt>
                <c:pt idx="26">
                  <c:v>4.0220000000000002</c:v>
                </c:pt>
                <c:pt idx="27">
                  <c:v>4.0220000000000002</c:v>
                </c:pt>
                <c:pt idx="28">
                  <c:v>4.0220000000000002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F8-5944-997F-62725D125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537104"/>
        <c:axId val="423927168"/>
      </c:lineChart>
      <c:catAx>
        <c:axId val="18285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7168"/>
        <c:crosses val="autoZero"/>
        <c:auto val="1"/>
        <c:lblAlgn val="ctr"/>
        <c:lblOffset val="100"/>
        <c:noMultiLvlLbl val="0"/>
      </c:catAx>
      <c:valAx>
        <c:axId val="4239271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Net-zero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Fig3_SAF_demand!$B$1</c:f>
              <c:strCache>
                <c:ptCount val="1"/>
                <c:pt idx="0">
                  <c:v>Business-as-usual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Fig3_SAF_demand!$A$4:$A$32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Fig3_SAF_demand!$G$4:$G$32</c:f>
              <c:numCache>
                <c:formatCode>0.0</c:formatCode>
                <c:ptCount val="29"/>
                <c:pt idx="0">
                  <c:v>0</c:v>
                </c:pt>
                <c:pt idx="1">
                  <c:v>0.42110312161986202</c:v>
                </c:pt>
                <c:pt idx="2">
                  <c:v>0.90860858909671582</c:v>
                </c:pt>
                <c:pt idx="3">
                  <c:v>1.3887044289891117</c:v>
                </c:pt>
                <c:pt idx="4">
                  <c:v>1.8864382720871768</c:v>
                </c:pt>
                <c:pt idx="5">
                  <c:v>2.4021380149227758</c:v>
                </c:pt>
                <c:pt idx="6">
                  <c:v>2.9361267610679609</c:v>
                </c:pt>
                <c:pt idx="7">
                  <c:v>3.4887219910805674</c:v>
                </c:pt>
                <c:pt idx="8">
                  <c:v>4.0602346798429512</c:v>
                </c:pt>
                <c:pt idx="9">
                  <c:v>4.6509683586798705</c:v>
                </c:pt>
                <c:pt idx="10">
                  <c:v>5.2612181195261112</c:v>
                </c:pt>
                <c:pt idx="11">
                  <c:v>5.8912695582943773</c:v>
                </c:pt>
                <c:pt idx="12">
                  <c:v>6.5413976544688985</c:v>
                </c:pt>
                <c:pt idx="13">
                  <c:v>7.211865583820054</c:v>
                </c:pt>
                <c:pt idx="14">
                  <c:v>7.9029234609998902</c:v>
                </c:pt>
                <c:pt idx="15">
                  <c:v>8.6148070086373316</c:v>
                </c:pt>
                <c:pt idx="16">
                  <c:v>9.3477361494052413</c:v>
                </c:pt>
                <c:pt idx="17">
                  <c:v>10.101913517378735</c:v>
                </c:pt>
                <c:pt idx="18">
                  <c:v>10.877522884845275</c:v>
                </c:pt>
                <c:pt idx="19">
                  <c:v>11.674727500561811</c:v>
                </c:pt>
                <c:pt idx="20">
                  <c:v>12.493668335282152</c:v>
                </c:pt>
                <c:pt idx="21">
                  <c:v>13.334462230198856</c:v>
                </c:pt>
                <c:pt idx="22">
                  <c:v>14.197199943757822</c:v>
                </c:pt>
                <c:pt idx="23">
                  <c:v>15.081944092110051</c:v>
                </c:pt>
                <c:pt idx="24">
                  <c:v>15.988726978263712</c:v>
                </c:pt>
                <c:pt idx="25">
                  <c:v>16.917548304790106</c:v>
                </c:pt>
                <c:pt idx="26">
                  <c:v>17.868372764719357</c:v>
                </c:pt>
                <c:pt idx="27">
                  <c:v>18.841127505034958</c:v>
                </c:pt>
                <c:pt idx="28">
                  <c:v>19.835699456940812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0-4A47-A500-1E6D63846DE0}"/>
            </c:ext>
          </c:extLst>
        </c:ser>
        <c:ser>
          <c:idx val="1"/>
          <c:order val="1"/>
          <c:tx>
            <c:strRef>
              <c:f>Fig3_SAF_demand!$I$1</c:f>
              <c:strCache>
                <c:ptCount val="1"/>
                <c:pt idx="0">
                  <c:v>Industry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Fig3_SAF_demand!$A$4:$A$32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Fig3_SAF_demand!$N$4:$N$32</c:f>
              <c:numCache>
                <c:formatCode>0.0</c:formatCode>
                <c:ptCount val="29"/>
                <c:pt idx="0">
                  <c:v>0</c:v>
                </c:pt>
                <c:pt idx="1">
                  <c:v>0.40965741252759036</c:v>
                </c:pt>
                <c:pt idx="2">
                  <c:v>0.87229703900647693</c:v>
                </c:pt>
                <c:pt idx="3">
                  <c:v>1.304828516562643</c:v>
                </c:pt>
                <c:pt idx="4">
                  <c:v>1.7347742602009619</c:v>
                </c:pt>
                <c:pt idx="5">
                  <c:v>2.1620004072555443</c:v>
                </c:pt>
                <c:pt idx="6">
                  <c:v>2.5863705854664722</c:v>
                </c:pt>
                <c:pt idx="7">
                  <c:v>3.0077458765819522</c:v>
                </c:pt>
                <c:pt idx="8">
                  <c:v>3.4259847794940588</c:v>
                </c:pt>
                <c:pt idx="9">
                  <c:v>3.8409431729025125</c:v>
                </c:pt>
                <c:pt idx="10">
                  <c:v>4.2524742775008919</c:v>
                </c:pt>
                <c:pt idx="11">
                  <c:v>4.6604286176795924</c:v>
                </c:pt>
                <c:pt idx="12">
                  <c:v>5.0646539827398067</c:v>
                </c:pt>
                <c:pt idx="13">
                  <c:v>5.4649953876127046</c:v>
                </c:pt>
                <c:pt idx="14">
                  <c:v>5.8612950330779805</c:v>
                </c:pt>
                <c:pt idx="15">
                  <c:v>6.2533922654757834</c:v>
                </c:pt>
                <c:pt idx="16">
                  <c:v>6.6411235359060665</c:v>
                </c:pt>
                <c:pt idx="17">
                  <c:v>7.0243223589092834</c:v>
                </c:pt>
                <c:pt idx="18">
                  <c:v>7.4028192706222633</c:v>
                </c:pt>
                <c:pt idx="19">
                  <c:v>7.7764417864031037</c:v>
                </c:pt>
                <c:pt idx="20">
                  <c:v>8.1450143579187504</c:v>
                </c:pt>
                <c:pt idx="21">
                  <c:v>8.508358329688976</c:v>
                </c:pt>
                <c:pt idx="22">
                  <c:v>8.8662918950802858</c:v>
                </c:pt>
                <c:pt idx="23">
                  <c:v>9.2186300517432898</c:v>
                </c:pt>
                <c:pt idx="24">
                  <c:v>9.5651845564869724</c:v>
                </c:pt>
                <c:pt idx="25">
                  <c:v>9.9057638795832226</c:v>
                </c:pt>
                <c:pt idx="26">
                  <c:v>10.240173158494867</c:v>
                </c:pt>
                <c:pt idx="27">
                  <c:v>10.568214151020547</c:v>
                </c:pt>
                <c:pt idx="28">
                  <c:v>10.88968518784937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0-4A47-A500-1E6D63846DE0}"/>
            </c:ext>
          </c:extLst>
        </c:ser>
        <c:ser>
          <c:idx val="2"/>
          <c:order val="2"/>
          <c:tx>
            <c:strRef>
              <c:f>Fig3_SAF_demand!$P$1</c:f>
              <c:strCache>
                <c:ptCount val="1"/>
                <c:pt idx="0">
                  <c:v>Ambitious Projections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Fig3_SAF_demand!$A$4:$A$32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Fig3_SAF_demand!$U$4:$U$32</c:f>
              <c:numCache>
                <c:formatCode>0.0</c:formatCode>
                <c:ptCount val="29"/>
                <c:pt idx="0">
                  <c:v>0</c:v>
                </c:pt>
                <c:pt idx="1">
                  <c:v>0.31004379674214927</c:v>
                </c:pt>
                <c:pt idx="2">
                  <c:v>0.57482912827644439</c:v>
                </c:pt>
                <c:pt idx="3">
                  <c:v>0.78390740547939852</c:v>
                </c:pt>
                <c:pt idx="4">
                  <c:v>1.0240378368656793</c:v>
                </c:pt>
                <c:pt idx="5">
                  <c:v>1.2530446983419057</c:v>
                </c:pt>
                <c:pt idx="6">
                  <c:v>1.4706365936662391</c:v>
                </c:pt>
                <c:pt idx="7">
                  <c:v>1.6765428829782671</c:v>
                </c:pt>
                <c:pt idx="8">
                  <c:v>1.8705136827990032</c:v>
                </c:pt>
                <c:pt idx="9">
                  <c:v>2.0523198660308886</c:v>
                </c:pt>
                <c:pt idx="10">
                  <c:v>2.2217530619577879</c:v>
                </c:pt>
                <c:pt idx="11">
                  <c:v>2.3786256562449943</c:v>
                </c:pt>
                <c:pt idx="12">
                  <c:v>2.5227707909392247</c:v>
                </c:pt>
                <c:pt idx="13">
                  <c:v>2.6540423644686237</c:v>
                </c:pt>
                <c:pt idx="14">
                  <c:v>2.7723150316427616</c:v>
                </c:pt>
                <c:pt idx="15">
                  <c:v>2.8774842036526347</c:v>
                </c:pt>
                <c:pt idx="16">
                  <c:v>2.9694660480706645</c:v>
                </c:pt>
                <c:pt idx="17">
                  <c:v>3.0481974888507013</c:v>
                </c:pt>
                <c:pt idx="18">
                  <c:v>3.1136362063280165</c:v>
                </c:pt>
                <c:pt idx="19">
                  <c:v>3.1657606372193121</c:v>
                </c:pt>
                <c:pt idx="20">
                  <c:v>3.2045699746227148</c:v>
                </c:pt>
                <c:pt idx="21">
                  <c:v>3.2300841680177772</c:v>
                </c:pt>
                <c:pt idx="22">
                  <c:v>3.2423439232654769</c:v>
                </c:pt>
                <c:pt idx="23">
                  <c:v>3.2414107026082197</c:v>
                </c:pt>
                <c:pt idx="24">
                  <c:v>3.2273667246698365</c:v>
                </c:pt>
                <c:pt idx="25">
                  <c:v>3.2003149644555831</c:v>
                </c:pt>
                <c:pt idx="26">
                  <c:v>3.1603791533521415</c:v>
                </c:pt>
                <c:pt idx="27">
                  <c:v>3.1077037791276232</c:v>
                </c:pt>
                <c:pt idx="28">
                  <c:v>3.0424540859315612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0-4A47-A500-1E6D63846DE0}"/>
            </c:ext>
          </c:extLst>
        </c:ser>
        <c:ser>
          <c:idx val="3"/>
          <c:order val="3"/>
          <c:tx>
            <c:strRef>
              <c:f>Fig3_SAF_demand!$AD$2</c:f>
              <c:strCache>
                <c:ptCount val="1"/>
                <c:pt idx="0">
                  <c:v>2019 biofuel produciton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Fig3_SAF_demand!$AD$3:$AD$31</c:f>
              <c:numCache>
                <c:formatCode>0.00</c:formatCode>
                <c:ptCount val="29"/>
                <c:pt idx="0">
                  <c:v>4.0220000000000002</c:v>
                </c:pt>
                <c:pt idx="1">
                  <c:v>4.0220000000000002</c:v>
                </c:pt>
                <c:pt idx="2">
                  <c:v>4.0220000000000002</c:v>
                </c:pt>
                <c:pt idx="3">
                  <c:v>4.0220000000000002</c:v>
                </c:pt>
                <c:pt idx="4">
                  <c:v>4.0220000000000002</c:v>
                </c:pt>
                <c:pt idx="5">
                  <c:v>4.0220000000000002</c:v>
                </c:pt>
                <c:pt idx="6">
                  <c:v>4.0220000000000002</c:v>
                </c:pt>
                <c:pt idx="7">
                  <c:v>4.0220000000000002</c:v>
                </c:pt>
                <c:pt idx="8">
                  <c:v>4.0220000000000002</c:v>
                </c:pt>
                <c:pt idx="9">
                  <c:v>4.0220000000000002</c:v>
                </c:pt>
                <c:pt idx="10">
                  <c:v>4.0220000000000002</c:v>
                </c:pt>
                <c:pt idx="11">
                  <c:v>4.0220000000000002</c:v>
                </c:pt>
                <c:pt idx="12">
                  <c:v>4.0220000000000002</c:v>
                </c:pt>
                <c:pt idx="13">
                  <c:v>4.0220000000000002</c:v>
                </c:pt>
                <c:pt idx="14">
                  <c:v>4.0220000000000002</c:v>
                </c:pt>
                <c:pt idx="15">
                  <c:v>4.0220000000000002</c:v>
                </c:pt>
                <c:pt idx="16">
                  <c:v>4.0220000000000002</c:v>
                </c:pt>
                <c:pt idx="17">
                  <c:v>4.0220000000000002</c:v>
                </c:pt>
                <c:pt idx="18">
                  <c:v>4.0220000000000002</c:v>
                </c:pt>
                <c:pt idx="19">
                  <c:v>4.0220000000000002</c:v>
                </c:pt>
                <c:pt idx="20">
                  <c:v>4.0220000000000002</c:v>
                </c:pt>
                <c:pt idx="21">
                  <c:v>4.0220000000000002</c:v>
                </c:pt>
                <c:pt idx="22">
                  <c:v>4.0220000000000002</c:v>
                </c:pt>
                <c:pt idx="23">
                  <c:v>4.0220000000000002</c:v>
                </c:pt>
                <c:pt idx="24">
                  <c:v>4.0220000000000002</c:v>
                </c:pt>
                <c:pt idx="25">
                  <c:v>4.0220000000000002</c:v>
                </c:pt>
                <c:pt idx="26">
                  <c:v>4.0220000000000002</c:v>
                </c:pt>
                <c:pt idx="27">
                  <c:v>4.0220000000000002</c:v>
                </c:pt>
                <c:pt idx="28">
                  <c:v>4.0220000000000002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40-4A47-A500-1E6D63846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537104"/>
        <c:axId val="423927168"/>
      </c:lineChart>
      <c:catAx>
        <c:axId val="18285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7168"/>
        <c:crosses val="autoZero"/>
        <c:auto val="1"/>
        <c:lblAlgn val="ctr"/>
        <c:lblOffset val="100"/>
        <c:noMultiLvlLbl val="0"/>
      </c:catAx>
      <c:valAx>
        <c:axId val="4239271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Passenger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Sup_fig5_regional_data!$J$2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Sup_fig5_regional_data!$J$3:$J$16</c:f>
              <c:numCache>
                <c:formatCode>General</c:formatCode>
                <c:ptCount val="14"/>
                <c:pt idx="0">
                  <c:v>1218.4848000000002</c:v>
                </c:pt>
                <c:pt idx="1">
                  <c:v>1275.7739999999999</c:v>
                </c:pt>
                <c:pt idx="2">
                  <c:v>1262.3362999999999</c:v>
                </c:pt>
                <c:pt idx="3">
                  <c:v>1373.4148859999998</c:v>
                </c:pt>
                <c:pt idx="4">
                  <c:v>1437.5245599999998</c:v>
                </c:pt>
                <c:pt idx="5">
                  <c:v>1503.3682079999999</c:v>
                </c:pt>
                <c:pt idx="6">
                  <c:v>1568.451575</c:v>
                </c:pt>
                <c:pt idx="7">
                  <c:v>1668.37725</c:v>
                </c:pt>
                <c:pt idx="8">
                  <c:v>1773.551238</c:v>
                </c:pt>
                <c:pt idx="9">
                  <c:v>1890.3671650000001</c:v>
                </c:pt>
                <c:pt idx="10">
                  <c:v>2040.3463000000002</c:v>
                </c:pt>
                <c:pt idx="11">
                  <c:v>2142.9598412057253</c:v>
                </c:pt>
                <c:pt idx="12">
                  <c:v>2303.9564851949381</c:v>
                </c:pt>
                <c:pt idx="13">
                  <c:v>702.65047000000004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D-E04A-B946-93FB3960BF70}"/>
            </c:ext>
          </c:extLst>
        </c:ser>
        <c:ser>
          <c:idx val="1"/>
          <c:order val="1"/>
          <c:tx>
            <c:strRef>
              <c:f>Sup_fig5_regional_data!$K$2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Sup_fig5_regional_data!$K$3:$K$16</c:f>
              <c:numCache>
                <c:formatCode>General</c:formatCode>
                <c:ptCount val="14"/>
                <c:pt idx="0">
                  <c:v>105.9552</c:v>
                </c:pt>
                <c:pt idx="1">
                  <c:v>107.43359999999998</c:v>
                </c:pt>
                <c:pt idx="2">
                  <c:v>103.32289999999999</c:v>
                </c:pt>
                <c:pt idx="3">
                  <c:v>127.98848400000001</c:v>
                </c:pt>
                <c:pt idx="4">
                  <c:v>120.66811999999999</c:v>
                </c:pt>
                <c:pt idx="5">
                  <c:v>127.12304699999999</c:v>
                </c:pt>
                <c:pt idx="6">
                  <c:v>134.105525</c:v>
                </c:pt>
                <c:pt idx="7">
                  <c:v>142.121025</c:v>
                </c:pt>
                <c:pt idx="8">
                  <c:v>146.13530800000001</c:v>
                </c:pt>
                <c:pt idx="9">
                  <c:v>149.80268100000001</c:v>
                </c:pt>
                <c:pt idx="10">
                  <c:v>161.68782000000002</c:v>
                </c:pt>
                <c:pt idx="11">
                  <c:v>171.11086184532402</c:v>
                </c:pt>
                <c:pt idx="12">
                  <c:v>180.53390369064812</c:v>
                </c:pt>
                <c:pt idx="13">
                  <c:v>59.800039999999996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D-E04A-B946-93FB3960BF70}"/>
            </c:ext>
          </c:extLst>
        </c:ser>
        <c:ser>
          <c:idx val="2"/>
          <c:order val="2"/>
          <c:tx>
            <c:strRef>
              <c:f>Sup_fig5_regional_data!$L$2</c:f>
              <c:strCache>
                <c:ptCount val="1"/>
                <c:pt idx="0">
                  <c:v>Middle East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Sup_fig5_regional_data!$L$3:$L$16</c:f>
              <c:numCache>
                <c:formatCode>General</c:formatCode>
                <c:ptCount val="14"/>
                <c:pt idx="0">
                  <c:v>233.98439999999999</c:v>
                </c:pt>
                <c:pt idx="1">
                  <c:v>246.20199999999997</c:v>
                </c:pt>
                <c:pt idx="2">
                  <c:v>300.98410000000001</c:v>
                </c:pt>
                <c:pt idx="3">
                  <c:v>364.27491600000002</c:v>
                </c:pt>
                <c:pt idx="4">
                  <c:v>398.72943999999995</c:v>
                </c:pt>
                <c:pt idx="5">
                  <c:v>453.22129799999993</c:v>
                </c:pt>
                <c:pt idx="6">
                  <c:v>507.26872499999996</c:v>
                </c:pt>
                <c:pt idx="7">
                  <c:v>549.94657500000005</c:v>
                </c:pt>
                <c:pt idx="8">
                  <c:v>611.11128799999994</c:v>
                </c:pt>
                <c:pt idx="9">
                  <c:v>677.67879499999992</c:v>
                </c:pt>
                <c:pt idx="10">
                  <c:v>723.74548000000004</c:v>
                </c:pt>
                <c:pt idx="11">
                  <c:v>749.62853760808616</c:v>
                </c:pt>
                <c:pt idx="12">
                  <c:v>782.31358265947517</c:v>
                </c:pt>
                <c:pt idx="13" formatCode="_(* #,##0.00_);_(* \(#,##0.00\);_(* &quot;-&quot;??_);_(@_)">
                  <c:v>257.14017200000001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D-E04A-B946-93FB3960BF70}"/>
            </c:ext>
          </c:extLst>
        </c:ser>
        <c:ser>
          <c:idx val="3"/>
          <c:order val="3"/>
          <c:tx>
            <c:strRef>
              <c:f>Sup_fig5_regional_data!$M$2</c:f>
              <c:strCache>
                <c:ptCount val="1"/>
                <c:pt idx="0">
                  <c:v>Asia and Pacific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Sup_fig5_regional_data!$M$3:$M$16</c:f>
              <c:numCache>
                <c:formatCode>General</c:formatCode>
                <c:ptCount val="14"/>
                <c:pt idx="0">
                  <c:v>1183.1664000000001</c:v>
                </c:pt>
                <c:pt idx="1">
                  <c:v>1199.6751999999999</c:v>
                </c:pt>
                <c:pt idx="2">
                  <c:v>1217.4133000000002</c:v>
                </c:pt>
                <c:pt idx="3">
                  <c:v>1348.8017159999999</c:v>
                </c:pt>
                <c:pt idx="4">
                  <c:v>1552.9462399999998</c:v>
                </c:pt>
                <c:pt idx="5">
                  <c:v>1669.1808780000001</c:v>
                </c:pt>
                <c:pt idx="6">
                  <c:v>1801.6785749999999</c:v>
                </c:pt>
                <c:pt idx="7">
                  <c:v>1940.2609500000001</c:v>
                </c:pt>
                <c:pt idx="8">
                  <c:v>2118.9619659999998</c:v>
                </c:pt>
                <c:pt idx="9">
                  <c:v>2346.9086689999999</c:v>
                </c:pt>
                <c:pt idx="10">
                  <c:v>2610.10338</c:v>
                </c:pt>
                <c:pt idx="11">
                  <c:v>2835.5514248653694</c:v>
                </c:pt>
                <c:pt idx="12">
                  <c:v>2983.1078371740427</c:v>
                </c:pt>
                <c:pt idx="13">
                  <c:v>1136.2007599999999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D-E04A-B946-93FB3960BF70}"/>
            </c:ext>
          </c:extLst>
        </c:ser>
        <c:ser>
          <c:idx val="4"/>
          <c:order val="4"/>
          <c:tx>
            <c:strRef>
              <c:f>Sup_fig5_regional_data!$N$2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Sup_fig5_regional_data!$N$3:$N$16</c:f>
              <c:numCache>
                <c:formatCode>General</c:formatCode>
                <c:ptCount val="14"/>
                <c:pt idx="0">
                  <c:v>1492.2023999999999</c:v>
                </c:pt>
                <c:pt idx="1">
                  <c:v>1450.3535999999999</c:v>
                </c:pt>
                <c:pt idx="2">
                  <c:v>1410.5822000000001</c:v>
                </c:pt>
                <c:pt idx="3">
                  <c:v>1481.7128340000002</c:v>
                </c:pt>
                <c:pt idx="4">
                  <c:v>1484.7425199999998</c:v>
                </c:pt>
                <c:pt idx="5">
                  <c:v>1486.7869409999998</c:v>
                </c:pt>
                <c:pt idx="6">
                  <c:v>1515.9755000000002</c:v>
                </c:pt>
                <c:pt idx="7">
                  <c:v>1557.1521</c:v>
                </c:pt>
                <c:pt idx="8">
                  <c:v>1640.7009580000001</c:v>
                </c:pt>
                <c:pt idx="9">
                  <c:v>1697.7637180000002</c:v>
                </c:pt>
                <c:pt idx="10">
                  <c:v>1770.8666000000001</c:v>
                </c:pt>
                <c:pt idx="11">
                  <c:v>1825.182526350123</c:v>
                </c:pt>
                <c:pt idx="12">
                  <c:v>1908.5012675868516</c:v>
                </c:pt>
                <c:pt idx="13">
                  <c:v>672.75045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D-E04A-B946-93FB3960BF70}"/>
            </c:ext>
          </c:extLst>
        </c:ser>
        <c:ser>
          <c:idx val="5"/>
          <c:order val="5"/>
          <c:tx>
            <c:strRef>
              <c:f>Sup_fig5_regional_data!$O$2</c:f>
              <c:strCache>
                <c:ptCount val="1"/>
                <c:pt idx="0">
                  <c:v>Latin America and Caribbean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Sup_fig5_regional_data!$O$3:$O$16</c:f>
              <c:numCache>
                <c:formatCode>General</c:formatCode>
                <c:ptCount val="14"/>
                <c:pt idx="0">
                  <c:v>181.0068</c:v>
                </c:pt>
                <c:pt idx="1">
                  <c:v>196.9616</c:v>
                </c:pt>
                <c:pt idx="2">
                  <c:v>202.15350000000001</c:v>
                </c:pt>
                <c:pt idx="3">
                  <c:v>221.51853</c:v>
                </c:pt>
                <c:pt idx="4">
                  <c:v>257.07556</c:v>
                </c:pt>
                <c:pt idx="5">
                  <c:v>287.40862799999996</c:v>
                </c:pt>
                <c:pt idx="6">
                  <c:v>303.19510000000002</c:v>
                </c:pt>
                <c:pt idx="7">
                  <c:v>321.31710000000004</c:v>
                </c:pt>
                <c:pt idx="8">
                  <c:v>352.05324200000001</c:v>
                </c:pt>
                <c:pt idx="9">
                  <c:v>370.93997200000007</c:v>
                </c:pt>
                <c:pt idx="10">
                  <c:v>392.67041999999992</c:v>
                </c:pt>
                <c:pt idx="11">
                  <c:v>415.55495019578694</c:v>
                </c:pt>
                <c:pt idx="12">
                  <c:v>438.43948039157397</c:v>
                </c:pt>
                <c:pt idx="13">
                  <c:v>161.46010799999999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D-E04A-B946-93FB3960B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52191"/>
        <c:axId val="466988639"/>
      </c:lineChart>
      <c:catAx>
        <c:axId val="59505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88639"/>
        <c:crosses val="autoZero"/>
        <c:auto val="1"/>
        <c:lblAlgn val="ctr"/>
        <c:lblOffset val="100"/>
        <c:noMultiLvlLbl val="0"/>
      </c:catAx>
      <c:valAx>
        <c:axId val="4669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5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Passenger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Sup_fig5_regional_data!$J$2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Sup_fig5_regional_data!$J$3:$J$16</c:f>
              <c:numCache>
                <c:formatCode>General</c:formatCode>
                <c:ptCount val="14"/>
                <c:pt idx="0">
                  <c:v>1218.4848000000002</c:v>
                </c:pt>
                <c:pt idx="1">
                  <c:v>1275.7739999999999</c:v>
                </c:pt>
                <c:pt idx="2">
                  <c:v>1262.3362999999999</c:v>
                </c:pt>
                <c:pt idx="3">
                  <c:v>1373.4148859999998</c:v>
                </c:pt>
                <c:pt idx="4">
                  <c:v>1437.5245599999998</c:v>
                </c:pt>
                <c:pt idx="5">
                  <c:v>1503.3682079999999</c:v>
                </c:pt>
                <c:pt idx="6">
                  <c:v>1568.451575</c:v>
                </c:pt>
                <c:pt idx="7">
                  <c:v>1668.37725</c:v>
                </c:pt>
                <c:pt idx="8">
                  <c:v>1773.551238</c:v>
                </c:pt>
                <c:pt idx="9">
                  <c:v>1890.3671650000001</c:v>
                </c:pt>
                <c:pt idx="10">
                  <c:v>2040.3463000000002</c:v>
                </c:pt>
                <c:pt idx="11">
                  <c:v>2142.9598412057253</c:v>
                </c:pt>
                <c:pt idx="12">
                  <c:v>2303.9564851949381</c:v>
                </c:pt>
                <c:pt idx="13">
                  <c:v>702.65047000000004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6-BC4C-96E3-5BA15BC714A4}"/>
            </c:ext>
          </c:extLst>
        </c:ser>
        <c:ser>
          <c:idx val="1"/>
          <c:order val="1"/>
          <c:tx>
            <c:strRef>
              <c:f>Sup_fig5_regional_data!$K$2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Sup_fig5_regional_data!$K$3:$K$16</c:f>
              <c:numCache>
                <c:formatCode>General</c:formatCode>
                <c:ptCount val="14"/>
                <c:pt idx="0">
                  <c:v>105.9552</c:v>
                </c:pt>
                <c:pt idx="1">
                  <c:v>107.43359999999998</c:v>
                </c:pt>
                <c:pt idx="2">
                  <c:v>103.32289999999999</c:v>
                </c:pt>
                <c:pt idx="3">
                  <c:v>127.98848400000001</c:v>
                </c:pt>
                <c:pt idx="4">
                  <c:v>120.66811999999999</c:v>
                </c:pt>
                <c:pt idx="5">
                  <c:v>127.12304699999999</c:v>
                </c:pt>
                <c:pt idx="6">
                  <c:v>134.105525</c:v>
                </c:pt>
                <c:pt idx="7">
                  <c:v>142.121025</c:v>
                </c:pt>
                <c:pt idx="8">
                  <c:v>146.13530800000001</c:v>
                </c:pt>
                <c:pt idx="9">
                  <c:v>149.80268100000001</c:v>
                </c:pt>
                <c:pt idx="10">
                  <c:v>161.68782000000002</c:v>
                </c:pt>
                <c:pt idx="11">
                  <c:v>171.11086184532402</c:v>
                </c:pt>
                <c:pt idx="12">
                  <c:v>180.53390369064812</c:v>
                </c:pt>
                <c:pt idx="13">
                  <c:v>59.800039999999996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6-BC4C-96E3-5BA15BC714A4}"/>
            </c:ext>
          </c:extLst>
        </c:ser>
        <c:ser>
          <c:idx val="2"/>
          <c:order val="2"/>
          <c:tx>
            <c:strRef>
              <c:f>Sup_fig5_regional_data!$L$2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Sup_fig5_regional_data!$L$3:$L$16</c:f>
              <c:numCache>
                <c:formatCode>General</c:formatCode>
                <c:ptCount val="14"/>
                <c:pt idx="0">
                  <c:v>233.98439999999999</c:v>
                </c:pt>
                <c:pt idx="1">
                  <c:v>246.20199999999997</c:v>
                </c:pt>
                <c:pt idx="2">
                  <c:v>300.98410000000001</c:v>
                </c:pt>
                <c:pt idx="3">
                  <c:v>364.27491600000002</c:v>
                </c:pt>
                <c:pt idx="4">
                  <c:v>398.72943999999995</c:v>
                </c:pt>
                <c:pt idx="5">
                  <c:v>453.22129799999993</c:v>
                </c:pt>
                <c:pt idx="6">
                  <c:v>507.26872499999996</c:v>
                </c:pt>
                <c:pt idx="7">
                  <c:v>549.94657500000005</c:v>
                </c:pt>
                <c:pt idx="8">
                  <c:v>611.11128799999994</c:v>
                </c:pt>
                <c:pt idx="9">
                  <c:v>677.67879499999992</c:v>
                </c:pt>
                <c:pt idx="10">
                  <c:v>723.74548000000004</c:v>
                </c:pt>
                <c:pt idx="11">
                  <c:v>749.62853760808616</c:v>
                </c:pt>
                <c:pt idx="12">
                  <c:v>782.31358265947517</c:v>
                </c:pt>
                <c:pt idx="13" formatCode="_(* #,##0.00_);_(* \(#,##0.00\);_(* &quot;-&quot;??_);_(@_)">
                  <c:v>257.14017200000001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6-BC4C-96E3-5BA15BC714A4}"/>
            </c:ext>
          </c:extLst>
        </c:ser>
        <c:ser>
          <c:idx val="3"/>
          <c:order val="3"/>
          <c:tx>
            <c:strRef>
              <c:f>Sup_fig5_regional_data!$M$2</c:f>
              <c:strCache>
                <c:ptCount val="1"/>
                <c:pt idx="0">
                  <c:v>Asia and Pacific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Sup_fig5_regional_data!$M$3:$M$16</c:f>
              <c:numCache>
                <c:formatCode>General</c:formatCode>
                <c:ptCount val="14"/>
                <c:pt idx="0">
                  <c:v>1183.1664000000001</c:v>
                </c:pt>
                <c:pt idx="1">
                  <c:v>1199.6751999999999</c:v>
                </c:pt>
                <c:pt idx="2">
                  <c:v>1217.4133000000002</c:v>
                </c:pt>
                <c:pt idx="3">
                  <c:v>1348.8017159999999</c:v>
                </c:pt>
                <c:pt idx="4">
                  <c:v>1552.9462399999998</c:v>
                </c:pt>
                <c:pt idx="5">
                  <c:v>1669.1808780000001</c:v>
                </c:pt>
                <c:pt idx="6">
                  <c:v>1801.6785749999999</c:v>
                </c:pt>
                <c:pt idx="7">
                  <c:v>1940.2609500000001</c:v>
                </c:pt>
                <c:pt idx="8">
                  <c:v>2118.9619659999998</c:v>
                </c:pt>
                <c:pt idx="9">
                  <c:v>2346.9086689999999</c:v>
                </c:pt>
                <c:pt idx="10">
                  <c:v>2610.10338</c:v>
                </c:pt>
                <c:pt idx="11">
                  <c:v>2835.5514248653694</c:v>
                </c:pt>
                <c:pt idx="12">
                  <c:v>2983.1078371740427</c:v>
                </c:pt>
                <c:pt idx="13">
                  <c:v>1136.2007599999999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F6-BC4C-96E3-5BA15BC714A4}"/>
            </c:ext>
          </c:extLst>
        </c:ser>
        <c:ser>
          <c:idx val="4"/>
          <c:order val="4"/>
          <c:tx>
            <c:strRef>
              <c:f>Sup_fig5_regional_data!$N$2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Sup_fig5_regional_data!$N$3:$N$16</c:f>
              <c:numCache>
                <c:formatCode>General</c:formatCode>
                <c:ptCount val="14"/>
                <c:pt idx="0">
                  <c:v>1492.2023999999999</c:v>
                </c:pt>
                <c:pt idx="1">
                  <c:v>1450.3535999999999</c:v>
                </c:pt>
                <c:pt idx="2">
                  <c:v>1410.5822000000001</c:v>
                </c:pt>
                <c:pt idx="3">
                  <c:v>1481.7128340000002</c:v>
                </c:pt>
                <c:pt idx="4">
                  <c:v>1484.7425199999998</c:v>
                </c:pt>
                <c:pt idx="5">
                  <c:v>1486.7869409999998</c:v>
                </c:pt>
                <c:pt idx="6">
                  <c:v>1515.9755000000002</c:v>
                </c:pt>
                <c:pt idx="7">
                  <c:v>1557.1521</c:v>
                </c:pt>
                <c:pt idx="8">
                  <c:v>1640.7009580000001</c:v>
                </c:pt>
                <c:pt idx="9">
                  <c:v>1697.7637180000002</c:v>
                </c:pt>
                <c:pt idx="10">
                  <c:v>1770.8666000000001</c:v>
                </c:pt>
                <c:pt idx="11">
                  <c:v>1825.182526350123</c:v>
                </c:pt>
                <c:pt idx="12">
                  <c:v>1908.5012675868516</c:v>
                </c:pt>
                <c:pt idx="13">
                  <c:v>672.75045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F6-BC4C-96E3-5BA15BC714A4}"/>
            </c:ext>
          </c:extLst>
        </c:ser>
        <c:ser>
          <c:idx val="5"/>
          <c:order val="5"/>
          <c:tx>
            <c:strRef>
              <c:f>Sup_fig5_regional_data!$O$2</c:f>
              <c:strCache>
                <c:ptCount val="1"/>
                <c:pt idx="0">
                  <c:v>Latin America and Caribbean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Sup_fig5_regional_data!$O$3:$O$16</c:f>
              <c:numCache>
                <c:formatCode>General</c:formatCode>
                <c:ptCount val="14"/>
                <c:pt idx="0">
                  <c:v>181.0068</c:v>
                </c:pt>
                <c:pt idx="1">
                  <c:v>196.9616</c:v>
                </c:pt>
                <c:pt idx="2">
                  <c:v>202.15350000000001</c:v>
                </c:pt>
                <c:pt idx="3">
                  <c:v>221.51853</c:v>
                </c:pt>
                <c:pt idx="4">
                  <c:v>257.07556</c:v>
                </c:pt>
                <c:pt idx="5">
                  <c:v>287.40862799999996</c:v>
                </c:pt>
                <c:pt idx="6">
                  <c:v>303.19510000000002</c:v>
                </c:pt>
                <c:pt idx="7">
                  <c:v>321.31710000000004</c:v>
                </c:pt>
                <c:pt idx="8">
                  <c:v>352.05324200000001</c:v>
                </c:pt>
                <c:pt idx="9">
                  <c:v>370.93997200000007</c:v>
                </c:pt>
                <c:pt idx="10">
                  <c:v>392.67041999999992</c:v>
                </c:pt>
                <c:pt idx="11">
                  <c:v>415.55495019578694</c:v>
                </c:pt>
                <c:pt idx="12">
                  <c:v>438.43948039157397</c:v>
                </c:pt>
                <c:pt idx="13">
                  <c:v>161.46010799999999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F6-BC4C-96E3-5BA15BC7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192607"/>
        <c:axId val="1886745023"/>
      </c:areaChart>
      <c:catAx>
        <c:axId val="8371926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45023"/>
        <c:crosses val="autoZero"/>
        <c:auto val="1"/>
        <c:lblAlgn val="ctr"/>
        <c:lblOffset val="100"/>
        <c:noMultiLvlLbl val="0"/>
      </c:catAx>
      <c:valAx>
        <c:axId val="18867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9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passenger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Sup_fig5_regional_data!$B$2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Sup_fig5_regional_data!$B$3:$B$16</c:f>
              <c:numCache>
                <c:formatCode>General</c:formatCode>
                <c:ptCount val="14"/>
                <c:pt idx="0">
                  <c:v>27.6</c:v>
                </c:pt>
                <c:pt idx="1">
                  <c:v>28.5</c:v>
                </c:pt>
                <c:pt idx="2">
                  <c:v>28.1</c:v>
                </c:pt>
                <c:pt idx="3">
                  <c:v>27.9</c:v>
                </c:pt>
                <c:pt idx="4">
                  <c:v>27.4</c:v>
                </c:pt>
                <c:pt idx="5">
                  <c:v>27.2</c:v>
                </c:pt>
                <c:pt idx="6">
                  <c:v>26.9</c:v>
                </c:pt>
                <c:pt idx="7">
                  <c:v>27</c:v>
                </c:pt>
                <c:pt idx="8">
                  <c:v>26.7</c:v>
                </c:pt>
                <c:pt idx="9">
                  <c:v>26.5</c:v>
                </c:pt>
                <c:pt idx="10">
                  <c:v>26.5</c:v>
                </c:pt>
                <c:pt idx="11">
                  <c:v>26.3</c:v>
                </c:pt>
                <c:pt idx="12">
                  <c:v>26.8</c:v>
                </c:pt>
                <c:pt idx="13" formatCode="0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5-E441-887E-10DD8D3AC862}"/>
            </c:ext>
          </c:extLst>
        </c:ser>
        <c:ser>
          <c:idx val="1"/>
          <c:order val="1"/>
          <c:tx>
            <c:strRef>
              <c:f>Sup_fig5_regional_data!$C$2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Sup_fig5_regional_data!$C$3:$C$16</c:f>
              <c:numCache>
                <c:formatCode>General</c:formatCode>
                <c:ptCount val="14"/>
                <c:pt idx="0">
                  <c:v>2.4</c:v>
                </c:pt>
                <c:pt idx="1">
                  <c:v>2.4</c:v>
                </c:pt>
                <c:pt idx="2">
                  <c:v>2.2999999999999998</c:v>
                </c:pt>
                <c:pt idx="3">
                  <c:v>2.6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 formatCode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5-E441-887E-10DD8D3AC862}"/>
            </c:ext>
          </c:extLst>
        </c:ser>
        <c:ser>
          <c:idx val="2"/>
          <c:order val="2"/>
          <c:tx>
            <c:strRef>
              <c:f>Sup_fig5_regional_data!$D$2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Sup_fig5_regional_data!$D$3:$D$16</c:f>
              <c:numCache>
                <c:formatCode>General</c:formatCode>
                <c:ptCount val="14"/>
                <c:pt idx="0">
                  <c:v>5.3</c:v>
                </c:pt>
                <c:pt idx="1">
                  <c:v>5.5</c:v>
                </c:pt>
                <c:pt idx="2">
                  <c:v>6.7</c:v>
                </c:pt>
                <c:pt idx="3">
                  <c:v>7.4</c:v>
                </c:pt>
                <c:pt idx="4">
                  <c:v>7.6</c:v>
                </c:pt>
                <c:pt idx="5">
                  <c:v>8.1999999999999993</c:v>
                </c:pt>
                <c:pt idx="6">
                  <c:v>8.6999999999999993</c:v>
                </c:pt>
                <c:pt idx="7">
                  <c:v>8.9</c:v>
                </c:pt>
                <c:pt idx="8">
                  <c:v>9.1999999999999993</c:v>
                </c:pt>
                <c:pt idx="9">
                  <c:v>9.5</c:v>
                </c:pt>
                <c:pt idx="10">
                  <c:v>9.4</c:v>
                </c:pt>
                <c:pt idx="11">
                  <c:v>9.1999999999999993</c:v>
                </c:pt>
                <c:pt idx="12">
                  <c:v>9.1</c:v>
                </c:pt>
                <c:pt idx="13" formatCode="0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5-E441-887E-10DD8D3AC862}"/>
            </c:ext>
          </c:extLst>
        </c:ser>
        <c:ser>
          <c:idx val="3"/>
          <c:order val="3"/>
          <c:tx>
            <c:strRef>
              <c:f>Sup_fig5_regional_data!$E$2</c:f>
              <c:strCache>
                <c:ptCount val="1"/>
                <c:pt idx="0">
                  <c:v>Asia and Pacific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Sup_fig5_regional_data!$E$3:$E$16</c:f>
              <c:numCache>
                <c:formatCode>General</c:formatCode>
                <c:ptCount val="14"/>
                <c:pt idx="0">
                  <c:v>26.8</c:v>
                </c:pt>
                <c:pt idx="1">
                  <c:v>26.8</c:v>
                </c:pt>
                <c:pt idx="2">
                  <c:v>27.1</c:v>
                </c:pt>
                <c:pt idx="3">
                  <c:v>27.4</c:v>
                </c:pt>
                <c:pt idx="4">
                  <c:v>29.6</c:v>
                </c:pt>
                <c:pt idx="5">
                  <c:v>30.2</c:v>
                </c:pt>
                <c:pt idx="6">
                  <c:v>30.9</c:v>
                </c:pt>
                <c:pt idx="7">
                  <c:v>31.4</c:v>
                </c:pt>
                <c:pt idx="8">
                  <c:v>31.9</c:v>
                </c:pt>
                <c:pt idx="9">
                  <c:v>32.9</c:v>
                </c:pt>
                <c:pt idx="10">
                  <c:v>33.9</c:v>
                </c:pt>
                <c:pt idx="11">
                  <c:v>34.799999999999997</c:v>
                </c:pt>
                <c:pt idx="12">
                  <c:v>34.700000000000003</c:v>
                </c:pt>
                <c:pt idx="13" formatCode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5-E441-887E-10DD8D3AC862}"/>
            </c:ext>
          </c:extLst>
        </c:ser>
        <c:ser>
          <c:idx val="4"/>
          <c:order val="4"/>
          <c:tx>
            <c:strRef>
              <c:f>Sup_fig5_regional_data!$F$2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Sup_fig5_regional_data!$F$3:$F$16</c:f>
              <c:numCache>
                <c:formatCode>General</c:formatCode>
                <c:ptCount val="14"/>
                <c:pt idx="0">
                  <c:v>33.799999999999997</c:v>
                </c:pt>
                <c:pt idx="1">
                  <c:v>32.4</c:v>
                </c:pt>
                <c:pt idx="2">
                  <c:v>31.4</c:v>
                </c:pt>
                <c:pt idx="3">
                  <c:v>30.1</c:v>
                </c:pt>
                <c:pt idx="4">
                  <c:v>28.3</c:v>
                </c:pt>
                <c:pt idx="5">
                  <c:v>26.9</c:v>
                </c:pt>
                <c:pt idx="6">
                  <c:v>26</c:v>
                </c:pt>
                <c:pt idx="7">
                  <c:v>25.2</c:v>
                </c:pt>
                <c:pt idx="8">
                  <c:v>24.7</c:v>
                </c:pt>
                <c:pt idx="9">
                  <c:v>23.8</c:v>
                </c:pt>
                <c:pt idx="10">
                  <c:v>23</c:v>
                </c:pt>
                <c:pt idx="11">
                  <c:v>22.4</c:v>
                </c:pt>
                <c:pt idx="12">
                  <c:v>22.2</c:v>
                </c:pt>
                <c:pt idx="13" formatCode="0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5-E441-887E-10DD8D3AC862}"/>
            </c:ext>
          </c:extLst>
        </c:ser>
        <c:ser>
          <c:idx val="5"/>
          <c:order val="5"/>
          <c:tx>
            <c:strRef>
              <c:f>Sup_fig5_regional_data!$G$2</c:f>
              <c:strCache>
                <c:ptCount val="1"/>
                <c:pt idx="0">
                  <c:v>Latin America and Caribbean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Sup_fig5_regional_data!$G$3:$G$16</c:f>
              <c:numCache>
                <c:formatCode>General</c:formatCode>
                <c:ptCount val="14"/>
                <c:pt idx="0">
                  <c:v>4.0999999999999996</c:v>
                </c:pt>
                <c:pt idx="1">
                  <c:v>4.4000000000000004</c:v>
                </c:pt>
                <c:pt idx="2">
                  <c:v>4.5</c:v>
                </c:pt>
                <c:pt idx="3">
                  <c:v>4.5</c:v>
                </c:pt>
                <c:pt idx="4">
                  <c:v>4.9000000000000004</c:v>
                </c:pt>
                <c:pt idx="5">
                  <c:v>5.2</c:v>
                </c:pt>
                <c:pt idx="6">
                  <c:v>5.2</c:v>
                </c:pt>
                <c:pt idx="7">
                  <c:v>5.2</c:v>
                </c:pt>
                <c:pt idx="8">
                  <c:v>5.3</c:v>
                </c:pt>
                <c:pt idx="9">
                  <c:v>5.2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 formatCode="0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A5-E441-887E-10DD8D3AC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41551"/>
        <c:axId val="227343199"/>
      </c:areaChart>
      <c:catAx>
        <c:axId val="227341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43199"/>
        <c:crosses val="autoZero"/>
        <c:auto val="1"/>
        <c:lblAlgn val="ctr"/>
        <c:lblOffset val="100"/>
        <c:noMultiLvlLbl val="0"/>
      </c:catAx>
      <c:valAx>
        <c:axId val="2273431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4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Regional Freight Demand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Sup_fig5_regional_data!$J$22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Sup_fig5_regional_data!$J$23:$J$36</c:f>
              <c:numCache>
                <c:formatCode>General</c:formatCode>
                <c:ptCount val="14"/>
                <c:pt idx="0">
                  <c:v>40.026104337999996</c:v>
                </c:pt>
                <c:pt idx="1">
                  <c:v>41.682310862000001</c:v>
                </c:pt>
                <c:pt idx="2">
                  <c:v>42.824279851672628</c:v>
                </c:pt>
                <c:pt idx="3">
                  <c:v>47.144637413194225</c:v>
                </c:pt>
                <c:pt idx="4">
                  <c:v>40.451227843044087</c:v>
                </c:pt>
                <c:pt idx="5">
                  <c:v>39.736654690487356</c:v>
                </c:pt>
                <c:pt idx="6">
                  <c:v>39.385820950234745</c:v>
                </c:pt>
                <c:pt idx="7">
                  <c:v>41.217337409896437</c:v>
                </c:pt>
                <c:pt idx="8">
                  <c:v>40.93373275609121</c:v>
                </c:pt>
                <c:pt idx="9">
                  <c:v>44.241908446345718</c:v>
                </c:pt>
                <c:pt idx="10">
                  <c:v>49.172195496746326</c:v>
                </c:pt>
                <c:pt idx="11">
                  <c:v>51.31044258080572</c:v>
                </c:pt>
                <c:pt idx="12">
                  <c:v>52.937486446036203</c:v>
                </c:pt>
                <c:pt idx="13">
                  <c:v>40.438898416795645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6-8D4D-8B4A-2910B5BFC840}"/>
            </c:ext>
          </c:extLst>
        </c:ser>
        <c:ser>
          <c:idx val="1"/>
          <c:order val="1"/>
          <c:tx>
            <c:strRef>
              <c:f>Sup_fig5_regional_data!$K$22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Sup_fig5_regional_data!$K$23:$K$36</c:f>
              <c:numCache>
                <c:formatCode>General</c:formatCode>
                <c:ptCount val="14"/>
                <c:pt idx="0">
                  <c:v>2.2148832439999997</c:v>
                </c:pt>
                <c:pt idx="1">
                  <c:v>2.2188302360000001</c:v>
                </c:pt>
                <c:pt idx="2">
                  <c:v>2.457130811161544</c:v>
                </c:pt>
                <c:pt idx="3">
                  <c:v>2.3663331520136102</c:v>
                </c:pt>
                <c:pt idx="4">
                  <c:v>2.745558450885345</c:v>
                </c:pt>
                <c:pt idx="5">
                  <c:v>2.9758728182303309</c:v>
                </c:pt>
                <c:pt idx="6">
                  <c:v>2.9891024828303152</c:v>
                </c:pt>
                <c:pt idx="7">
                  <c:v>3.1421288608441227</c:v>
                </c:pt>
                <c:pt idx="8">
                  <c:v>3.1920800773098654</c:v>
                </c:pt>
                <c:pt idx="9">
                  <c:v>3.1183724015045442</c:v>
                </c:pt>
                <c:pt idx="10">
                  <c:v>4.0444662962691771</c:v>
                </c:pt>
                <c:pt idx="11">
                  <c:v>3.9809826140280302</c:v>
                </c:pt>
                <c:pt idx="12">
                  <c:v>4.208419424580284</c:v>
                </c:pt>
                <c:pt idx="13">
                  <c:v>3.6106159300710403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6-8D4D-8B4A-2910B5BFC840}"/>
            </c:ext>
          </c:extLst>
        </c:ser>
        <c:ser>
          <c:idx val="2"/>
          <c:order val="2"/>
          <c:tx>
            <c:strRef>
              <c:f>Sup_fig5_regional_data!$L$22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Sup_fig5_regional_data!$L$23:$L$36</c:f>
              <c:numCache>
                <c:formatCode>General</c:formatCode>
                <c:ptCount val="14"/>
                <c:pt idx="0">
                  <c:v>10.758004328</c:v>
                </c:pt>
                <c:pt idx="1">
                  <c:v>11.252639053999999</c:v>
                </c:pt>
                <c:pt idx="2">
                  <c:v>15.44482224158685</c:v>
                </c:pt>
                <c:pt idx="3">
                  <c:v>17.110408945329183</c:v>
                </c:pt>
                <c:pt idx="4">
                  <c:v>17.571574085666207</c:v>
                </c:pt>
                <c:pt idx="5">
                  <c:v>19.080596305123887</c:v>
                </c:pt>
                <c:pt idx="6">
                  <c:v>21.451206053252854</c:v>
                </c:pt>
                <c:pt idx="7">
                  <c:v>24.21287533944589</c:v>
                </c:pt>
                <c:pt idx="8">
                  <c:v>26.663257116352995</c:v>
                </c:pt>
                <c:pt idx="9">
                  <c:v>27.480656788258795</c:v>
                </c:pt>
                <c:pt idx="10">
                  <c:v>29.375597309744556</c:v>
                </c:pt>
                <c:pt idx="11">
                  <c:v>31.184363809886236</c:v>
                </c:pt>
                <c:pt idx="12">
                  <c:v>30.566414768004169</c:v>
                </c:pt>
                <c:pt idx="13">
                  <c:v>26.357496289518593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6-8D4D-8B4A-2910B5BFC840}"/>
            </c:ext>
          </c:extLst>
        </c:ser>
        <c:ser>
          <c:idx val="3"/>
          <c:order val="3"/>
          <c:tx>
            <c:strRef>
              <c:f>Sup_fig5_regional_data!$M$22</c:f>
              <c:strCache>
                <c:ptCount val="1"/>
                <c:pt idx="0">
                  <c:v>Asia and Pacific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Sup_fig5_regional_data!$M$23:$M$36</c:f>
              <c:numCache>
                <c:formatCode>General</c:formatCode>
                <c:ptCount val="14"/>
                <c:pt idx="0">
                  <c:v>58.377994073999986</c:v>
                </c:pt>
                <c:pt idx="1">
                  <c:v>56.738658891999997</c:v>
                </c:pt>
                <c:pt idx="2">
                  <c:v>63.35887305923697</c:v>
                </c:pt>
                <c:pt idx="3">
                  <c:v>66.439353883459049</c:v>
                </c:pt>
                <c:pt idx="4">
                  <c:v>75.228301554258451</c:v>
                </c:pt>
                <c:pt idx="5">
                  <c:v>68.970228846044137</c:v>
                </c:pt>
                <c:pt idx="6">
                  <c:v>70.155993567605634</c:v>
                </c:pt>
                <c:pt idx="7">
                  <c:v>72.823457127799088</c:v>
                </c:pt>
                <c:pt idx="8">
                  <c:v>74.168919443376282</c:v>
                </c:pt>
                <c:pt idx="9">
                  <c:v>76.40012383686134</c:v>
                </c:pt>
                <c:pt idx="10">
                  <c:v>82.592259102760053</c:v>
                </c:pt>
                <c:pt idx="11">
                  <c:v>84.042966296147299</c:v>
                </c:pt>
                <c:pt idx="12">
                  <c:v>83.503901214040383</c:v>
                </c:pt>
                <c:pt idx="13">
                  <c:v>64.088432758760959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6-8D4D-8B4A-2910B5BFC840}"/>
            </c:ext>
          </c:extLst>
        </c:ser>
        <c:ser>
          <c:idx val="4"/>
          <c:order val="4"/>
          <c:tx>
            <c:strRef>
              <c:f>Sup_fig5_regional_data!$N$22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Sup_fig5_regional_data!$N$23:$N$36</c:f>
              <c:numCache>
                <c:formatCode>General</c:formatCode>
                <c:ptCount val="14"/>
                <c:pt idx="0">
                  <c:v>41.92457568999999</c:v>
                </c:pt>
                <c:pt idx="1">
                  <c:v>41.206847239999995</c:v>
                </c:pt>
                <c:pt idx="2">
                  <c:v>45.456920006488559</c:v>
                </c:pt>
                <c:pt idx="3">
                  <c:v>43.14007361747889</c:v>
                </c:pt>
                <c:pt idx="4">
                  <c:v>41.915525683516265</c:v>
                </c:pt>
                <c:pt idx="5">
                  <c:v>39.386552005989671</c:v>
                </c:pt>
                <c:pt idx="6">
                  <c:v>36.924207140845077</c:v>
                </c:pt>
                <c:pt idx="7">
                  <c:v>38.444870767975154</c:v>
                </c:pt>
                <c:pt idx="8">
                  <c:v>37.366113846156651</c:v>
                </c:pt>
                <c:pt idx="9">
                  <c:v>38.20006191843067</c:v>
                </c:pt>
                <c:pt idx="10">
                  <c:v>42.36046278724033</c:v>
                </c:pt>
                <c:pt idx="11">
                  <c:v>44.454305856646336</c:v>
                </c:pt>
                <c:pt idx="12">
                  <c:v>44.299151837687205</c:v>
                </c:pt>
                <c:pt idx="13">
                  <c:v>40.980490806306307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6-8D4D-8B4A-2910B5BFC840}"/>
            </c:ext>
          </c:extLst>
        </c:ser>
        <c:ser>
          <c:idx val="5"/>
          <c:order val="5"/>
          <c:tx>
            <c:strRef>
              <c:f>Sup_fig5_regional_data!$O$22</c:f>
              <c:strCache>
                <c:ptCount val="1"/>
                <c:pt idx="0">
                  <c:v>Latin America and Caribbean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Sup_fig5_regional_data!$O$23:$O$36</c:f>
              <c:numCache>
                <c:formatCode>General</c:formatCode>
                <c:ptCount val="14"/>
                <c:pt idx="0">
                  <c:v>4.7461783799999999</c:v>
                </c:pt>
                <c:pt idx="1">
                  <c:v>5.388587716</c:v>
                </c:pt>
                <c:pt idx="2">
                  <c:v>6.142827027903861</c:v>
                </c:pt>
                <c:pt idx="3">
                  <c:v>5.8248200664950396</c:v>
                </c:pt>
                <c:pt idx="4">
                  <c:v>5.1250424416526439</c:v>
                </c:pt>
                <c:pt idx="5">
                  <c:v>4.9014375829676036</c:v>
                </c:pt>
                <c:pt idx="6">
                  <c:v>5.0990571765928907</c:v>
                </c:pt>
                <c:pt idx="7">
                  <c:v>5.1752710649197322</c:v>
                </c:pt>
                <c:pt idx="8">
                  <c:v>5.4453130730580055</c:v>
                </c:pt>
                <c:pt idx="9">
                  <c:v>5.4571517026329515</c:v>
                </c:pt>
                <c:pt idx="10">
                  <c:v>5.7473994736456744</c:v>
                </c:pt>
                <c:pt idx="11">
                  <c:v>6.1926396218213791</c:v>
                </c:pt>
                <c:pt idx="12">
                  <c:v>6.2018812572762076</c:v>
                </c:pt>
                <c:pt idx="13">
                  <c:v>5.0548623020994556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A6-8D4D-8B4A-2910B5BFC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78431"/>
        <c:axId val="960184703"/>
      </c:areaChart>
      <c:catAx>
        <c:axId val="9600784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84703"/>
        <c:crosses val="autoZero"/>
        <c:auto val="1"/>
        <c:lblAlgn val="ctr"/>
        <c:lblOffset val="100"/>
        <c:noMultiLvlLbl val="0"/>
      </c:catAx>
      <c:valAx>
        <c:axId val="9601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7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Regional Freight Demand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Sup_fig5_regional_data!$B$22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Sup_fig5_regional_data!$B$23:$B$36</c:f>
              <c:numCache>
                <c:formatCode>General</c:formatCode>
                <c:ptCount val="14"/>
                <c:pt idx="0" formatCode="0.00">
                  <c:v>25.3</c:v>
                </c:pt>
                <c:pt idx="1">
                  <c:v>26.3</c:v>
                </c:pt>
                <c:pt idx="2">
                  <c:v>24.4</c:v>
                </c:pt>
                <c:pt idx="3">
                  <c:v>25.9</c:v>
                </c:pt>
                <c:pt idx="4">
                  <c:v>22.1</c:v>
                </c:pt>
                <c:pt idx="5">
                  <c:v>22.7</c:v>
                </c:pt>
                <c:pt idx="6">
                  <c:v>22.4</c:v>
                </c:pt>
                <c:pt idx="7">
                  <c:v>22.3</c:v>
                </c:pt>
                <c:pt idx="8">
                  <c:v>21.8</c:v>
                </c:pt>
                <c:pt idx="9">
                  <c:v>22.7</c:v>
                </c:pt>
                <c:pt idx="10">
                  <c:v>23.1</c:v>
                </c:pt>
                <c:pt idx="11">
                  <c:v>23.2</c:v>
                </c:pt>
                <c:pt idx="12">
                  <c:v>23.9</c:v>
                </c:pt>
                <c:pt idx="13">
                  <c:v>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B-3A45-B98D-60BEDD23F839}"/>
            </c:ext>
          </c:extLst>
        </c:ser>
        <c:ser>
          <c:idx val="1"/>
          <c:order val="1"/>
          <c:tx>
            <c:strRef>
              <c:f>Sup_fig5_regional_data!$C$22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Sup_fig5_regional_data!$C$23:$C$36</c:f>
              <c:numCache>
                <c:formatCode>General</c:formatCode>
                <c:ptCount val="14"/>
                <c:pt idx="0" formatCode="0.0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1.6</c:v>
                </c:pt>
                <c:pt idx="10">
                  <c:v>1.9</c:v>
                </c:pt>
                <c:pt idx="11">
                  <c:v>1.8</c:v>
                </c:pt>
                <c:pt idx="12">
                  <c:v>1.9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B-3A45-B98D-60BEDD23F839}"/>
            </c:ext>
          </c:extLst>
        </c:ser>
        <c:ser>
          <c:idx val="2"/>
          <c:order val="2"/>
          <c:tx>
            <c:strRef>
              <c:f>Sup_fig5_regional_data!$D$22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Sup_fig5_regional_data!$D$23:$D$36</c:f>
              <c:numCache>
                <c:formatCode>General</c:formatCode>
                <c:ptCount val="14"/>
                <c:pt idx="0" formatCode="0.00">
                  <c:v>6.8</c:v>
                </c:pt>
                <c:pt idx="1">
                  <c:v>7.1</c:v>
                </c:pt>
                <c:pt idx="2">
                  <c:v>8.8000000000000007</c:v>
                </c:pt>
                <c:pt idx="3">
                  <c:v>9.4</c:v>
                </c:pt>
                <c:pt idx="4">
                  <c:v>9.6</c:v>
                </c:pt>
                <c:pt idx="5">
                  <c:v>10.9</c:v>
                </c:pt>
                <c:pt idx="6">
                  <c:v>12.2</c:v>
                </c:pt>
                <c:pt idx="7">
                  <c:v>13.1</c:v>
                </c:pt>
                <c:pt idx="8">
                  <c:v>14.2</c:v>
                </c:pt>
                <c:pt idx="9">
                  <c:v>14.1</c:v>
                </c:pt>
                <c:pt idx="10">
                  <c:v>13.8</c:v>
                </c:pt>
                <c:pt idx="11">
                  <c:v>14.1</c:v>
                </c:pt>
                <c:pt idx="12">
                  <c:v>13.8</c:v>
                </c:pt>
                <c:pt idx="13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B-3A45-B98D-60BEDD23F839}"/>
            </c:ext>
          </c:extLst>
        </c:ser>
        <c:ser>
          <c:idx val="3"/>
          <c:order val="3"/>
          <c:tx>
            <c:strRef>
              <c:f>Sup_fig5_regional_data!$E$22</c:f>
              <c:strCache>
                <c:ptCount val="1"/>
                <c:pt idx="0">
                  <c:v>Asia and Pacific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Sup_fig5_regional_data!$E$23:$E$36</c:f>
              <c:numCache>
                <c:formatCode>General</c:formatCode>
                <c:ptCount val="14"/>
                <c:pt idx="0" formatCode="0.00">
                  <c:v>36.9</c:v>
                </c:pt>
                <c:pt idx="1">
                  <c:v>35.799999999999997</c:v>
                </c:pt>
                <c:pt idx="2">
                  <c:v>36.1</c:v>
                </c:pt>
                <c:pt idx="3">
                  <c:v>36.5</c:v>
                </c:pt>
                <c:pt idx="4">
                  <c:v>41.1</c:v>
                </c:pt>
                <c:pt idx="5">
                  <c:v>39.4</c:v>
                </c:pt>
                <c:pt idx="6">
                  <c:v>39.9</c:v>
                </c:pt>
                <c:pt idx="7">
                  <c:v>39.4</c:v>
                </c:pt>
                <c:pt idx="8">
                  <c:v>39.5</c:v>
                </c:pt>
                <c:pt idx="9">
                  <c:v>39.200000000000003</c:v>
                </c:pt>
                <c:pt idx="10">
                  <c:v>38.799999999999997</c:v>
                </c:pt>
                <c:pt idx="11">
                  <c:v>38</c:v>
                </c:pt>
                <c:pt idx="12">
                  <c:v>37.700000000000003</c:v>
                </c:pt>
                <c:pt idx="13">
                  <c:v>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FB-3A45-B98D-60BEDD23F839}"/>
            </c:ext>
          </c:extLst>
        </c:ser>
        <c:ser>
          <c:idx val="4"/>
          <c:order val="4"/>
          <c:tx>
            <c:strRef>
              <c:f>Sup_fig5_regional_data!$F$22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Sup_fig5_regional_data!$F$23:$F$36</c:f>
              <c:numCache>
                <c:formatCode>General</c:formatCode>
                <c:ptCount val="14"/>
                <c:pt idx="0" formatCode="0.00">
                  <c:v>26.5</c:v>
                </c:pt>
                <c:pt idx="1">
                  <c:v>26</c:v>
                </c:pt>
                <c:pt idx="2">
                  <c:v>25.9</c:v>
                </c:pt>
                <c:pt idx="3">
                  <c:v>23.7</c:v>
                </c:pt>
                <c:pt idx="4">
                  <c:v>22.9</c:v>
                </c:pt>
                <c:pt idx="5">
                  <c:v>22.5</c:v>
                </c:pt>
                <c:pt idx="6">
                  <c:v>21</c:v>
                </c:pt>
                <c:pt idx="7">
                  <c:v>20.8</c:v>
                </c:pt>
                <c:pt idx="8">
                  <c:v>19.899999999999999</c:v>
                </c:pt>
                <c:pt idx="9">
                  <c:v>19.600000000000001</c:v>
                </c:pt>
                <c:pt idx="10">
                  <c:v>19.899999999999999</c:v>
                </c:pt>
                <c:pt idx="11">
                  <c:v>20.100000000000001</c:v>
                </c:pt>
                <c:pt idx="12">
                  <c:v>20</c:v>
                </c:pt>
                <c:pt idx="13">
                  <c:v>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B-3A45-B98D-60BEDD23F839}"/>
            </c:ext>
          </c:extLst>
        </c:ser>
        <c:ser>
          <c:idx val="5"/>
          <c:order val="5"/>
          <c:tx>
            <c:strRef>
              <c:f>Sup_fig5_regional_data!$G$22</c:f>
              <c:strCache>
                <c:ptCount val="1"/>
                <c:pt idx="0">
                  <c:v>Latin America and Caribbean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Sup_fig5_regional_data!$G$23:$G$36</c:f>
              <c:numCache>
                <c:formatCode>General</c:formatCode>
                <c:ptCount val="14"/>
                <c:pt idx="0" formatCode="0.00">
                  <c:v>3</c:v>
                </c:pt>
                <c:pt idx="1">
                  <c:v>3.4</c:v>
                </c:pt>
                <c:pt idx="2">
                  <c:v>3.5</c:v>
                </c:pt>
                <c:pt idx="3">
                  <c:v>3.2</c:v>
                </c:pt>
                <c:pt idx="4">
                  <c:v>2.8</c:v>
                </c:pt>
                <c:pt idx="5">
                  <c:v>2.8</c:v>
                </c:pt>
                <c:pt idx="6">
                  <c:v>2.9</c:v>
                </c:pt>
                <c:pt idx="7">
                  <c:v>2.8</c:v>
                </c:pt>
                <c:pt idx="8">
                  <c:v>2.9</c:v>
                </c:pt>
                <c:pt idx="9">
                  <c:v>2.8</c:v>
                </c:pt>
                <c:pt idx="10">
                  <c:v>2.7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FB-3A45-B98D-60BEDD23F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05551"/>
        <c:axId val="909875951"/>
      </c:areaChart>
      <c:catAx>
        <c:axId val="928305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75951"/>
        <c:crosses val="autoZero"/>
        <c:auto val="1"/>
        <c:lblAlgn val="ctr"/>
        <c:lblOffset val="100"/>
        <c:noMultiLvlLbl val="0"/>
      </c:catAx>
      <c:valAx>
        <c:axId val="9098759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0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Regional Freight Demand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Sup_fig5_regional_data!$J$22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Sup_fig5_regional_data!$J$23:$J$36</c:f>
              <c:numCache>
                <c:formatCode>General</c:formatCode>
                <c:ptCount val="14"/>
                <c:pt idx="0">
                  <c:v>40.026104337999996</c:v>
                </c:pt>
                <c:pt idx="1">
                  <c:v>41.682310862000001</c:v>
                </c:pt>
                <c:pt idx="2">
                  <c:v>42.824279851672628</c:v>
                </c:pt>
                <c:pt idx="3">
                  <c:v>47.144637413194225</c:v>
                </c:pt>
                <c:pt idx="4">
                  <c:v>40.451227843044087</c:v>
                </c:pt>
                <c:pt idx="5">
                  <c:v>39.736654690487356</c:v>
                </c:pt>
                <c:pt idx="6">
                  <c:v>39.385820950234745</c:v>
                </c:pt>
                <c:pt idx="7">
                  <c:v>41.217337409896437</c:v>
                </c:pt>
                <c:pt idx="8">
                  <c:v>40.93373275609121</c:v>
                </c:pt>
                <c:pt idx="9">
                  <c:v>44.241908446345718</c:v>
                </c:pt>
                <c:pt idx="10">
                  <c:v>49.172195496746326</c:v>
                </c:pt>
                <c:pt idx="11">
                  <c:v>51.31044258080572</c:v>
                </c:pt>
                <c:pt idx="12">
                  <c:v>52.937486446036203</c:v>
                </c:pt>
                <c:pt idx="13">
                  <c:v>40.438898416795645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540-B499-BBF5E374D711}"/>
            </c:ext>
          </c:extLst>
        </c:ser>
        <c:ser>
          <c:idx val="1"/>
          <c:order val="1"/>
          <c:tx>
            <c:strRef>
              <c:f>Sup_fig5_regional_data!$K$22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Sup_fig5_regional_data!$K$23:$K$36</c:f>
              <c:numCache>
                <c:formatCode>General</c:formatCode>
                <c:ptCount val="14"/>
                <c:pt idx="0">
                  <c:v>2.2148832439999997</c:v>
                </c:pt>
                <c:pt idx="1">
                  <c:v>2.2188302360000001</c:v>
                </c:pt>
                <c:pt idx="2">
                  <c:v>2.457130811161544</c:v>
                </c:pt>
                <c:pt idx="3">
                  <c:v>2.3663331520136102</c:v>
                </c:pt>
                <c:pt idx="4">
                  <c:v>2.745558450885345</c:v>
                </c:pt>
                <c:pt idx="5">
                  <c:v>2.9758728182303309</c:v>
                </c:pt>
                <c:pt idx="6">
                  <c:v>2.9891024828303152</c:v>
                </c:pt>
                <c:pt idx="7">
                  <c:v>3.1421288608441227</c:v>
                </c:pt>
                <c:pt idx="8">
                  <c:v>3.1920800773098654</c:v>
                </c:pt>
                <c:pt idx="9">
                  <c:v>3.1183724015045442</c:v>
                </c:pt>
                <c:pt idx="10">
                  <c:v>4.0444662962691771</c:v>
                </c:pt>
                <c:pt idx="11">
                  <c:v>3.9809826140280302</c:v>
                </c:pt>
                <c:pt idx="12">
                  <c:v>4.208419424580284</c:v>
                </c:pt>
                <c:pt idx="13">
                  <c:v>3.6106159300710403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540-B499-BBF5E374D711}"/>
            </c:ext>
          </c:extLst>
        </c:ser>
        <c:ser>
          <c:idx val="2"/>
          <c:order val="2"/>
          <c:tx>
            <c:strRef>
              <c:f>Sup_fig5_regional_data!$L$22</c:f>
              <c:strCache>
                <c:ptCount val="1"/>
                <c:pt idx="0">
                  <c:v>Middle East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Sup_fig5_regional_data!$L$23:$L$36</c:f>
              <c:numCache>
                <c:formatCode>General</c:formatCode>
                <c:ptCount val="14"/>
                <c:pt idx="0">
                  <c:v>10.758004328</c:v>
                </c:pt>
                <c:pt idx="1">
                  <c:v>11.252639053999999</c:v>
                </c:pt>
                <c:pt idx="2">
                  <c:v>15.44482224158685</c:v>
                </c:pt>
                <c:pt idx="3">
                  <c:v>17.110408945329183</c:v>
                </c:pt>
                <c:pt idx="4">
                  <c:v>17.571574085666207</c:v>
                </c:pt>
                <c:pt idx="5">
                  <c:v>19.080596305123887</c:v>
                </c:pt>
                <c:pt idx="6">
                  <c:v>21.451206053252854</c:v>
                </c:pt>
                <c:pt idx="7">
                  <c:v>24.21287533944589</c:v>
                </c:pt>
                <c:pt idx="8">
                  <c:v>26.663257116352995</c:v>
                </c:pt>
                <c:pt idx="9">
                  <c:v>27.480656788258795</c:v>
                </c:pt>
                <c:pt idx="10">
                  <c:v>29.375597309744556</c:v>
                </c:pt>
                <c:pt idx="11">
                  <c:v>31.184363809886236</c:v>
                </c:pt>
                <c:pt idx="12">
                  <c:v>30.566414768004169</c:v>
                </c:pt>
                <c:pt idx="13">
                  <c:v>26.357496289518593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540-B499-BBF5E374D711}"/>
            </c:ext>
          </c:extLst>
        </c:ser>
        <c:ser>
          <c:idx val="3"/>
          <c:order val="3"/>
          <c:tx>
            <c:strRef>
              <c:f>Sup_fig5_regional_data!$M$22</c:f>
              <c:strCache>
                <c:ptCount val="1"/>
                <c:pt idx="0">
                  <c:v>Asia and Pacific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Sup_fig5_regional_data!$M$23:$M$36</c:f>
              <c:numCache>
                <c:formatCode>General</c:formatCode>
                <c:ptCount val="14"/>
                <c:pt idx="0">
                  <c:v>58.377994073999986</c:v>
                </c:pt>
                <c:pt idx="1">
                  <c:v>56.738658891999997</c:v>
                </c:pt>
                <c:pt idx="2">
                  <c:v>63.35887305923697</c:v>
                </c:pt>
                <c:pt idx="3">
                  <c:v>66.439353883459049</c:v>
                </c:pt>
                <c:pt idx="4">
                  <c:v>75.228301554258451</c:v>
                </c:pt>
                <c:pt idx="5">
                  <c:v>68.970228846044137</c:v>
                </c:pt>
                <c:pt idx="6">
                  <c:v>70.155993567605634</c:v>
                </c:pt>
                <c:pt idx="7">
                  <c:v>72.823457127799088</c:v>
                </c:pt>
                <c:pt idx="8">
                  <c:v>74.168919443376282</c:v>
                </c:pt>
                <c:pt idx="9">
                  <c:v>76.40012383686134</c:v>
                </c:pt>
                <c:pt idx="10">
                  <c:v>82.592259102760053</c:v>
                </c:pt>
                <c:pt idx="11">
                  <c:v>84.042966296147299</c:v>
                </c:pt>
                <c:pt idx="12">
                  <c:v>83.503901214040383</c:v>
                </c:pt>
                <c:pt idx="13">
                  <c:v>64.088432758760959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9F-4540-B499-BBF5E374D711}"/>
            </c:ext>
          </c:extLst>
        </c:ser>
        <c:ser>
          <c:idx val="4"/>
          <c:order val="4"/>
          <c:tx>
            <c:strRef>
              <c:f>Sup_fig5_regional_data!$N$22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Sup_fig5_regional_data!$N$23:$N$36</c:f>
              <c:numCache>
                <c:formatCode>General</c:formatCode>
                <c:ptCount val="14"/>
                <c:pt idx="0">
                  <c:v>41.92457568999999</c:v>
                </c:pt>
                <c:pt idx="1">
                  <c:v>41.206847239999995</c:v>
                </c:pt>
                <c:pt idx="2">
                  <c:v>45.456920006488559</c:v>
                </c:pt>
                <c:pt idx="3">
                  <c:v>43.14007361747889</c:v>
                </c:pt>
                <c:pt idx="4">
                  <c:v>41.915525683516265</c:v>
                </c:pt>
                <c:pt idx="5">
                  <c:v>39.386552005989671</c:v>
                </c:pt>
                <c:pt idx="6">
                  <c:v>36.924207140845077</c:v>
                </c:pt>
                <c:pt idx="7">
                  <c:v>38.444870767975154</c:v>
                </c:pt>
                <c:pt idx="8">
                  <c:v>37.366113846156651</c:v>
                </c:pt>
                <c:pt idx="9">
                  <c:v>38.20006191843067</c:v>
                </c:pt>
                <c:pt idx="10">
                  <c:v>42.36046278724033</c:v>
                </c:pt>
                <c:pt idx="11">
                  <c:v>44.454305856646336</c:v>
                </c:pt>
                <c:pt idx="12">
                  <c:v>44.299151837687205</c:v>
                </c:pt>
                <c:pt idx="13">
                  <c:v>40.980490806306307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9F-4540-B499-BBF5E374D711}"/>
            </c:ext>
          </c:extLst>
        </c:ser>
        <c:ser>
          <c:idx val="5"/>
          <c:order val="5"/>
          <c:tx>
            <c:strRef>
              <c:f>Sup_fig5_regional_data!$O$22</c:f>
              <c:strCache>
                <c:ptCount val="1"/>
                <c:pt idx="0">
                  <c:v>Latin America and Caribbean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Sup_fig5_regional_data!$O$23:$O$36</c:f>
              <c:numCache>
                <c:formatCode>General</c:formatCode>
                <c:ptCount val="14"/>
                <c:pt idx="0">
                  <c:v>4.7461783799999999</c:v>
                </c:pt>
                <c:pt idx="1">
                  <c:v>5.388587716</c:v>
                </c:pt>
                <c:pt idx="2">
                  <c:v>6.142827027903861</c:v>
                </c:pt>
                <c:pt idx="3">
                  <c:v>5.8248200664950396</c:v>
                </c:pt>
                <c:pt idx="4">
                  <c:v>5.1250424416526439</c:v>
                </c:pt>
                <c:pt idx="5">
                  <c:v>4.9014375829676036</c:v>
                </c:pt>
                <c:pt idx="6">
                  <c:v>5.0990571765928907</c:v>
                </c:pt>
                <c:pt idx="7">
                  <c:v>5.1752710649197322</c:v>
                </c:pt>
                <c:pt idx="8">
                  <c:v>5.4453130730580055</c:v>
                </c:pt>
                <c:pt idx="9">
                  <c:v>5.4571517026329515</c:v>
                </c:pt>
                <c:pt idx="10">
                  <c:v>5.7473994736456744</c:v>
                </c:pt>
                <c:pt idx="11">
                  <c:v>6.1926396218213791</c:v>
                </c:pt>
                <c:pt idx="12">
                  <c:v>6.2018812572762076</c:v>
                </c:pt>
                <c:pt idx="13">
                  <c:v>5.0548623020994556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9F-4540-B499-BBF5E374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90559"/>
        <c:axId val="904745855"/>
      </c:lineChart>
      <c:catAx>
        <c:axId val="48329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5855"/>
        <c:crosses val="autoZero"/>
        <c:auto val="1"/>
        <c:lblAlgn val="ctr"/>
        <c:lblOffset val="100"/>
        <c:noMultiLvlLbl val="0"/>
      </c:catAx>
      <c:valAx>
        <c:axId val="9047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9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Fig1_future_Kaya!$J$3</c:f>
              <c:strCache>
                <c:ptCount val="1"/>
                <c:pt idx="0">
                  <c:v>Business-as-usual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Fig1_future_Kaya!$AA$4:$AA$64</c:f>
              <c:numCache>
                <c:formatCode>0.0</c:formatCode>
                <c:ptCount val="61"/>
                <c:pt idx="0">
                  <c:v>73.663445285841036</c:v>
                </c:pt>
                <c:pt idx="1">
                  <c:v>73.757510617937001</c:v>
                </c:pt>
                <c:pt idx="2">
                  <c:v>74.042802945552381</c:v>
                </c:pt>
                <c:pt idx="3">
                  <c:v>73.951458863887026</c:v>
                </c:pt>
                <c:pt idx="4">
                  <c:v>73.798440197739637</c:v>
                </c:pt>
                <c:pt idx="5">
                  <c:v>73.809912666544022</c:v>
                </c:pt>
                <c:pt idx="6">
                  <c:v>74.074730318178581</c:v>
                </c:pt>
                <c:pt idx="7">
                  <c:v>73.912331052351661</c:v>
                </c:pt>
                <c:pt idx="8">
                  <c:v>73.670058045135335</c:v>
                </c:pt>
                <c:pt idx="9">
                  <c:v>73.598283739851198</c:v>
                </c:pt>
                <c:pt idx="10">
                  <c:v>73.943957443594542</c:v>
                </c:pt>
                <c:pt idx="11">
                  <c:v>73.758629365942866</c:v>
                </c:pt>
                <c:pt idx="12">
                  <c:v>73.83356424941698</c:v>
                </c:pt>
                <c:pt idx="13">
                  <c:v>73.790016138925623</c:v>
                </c:pt>
                <c:pt idx="14">
                  <c:v>73.837661140845782</c:v>
                </c:pt>
                <c:pt idx="15">
                  <c:v>73.552320668954806</c:v>
                </c:pt>
                <c:pt idx="16">
                  <c:v>73.602091908430879</c:v>
                </c:pt>
                <c:pt idx="17">
                  <c:v>73.486396590211797</c:v>
                </c:pt>
                <c:pt idx="18">
                  <c:v>73.684798554878967</c:v>
                </c:pt>
                <c:pt idx="19">
                  <c:v>73.434342448546602</c:v>
                </c:pt>
                <c:pt idx="20">
                  <c:v>73.398560167234578</c:v>
                </c:pt>
                <c:pt idx="21">
                  <c:v>73.680586792704219</c:v>
                </c:pt>
                <c:pt idx="22">
                  <c:v>74.03758042066903</c:v>
                </c:pt>
                <c:pt idx="23">
                  <c:v>73.524120588176501</c:v>
                </c:pt>
                <c:pt idx="24">
                  <c:v>73.594038855258134</c:v>
                </c:pt>
                <c:pt idx="25">
                  <c:v>73.596412506656279</c:v>
                </c:pt>
                <c:pt idx="26">
                  <c:v>73.846521624054589</c:v>
                </c:pt>
                <c:pt idx="27">
                  <c:v>73.615946601924435</c:v>
                </c:pt>
                <c:pt idx="28">
                  <c:v>73.186926256064055</c:v>
                </c:pt>
                <c:pt idx="29">
                  <c:v>73.467742947764577</c:v>
                </c:pt>
                <c:pt idx="30">
                  <c:v>73.467742947764592</c:v>
                </c:pt>
                <c:pt idx="31">
                  <c:v>73.467742947764563</c:v>
                </c:pt>
                <c:pt idx="32">
                  <c:v>73.467742947764563</c:v>
                </c:pt>
                <c:pt idx="33">
                  <c:v>73.467742947764563</c:v>
                </c:pt>
                <c:pt idx="34">
                  <c:v>73.467742947764563</c:v>
                </c:pt>
                <c:pt idx="35">
                  <c:v>73.467742947764563</c:v>
                </c:pt>
                <c:pt idx="36">
                  <c:v>73.467742947764563</c:v>
                </c:pt>
                <c:pt idx="37">
                  <c:v>73.467742947764563</c:v>
                </c:pt>
                <c:pt idx="38">
                  <c:v>73.467742947764563</c:v>
                </c:pt>
                <c:pt idx="39">
                  <c:v>73.467742947764563</c:v>
                </c:pt>
                <c:pt idx="40">
                  <c:v>73.467742947764563</c:v>
                </c:pt>
                <c:pt idx="41">
                  <c:v>73.467742947764563</c:v>
                </c:pt>
                <c:pt idx="42">
                  <c:v>73.467742947764563</c:v>
                </c:pt>
                <c:pt idx="43">
                  <c:v>73.467742947764563</c:v>
                </c:pt>
                <c:pt idx="44">
                  <c:v>73.467742947764563</c:v>
                </c:pt>
                <c:pt idx="45">
                  <c:v>73.467742947764563</c:v>
                </c:pt>
                <c:pt idx="46">
                  <c:v>73.467742947764563</c:v>
                </c:pt>
                <c:pt idx="47">
                  <c:v>73.467742947764563</c:v>
                </c:pt>
                <c:pt idx="48">
                  <c:v>73.467742947764563</c:v>
                </c:pt>
                <c:pt idx="49">
                  <c:v>73.467742947764563</c:v>
                </c:pt>
                <c:pt idx="50">
                  <c:v>73.467742947764563</c:v>
                </c:pt>
                <c:pt idx="51">
                  <c:v>73.467742947764563</c:v>
                </c:pt>
                <c:pt idx="52">
                  <c:v>73.467742947764563</c:v>
                </c:pt>
                <c:pt idx="53">
                  <c:v>73.467742947764563</c:v>
                </c:pt>
                <c:pt idx="54">
                  <c:v>73.467742947764563</c:v>
                </c:pt>
                <c:pt idx="55">
                  <c:v>73.467742947764563</c:v>
                </c:pt>
                <c:pt idx="56">
                  <c:v>73.467742947764563</c:v>
                </c:pt>
                <c:pt idx="57">
                  <c:v>73.467742947764563</c:v>
                </c:pt>
                <c:pt idx="58">
                  <c:v>73.467742947764563</c:v>
                </c:pt>
                <c:pt idx="59">
                  <c:v>73.467742947764563</c:v>
                </c:pt>
                <c:pt idx="60">
                  <c:v>73.467742947764563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A-7340-B280-8E9BDA7455F4}"/>
            </c:ext>
          </c:extLst>
        </c:ser>
        <c:ser>
          <c:idx val="1"/>
          <c:order val="1"/>
          <c:tx>
            <c:strRef>
              <c:f>Fig1_future_Kaya!$K$3</c:f>
              <c:strCache>
                <c:ptCount val="1"/>
                <c:pt idx="0">
                  <c:v>Industry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Fig1_future_Kaya!$AB$4:$AB$64</c:f>
              <c:numCache>
                <c:formatCode>0.0</c:formatCode>
                <c:ptCount val="61"/>
                <c:pt idx="0">
                  <c:v>73.663445285841036</c:v>
                </c:pt>
                <c:pt idx="1">
                  <c:v>73.757510617937001</c:v>
                </c:pt>
                <c:pt idx="2">
                  <c:v>74.042802945552381</c:v>
                </c:pt>
                <c:pt idx="3">
                  <c:v>73.951458863887026</c:v>
                </c:pt>
                <c:pt idx="4">
                  <c:v>73.798440197739637</c:v>
                </c:pt>
                <c:pt idx="5">
                  <c:v>73.809912666544022</c:v>
                </c:pt>
                <c:pt idx="6">
                  <c:v>74.074730318178581</c:v>
                </c:pt>
                <c:pt idx="7">
                  <c:v>73.912331052351661</c:v>
                </c:pt>
                <c:pt idx="8">
                  <c:v>73.670058045135335</c:v>
                </c:pt>
                <c:pt idx="9">
                  <c:v>73.598283739851198</c:v>
                </c:pt>
                <c:pt idx="10">
                  <c:v>73.943957443594542</c:v>
                </c:pt>
                <c:pt idx="11">
                  <c:v>73.758629365942866</c:v>
                </c:pt>
                <c:pt idx="12">
                  <c:v>73.83356424941698</c:v>
                </c:pt>
                <c:pt idx="13">
                  <c:v>73.790016138925623</c:v>
                </c:pt>
                <c:pt idx="14">
                  <c:v>73.837661140845782</c:v>
                </c:pt>
                <c:pt idx="15">
                  <c:v>73.552320668954806</c:v>
                </c:pt>
                <c:pt idx="16">
                  <c:v>73.602091908430879</c:v>
                </c:pt>
                <c:pt idx="17">
                  <c:v>73.486396590211797</c:v>
                </c:pt>
                <c:pt idx="18">
                  <c:v>73.684798554878967</c:v>
                </c:pt>
                <c:pt idx="19">
                  <c:v>73.434342448546602</c:v>
                </c:pt>
                <c:pt idx="20">
                  <c:v>73.398560167234578</c:v>
                </c:pt>
                <c:pt idx="21">
                  <c:v>73.680586792704219</c:v>
                </c:pt>
                <c:pt idx="22">
                  <c:v>74.03758042066903</c:v>
                </c:pt>
                <c:pt idx="23">
                  <c:v>73.524120588176501</c:v>
                </c:pt>
                <c:pt idx="24">
                  <c:v>73.594038855258134</c:v>
                </c:pt>
                <c:pt idx="25">
                  <c:v>73.596412506656279</c:v>
                </c:pt>
                <c:pt idx="26">
                  <c:v>73.846521624054589</c:v>
                </c:pt>
                <c:pt idx="27">
                  <c:v>73.615946601924435</c:v>
                </c:pt>
                <c:pt idx="28">
                  <c:v>73.186926256064055</c:v>
                </c:pt>
                <c:pt idx="29">
                  <c:v>73.467742947764577</c:v>
                </c:pt>
                <c:pt idx="30">
                  <c:v>73.467742947764592</c:v>
                </c:pt>
                <c:pt idx="31">
                  <c:v>73.467742947764563</c:v>
                </c:pt>
                <c:pt idx="32">
                  <c:v>73.467742947764563</c:v>
                </c:pt>
                <c:pt idx="33">
                  <c:v>72.977957994779473</c:v>
                </c:pt>
                <c:pt idx="34">
                  <c:v>72.488173041794369</c:v>
                </c:pt>
                <c:pt idx="35">
                  <c:v>71.804280434521843</c:v>
                </c:pt>
                <c:pt idx="36">
                  <c:v>71.14251450901655</c:v>
                </c:pt>
                <c:pt idx="37">
                  <c:v>70.483283867159102</c:v>
                </c:pt>
                <c:pt idx="38">
                  <c:v>69.826588508949484</c:v>
                </c:pt>
                <c:pt idx="39">
                  <c:v>69.172428434387712</c:v>
                </c:pt>
                <c:pt idx="40">
                  <c:v>68.520803643473755</c:v>
                </c:pt>
                <c:pt idx="41">
                  <c:v>66.631916469318554</c:v>
                </c:pt>
                <c:pt idx="42">
                  <c:v>64.752378153614757</c:v>
                </c:pt>
                <c:pt idx="43">
                  <c:v>62.882188696362334</c:v>
                </c:pt>
                <c:pt idx="44">
                  <c:v>61.021348097561315</c:v>
                </c:pt>
                <c:pt idx="45">
                  <c:v>59.1698563572117</c:v>
                </c:pt>
                <c:pt idx="46">
                  <c:v>55.877458818943936</c:v>
                </c:pt>
                <c:pt idx="47">
                  <c:v>52.602491355755035</c:v>
                </c:pt>
                <c:pt idx="48">
                  <c:v>49.344953967645012</c:v>
                </c:pt>
                <c:pt idx="49">
                  <c:v>46.104846654613866</c:v>
                </c:pt>
                <c:pt idx="50">
                  <c:v>42.882169416661576</c:v>
                </c:pt>
                <c:pt idx="51">
                  <c:v>40.658330224729916</c:v>
                </c:pt>
                <c:pt idx="52">
                  <c:v>38.44637517489749</c:v>
                </c:pt>
                <c:pt idx="53">
                  <c:v>36.246304267164291</c:v>
                </c:pt>
                <c:pt idx="54">
                  <c:v>34.058117501530333</c:v>
                </c:pt>
                <c:pt idx="55">
                  <c:v>31.881814877995602</c:v>
                </c:pt>
                <c:pt idx="56">
                  <c:v>30.27027818998447</c:v>
                </c:pt>
                <c:pt idx="57">
                  <c:v>28.667456539512777</c:v>
                </c:pt>
                <c:pt idx="58">
                  <c:v>27.073349926580519</c:v>
                </c:pt>
                <c:pt idx="59">
                  <c:v>25.4879583511877</c:v>
                </c:pt>
                <c:pt idx="60">
                  <c:v>23.91128181333432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A-7340-B280-8E9BDA7455F4}"/>
            </c:ext>
          </c:extLst>
        </c:ser>
        <c:ser>
          <c:idx val="2"/>
          <c:order val="2"/>
          <c:tx>
            <c:strRef>
              <c:f>Fig1_future_Kaya!$L$3</c:f>
              <c:strCache>
                <c:ptCount val="1"/>
                <c:pt idx="0">
                  <c:v>Ambitious Projections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Fig1_future_Kaya!$AC$4:$AC$64</c:f>
              <c:numCache>
                <c:formatCode>0.0</c:formatCode>
                <c:ptCount val="61"/>
                <c:pt idx="0">
                  <c:v>73.663445285841036</c:v>
                </c:pt>
                <c:pt idx="1">
                  <c:v>73.757510617937001</c:v>
                </c:pt>
                <c:pt idx="2">
                  <c:v>74.042802945552381</c:v>
                </c:pt>
                <c:pt idx="3">
                  <c:v>73.951458863887026</c:v>
                </c:pt>
                <c:pt idx="4">
                  <c:v>73.798440197739637</c:v>
                </c:pt>
                <c:pt idx="5">
                  <c:v>73.809912666544022</c:v>
                </c:pt>
                <c:pt idx="6">
                  <c:v>74.074730318178581</c:v>
                </c:pt>
                <c:pt idx="7">
                  <c:v>73.912331052351661</c:v>
                </c:pt>
                <c:pt idx="8">
                  <c:v>73.670058045135335</c:v>
                </c:pt>
                <c:pt idx="9">
                  <c:v>73.598283739851198</c:v>
                </c:pt>
                <c:pt idx="10">
                  <c:v>73.943957443594542</c:v>
                </c:pt>
                <c:pt idx="11">
                  <c:v>73.758629365942866</c:v>
                </c:pt>
                <c:pt idx="12">
                  <c:v>73.83356424941698</c:v>
                </c:pt>
                <c:pt idx="13">
                  <c:v>73.790016138925623</c:v>
                </c:pt>
                <c:pt idx="14">
                  <c:v>73.837661140845782</c:v>
                </c:pt>
                <c:pt idx="15">
                  <c:v>73.552320668954806</c:v>
                </c:pt>
                <c:pt idx="16">
                  <c:v>73.602091908430879</c:v>
                </c:pt>
                <c:pt idx="17">
                  <c:v>73.486396590211797</c:v>
                </c:pt>
                <c:pt idx="18">
                  <c:v>73.684798554878967</c:v>
                </c:pt>
                <c:pt idx="19">
                  <c:v>73.434342448546602</c:v>
                </c:pt>
                <c:pt idx="20">
                  <c:v>73.398560167234578</c:v>
                </c:pt>
                <c:pt idx="21">
                  <c:v>73.680586792704219</c:v>
                </c:pt>
                <c:pt idx="22">
                  <c:v>74.03758042066903</c:v>
                </c:pt>
                <c:pt idx="23">
                  <c:v>73.524120588176501</c:v>
                </c:pt>
                <c:pt idx="24">
                  <c:v>73.594038855258134</c:v>
                </c:pt>
                <c:pt idx="25">
                  <c:v>73.596412506656279</c:v>
                </c:pt>
                <c:pt idx="26">
                  <c:v>73.846521624054589</c:v>
                </c:pt>
                <c:pt idx="27">
                  <c:v>73.615946601924435</c:v>
                </c:pt>
                <c:pt idx="28">
                  <c:v>73.186926256064055</c:v>
                </c:pt>
                <c:pt idx="29">
                  <c:v>73.467742947764577</c:v>
                </c:pt>
                <c:pt idx="30">
                  <c:v>73.467742947764592</c:v>
                </c:pt>
                <c:pt idx="31">
                  <c:v>73.467742947764563</c:v>
                </c:pt>
                <c:pt idx="32">
                  <c:v>73.467742947764563</c:v>
                </c:pt>
                <c:pt idx="33">
                  <c:v>70.843894985344406</c:v>
                </c:pt>
                <c:pt idx="34">
                  <c:v>68.220047022924234</c:v>
                </c:pt>
                <c:pt idx="35">
                  <c:v>64.916016934861304</c:v>
                </c:pt>
                <c:pt idx="36">
                  <c:v>61.666401416849808</c:v>
                </c:pt>
                <c:pt idx="37">
                  <c:v>58.471200468889712</c:v>
                </c:pt>
                <c:pt idx="38">
                  <c:v>55.330414090981058</c:v>
                </c:pt>
                <c:pt idx="39">
                  <c:v>52.244042283123811</c:v>
                </c:pt>
                <c:pt idx="40">
                  <c:v>49.212085045317991</c:v>
                </c:pt>
                <c:pt idx="41">
                  <c:v>46.234542377563585</c:v>
                </c:pt>
                <c:pt idx="42">
                  <c:v>43.311414279860614</c:v>
                </c:pt>
                <c:pt idx="43">
                  <c:v>40.442700752209049</c:v>
                </c:pt>
                <c:pt idx="44">
                  <c:v>37.628401794608919</c:v>
                </c:pt>
                <c:pt idx="45">
                  <c:v>34.868517407060203</c:v>
                </c:pt>
                <c:pt idx="46">
                  <c:v>32.163047589562915</c:v>
                </c:pt>
                <c:pt idx="47">
                  <c:v>29.511992342117033</c:v>
                </c:pt>
                <c:pt idx="48">
                  <c:v>26.915351664722582</c:v>
                </c:pt>
                <c:pt idx="49">
                  <c:v>24.373125557379552</c:v>
                </c:pt>
                <c:pt idx="50">
                  <c:v>21.885314020087947</c:v>
                </c:pt>
                <c:pt idx="51">
                  <c:v>19.451917052847755</c:v>
                </c:pt>
                <c:pt idx="52">
                  <c:v>17.07293465565899</c:v>
                </c:pt>
                <c:pt idx="53">
                  <c:v>14.748366828521643</c:v>
                </c:pt>
                <c:pt idx="54">
                  <c:v>12.47821357143572</c:v>
                </c:pt>
                <c:pt idx="55">
                  <c:v>10.262474884401215</c:v>
                </c:pt>
                <c:pt idx="56">
                  <c:v>8.1011507674181349</c:v>
                </c:pt>
                <c:pt idx="57">
                  <c:v>5.9942412204864741</c:v>
                </c:pt>
                <c:pt idx="58">
                  <c:v>3.9417462436062336</c:v>
                </c:pt>
                <c:pt idx="59">
                  <c:v>1.9436658367774151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A-7340-B280-8E9BDA7455F4}"/>
            </c:ext>
          </c:extLst>
        </c:ser>
        <c:ser>
          <c:idx val="3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Fig1_future_Kaya!$AA$4:$AA$35</c:f>
              <c:numCache>
                <c:formatCode>0.0</c:formatCode>
                <c:ptCount val="32"/>
                <c:pt idx="0">
                  <c:v>73.663445285841036</c:v>
                </c:pt>
                <c:pt idx="1">
                  <c:v>73.757510617937001</c:v>
                </c:pt>
                <c:pt idx="2">
                  <c:v>74.042802945552381</c:v>
                </c:pt>
                <c:pt idx="3">
                  <c:v>73.951458863887026</c:v>
                </c:pt>
                <c:pt idx="4">
                  <c:v>73.798440197739637</c:v>
                </c:pt>
                <c:pt idx="5">
                  <c:v>73.809912666544022</c:v>
                </c:pt>
                <c:pt idx="6">
                  <c:v>74.074730318178581</c:v>
                </c:pt>
                <c:pt idx="7">
                  <c:v>73.912331052351661</c:v>
                </c:pt>
                <c:pt idx="8">
                  <c:v>73.670058045135335</c:v>
                </c:pt>
                <c:pt idx="9">
                  <c:v>73.598283739851198</c:v>
                </c:pt>
                <c:pt idx="10">
                  <c:v>73.943957443594542</c:v>
                </c:pt>
                <c:pt idx="11">
                  <c:v>73.758629365942866</c:v>
                </c:pt>
                <c:pt idx="12">
                  <c:v>73.83356424941698</c:v>
                </c:pt>
                <c:pt idx="13">
                  <c:v>73.790016138925623</c:v>
                </c:pt>
                <c:pt idx="14">
                  <c:v>73.837661140845782</c:v>
                </c:pt>
                <c:pt idx="15">
                  <c:v>73.552320668954806</c:v>
                </c:pt>
                <c:pt idx="16">
                  <c:v>73.602091908430879</c:v>
                </c:pt>
                <c:pt idx="17">
                  <c:v>73.486396590211797</c:v>
                </c:pt>
                <c:pt idx="18">
                  <c:v>73.684798554878967</c:v>
                </c:pt>
                <c:pt idx="19">
                  <c:v>73.434342448546602</c:v>
                </c:pt>
                <c:pt idx="20">
                  <c:v>73.398560167234578</c:v>
                </c:pt>
                <c:pt idx="21">
                  <c:v>73.680586792704219</c:v>
                </c:pt>
                <c:pt idx="22">
                  <c:v>74.03758042066903</c:v>
                </c:pt>
                <c:pt idx="23">
                  <c:v>73.524120588176501</c:v>
                </c:pt>
                <c:pt idx="24">
                  <c:v>73.594038855258134</c:v>
                </c:pt>
                <c:pt idx="25">
                  <c:v>73.596412506656279</c:v>
                </c:pt>
                <c:pt idx="26">
                  <c:v>73.846521624054589</c:v>
                </c:pt>
                <c:pt idx="27">
                  <c:v>73.615946601924435</c:v>
                </c:pt>
                <c:pt idx="28">
                  <c:v>73.186926256064055</c:v>
                </c:pt>
                <c:pt idx="29">
                  <c:v>73.467742947764577</c:v>
                </c:pt>
                <c:pt idx="30">
                  <c:v>73.467742947764592</c:v>
                </c:pt>
                <c:pt idx="31">
                  <c:v>73.467742947764563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DA-7340-B280-8E9BDA74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877136"/>
        <c:axId val="687934176"/>
      </c:lineChart>
      <c:catAx>
        <c:axId val="5298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34176"/>
        <c:crosses val="autoZero"/>
        <c:auto val="1"/>
        <c:lblAlgn val="ctr"/>
        <c:lblOffset val="100"/>
        <c:noMultiLvlLbl val="0"/>
      </c:catAx>
      <c:valAx>
        <c:axId val="6879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2019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66-9E41-85EF-43EE0495D6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66-9E41-85EF-43EE0495D6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66-9E41-85EF-43EE0495D6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66-9E41-85EF-43EE0495D6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66-9E41-85EF-43EE0495D6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766-9E41-85EF-43EE0495D6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766-9E41-85EF-43EE0495D6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766-9E41-85EF-43EE0495D6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766-9E41-85EF-43EE0495D6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766-9E41-85EF-43EE0495D6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766-9E41-85EF-43EE0495D6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766-9E41-85EF-43EE0495D666}"/>
              </c:ext>
            </c:extLst>
          </c:dPt>
          <c:cat>
            <c:strRef>
              <c:f>Sup_fig5_regional_data!$B$96:$M$96</c:f>
              <c:strCache>
                <c:ptCount val="12"/>
                <c:pt idx="0">
                  <c:v>Brazil</c:v>
                </c:pt>
                <c:pt idx="1">
                  <c:v>China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Italy</c:v>
                </c:pt>
                <c:pt idx="6">
                  <c:v>Japan</c:v>
                </c:pt>
                <c:pt idx="7">
                  <c:v>ROW</c:v>
                </c:pt>
                <c:pt idx="8">
                  <c:v>Russia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Sup_fig5_regional_data!$B$97:$M$97</c:f>
              <c:numCache>
                <c:formatCode>0.0%</c:formatCode>
                <c:ptCount val="12"/>
                <c:pt idx="0">
                  <c:v>1.7997268492514405E-2</c:v>
                </c:pt>
                <c:pt idx="1">
                  <c:v>0.10122463637728681</c:v>
                </c:pt>
                <c:pt idx="2">
                  <c:v>2.4191912825484968E-2</c:v>
                </c:pt>
                <c:pt idx="3">
                  <c:v>3.3328866930200207E-2</c:v>
                </c:pt>
                <c:pt idx="4">
                  <c:v>2.0740902989695165E-2</c:v>
                </c:pt>
                <c:pt idx="5">
                  <c:v>1.8189790245509343E-2</c:v>
                </c:pt>
                <c:pt idx="6">
                  <c:v>3.0819728811873493E-2</c:v>
                </c:pt>
                <c:pt idx="7">
                  <c:v>0.37349413480181831</c:v>
                </c:pt>
                <c:pt idx="8">
                  <c:v>3.0938571089060722E-2</c:v>
                </c:pt>
                <c:pt idx="9">
                  <c:v>3.2222314854145347E-2</c:v>
                </c:pt>
                <c:pt idx="10">
                  <c:v>4.1555339812906551E-2</c:v>
                </c:pt>
                <c:pt idx="11">
                  <c:v>0.27529653276950461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E-E849-9D85-830D9343C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Reduced 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Sup_fig8_SAF_land_exp!$B$1</c:f>
              <c:strCache>
                <c:ptCount val="1"/>
                <c:pt idx="0">
                  <c:v>Business-as-usual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Sup_fig8_SAF_land_exp!$A$4:$A$32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Sup_fig8_SAF_land_exp!$G$4:$G$32</c:f>
              <c:numCache>
                <c:formatCode>0.00</c:formatCode>
                <c:ptCount val="29"/>
                <c:pt idx="0">
                  <c:v>0</c:v>
                </c:pt>
                <c:pt idx="1">
                  <c:v>1.1850327373979905</c:v>
                </c:pt>
                <c:pt idx="2">
                  <c:v>2.5569293322232673</c:v>
                </c:pt>
                <c:pt idx="3">
                  <c:v>3.9382753678884055</c:v>
                </c:pt>
                <c:pt idx="4">
                  <c:v>5.3379307023423443</c:v>
                </c:pt>
                <c:pt idx="5">
                  <c:v>6.8097721092901393</c:v>
                </c:pt>
                <c:pt idx="6">
                  <c:v>8.3566328824723914</c:v>
                </c:pt>
                <c:pt idx="7">
                  <c:v>9.981444471597765</c:v>
                </c:pt>
                <c:pt idx="8">
                  <c:v>11.687239623434875</c:v>
                </c:pt>
                <c:pt idx="9">
                  <c:v>17.446454874465211</c:v>
                </c:pt>
                <c:pt idx="10">
                  <c:v>23.505558791533879</c:v>
                </c:pt>
                <c:pt idx="11">
                  <c:v>29.876346606881327</c:v>
                </c:pt>
                <c:pt idx="12">
                  <c:v>36.571022079433554</c:v>
                </c:pt>
                <c:pt idx="13">
                  <c:v>43.602210545852941</c:v>
                </c:pt>
                <c:pt idx="14">
                  <c:v>56.355145070251737</c:v>
                </c:pt>
                <c:pt idx="15">
                  <c:v>69.758373487759812</c:v>
                </c:pt>
                <c:pt idx="16">
                  <c:v>83.837251857125239</c:v>
                </c:pt>
                <c:pt idx="17">
                  <c:v>98.618009309509716</c:v>
                </c:pt>
                <c:pt idx="18">
                  <c:v>114.12777579436586</c:v>
                </c:pt>
                <c:pt idx="19">
                  <c:v>126.18833288892353</c:v>
                </c:pt>
                <c:pt idx="20">
                  <c:v>138.8104381084018</c:v>
                </c:pt>
                <c:pt idx="21">
                  <c:v>152.01521582126611</c:v>
                </c:pt>
                <c:pt idx="22">
                  <c:v>165.82450300442625</c:v>
                </c:pt>
                <c:pt idx="23">
                  <c:v>180.26087156126385</c:v>
                </c:pt>
                <c:pt idx="24">
                  <c:v>192.60592987456869</c:v>
                </c:pt>
                <c:pt idx="25">
                  <c:v>205.47938146937062</c:v>
                </c:pt>
                <c:pt idx="26">
                  <c:v>218.90037387620205</c:v>
                </c:pt>
                <c:pt idx="27">
                  <c:v>232.88868621602415</c:v>
                </c:pt>
                <c:pt idx="28">
                  <c:v>247.46474866008509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3-F845-BEB2-06B603D6568F}"/>
            </c:ext>
          </c:extLst>
        </c:ser>
        <c:ser>
          <c:idx val="1"/>
          <c:order val="1"/>
          <c:tx>
            <c:strRef>
              <c:f>Sup_fig8_SAF_land_exp!$N$1</c:f>
              <c:strCache>
                <c:ptCount val="1"/>
                <c:pt idx="0">
                  <c:v>Industry Projections					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Sup_fig8_SAF_land_exp!$A$4:$A$32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Sup_fig8_SAF_land_exp!$S$4:$S$32</c:f>
              <c:numCache>
                <c:formatCode>0.00</c:formatCode>
                <c:ptCount val="29"/>
                <c:pt idx="0">
                  <c:v>0</c:v>
                </c:pt>
                <c:pt idx="1">
                  <c:v>1.1528231923229013</c:v>
                </c:pt>
                <c:pt idx="2">
                  <c:v>2.4547444435502155</c:v>
                </c:pt>
                <c:pt idx="3">
                  <c:v>3.7004087398480654</c:v>
                </c:pt>
                <c:pt idx="4">
                  <c:v>4.9087769911042223</c:v>
                </c:pt>
                <c:pt idx="5">
                  <c:v>6.1290108986831218</c:v>
                </c:pt>
                <c:pt idx="6">
                  <c:v>7.3611772377657978</c:v>
                </c:pt>
                <c:pt idx="7">
                  <c:v>8.605342738267673</c:v>
                </c:pt>
                <c:pt idx="8">
                  <c:v>9.8615740767320617</c:v>
                </c:pt>
                <c:pt idx="9">
                  <c:v>14.407933267567804</c:v>
                </c:pt>
                <c:pt idx="10">
                  <c:v>18.998791129436402</c:v>
                </c:pt>
                <c:pt idx="11">
                  <c:v>23.634393120306608</c:v>
                </c:pt>
                <c:pt idx="12">
                  <c:v>28.31498441329763</c:v>
                </c:pt>
                <c:pt idx="13">
                  <c:v>33.040809864427175</c:v>
                </c:pt>
                <c:pt idx="14">
                  <c:v>41.79644830406388</c:v>
                </c:pt>
                <c:pt idx="15">
                  <c:v>50.636824804451351</c:v>
                </c:pt>
                <c:pt idx="16">
                  <c:v>59.562394316132277</c:v>
                </c:pt>
                <c:pt idx="17">
                  <c:v>68.573610988867642</c:v>
                </c:pt>
                <c:pt idx="18">
                  <c:v>77.670928106331104</c:v>
                </c:pt>
                <c:pt idx="19">
                  <c:v>84.053030341543135</c:v>
                </c:pt>
                <c:pt idx="20">
                  <c:v>90.494879572644876</c:v>
                </c:pt>
                <c:pt idx="21">
                  <c:v>96.996782130676806</c:v>
                </c:pt>
                <c:pt idx="22">
                  <c:v>103.55904353099534</c:v>
                </c:pt>
                <c:pt idx="23">
                  <c:v>110.18196842391387</c:v>
                </c:pt>
                <c:pt idx="24">
                  <c:v>115.22563794031977</c:v>
                </c:pt>
                <c:pt idx="25">
                  <c:v>120.31472872355113</c:v>
                </c:pt>
                <c:pt idx="26">
                  <c:v>125.44946103752173</c:v>
                </c:pt>
                <c:pt idx="27">
                  <c:v>130.63005431193292</c:v>
                </c:pt>
                <c:pt idx="28">
                  <c:v>135.85672710198477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3-F845-BEB2-06B603D6568F}"/>
            </c:ext>
          </c:extLst>
        </c:ser>
        <c:ser>
          <c:idx val="2"/>
          <c:order val="2"/>
          <c:tx>
            <c:strRef>
              <c:f>Sup_fig8_SAF_land_exp!$Z$1</c:f>
              <c:strCache>
                <c:ptCount val="1"/>
                <c:pt idx="0">
                  <c:v>Ambitious Projections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Sup_fig8_SAF_land_exp!$A$4:$A$32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Sup_fig8_SAF_land_exp!$AE$4:$AE$32</c:f>
              <c:numCache>
                <c:formatCode>0.00</c:formatCode>
                <c:ptCount val="29"/>
                <c:pt idx="0">
                  <c:v>0</c:v>
                </c:pt>
                <c:pt idx="1">
                  <c:v>0.87249899205991965</c:v>
                </c:pt>
                <c:pt idx="2">
                  <c:v>1.6176354447271475</c:v>
                </c:pt>
                <c:pt idx="3">
                  <c:v>2.2231103763038624</c:v>
                </c:pt>
                <c:pt idx="4">
                  <c:v>2.8976527303581672</c:v>
                </c:pt>
                <c:pt idx="5">
                  <c:v>3.5522308815952468</c:v>
                </c:pt>
                <c:pt idx="6">
                  <c:v>4.1856401704974013</c:v>
                </c:pt>
                <c:pt idx="7">
                  <c:v>4.7966905168952296</c:v>
                </c:pt>
                <c:pt idx="8">
                  <c:v>5.3842064199676214</c:v>
                </c:pt>
                <c:pt idx="9">
                  <c:v>7.6985485966280542</c:v>
                </c:pt>
                <c:pt idx="10">
                  <c:v>9.9261323198710247</c:v>
                </c:pt>
                <c:pt idx="11">
                  <c:v>12.06270462602469</c:v>
                </c:pt>
                <c:pt idx="12">
                  <c:v>14.104066312764024</c:v>
                </c:pt>
                <c:pt idx="13">
                  <c:v>16.04607193911086</c:v>
                </c:pt>
                <c:pt idx="14">
                  <c:v>19.769167265717183</c:v>
                </c:pt>
                <c:pt idx="15">
                  <c:v>23.300419566251009</c:v>
                </c:pt>
                <c:pt idx="16">
                  <c:v>26.632317063112918</c:v>
                </c:pt>
                <c:pt idx="17">
                  <c:v>29.757448211723037</c:v>
                </c:pt>
                <c:pt idx="18">
                  <c:v>32.66850170052097</c:v>
                </c:pt>
                <c:pt idx="19">
                  <c:v>34.217677210612187</c:v>
                </c:pt>
                <c:pt idx="20">
                  <c:v>35.604255706885887</c:v>
                </c:pt>
                <c:pt idx="21">
                  <c:v>36.823527896764283</c:v>
                </c:pt>
                <c:pt idx="22">
                  <c:v>37.870852828364647</c:v>
                </c:pt>
                <c:pt idx="23">
                  <c:v>38.741657890499411</c:v>
                </c:pt>
                <c:pt idx="24">
                  <c:v>38.878015110042142</c:v>
                </c:pt>
                <c:pt idx="25">
                  <c:v>38.870806074028394</c:v>
                </c:pt>
                <c:pt idx="26">
                  <c:v>38.716909892617423</c:v>
                </c:pt>
                <c:pt idx="27">
                  <c:v>38.41325579247826</c:v>
                </c:pt>
                <c:pt idx="28">
                  <c:v>37.956823116789636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3-F845-BEB2-06B603D6568F}"/>
            </c:ext>
          </c:extLst>
        </c:ser>
        <c:ser>
          <c:idx val="3"/>
          <c:order val="3"/>
          <c:tx>
            <c:strRef>
              <c:f>Sup_fig8_SAF_land_exp!$AT$1</c:f>
              <c:strCache>
                <c:ptCount val="1"/>
                <c:pt idx="0">
                  <c:v>2019 estimated land for biofuels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Sup_fig8_SAF_land_exp!$AU$3:$AU$31</c:f>
              <c:numCache>
                <c:formatCode>_(* #,##0.00_);_(* \(#,##0.00\);_(* "-"??_);_(@_)</c:formatCode>
                <c:ptCount val="29"/>
                <c:pt idx="0">
                  <c:v>60.634134301667821</c:v>
                </c:pt>
                <c:pt idx="1">
                  <c:v>60.634134301667821</c:v>
                </c:pt>
                <c:pt idx="2">
                  <c:v>60.634134301667821</c:v>
                </c:pt>
                <c:pt idx="3">
                  <c:v>60.634134301667821</c:v>
                </c:pt>
                <c:pt idx="4">
                  <c:v>60.634134301667821</c:v>
                </c:pt>
                <c:pt idx="5">
                  <c:v>60.634134301667821</c:v>
                </c:pt>
                <c:pt idx="6">
                  <c:v>60.634134301667821</c:v>
                </c:pt>
                <c:pt idx="7">
                  <c:v>60.634134301667821</c:v>
                </c:pt>
                <c:pt idx="8">
                  <c:v>60.634134301667821</c:v>
                </c:pt>
                <c:pt idx="9">
                  <c:v>60.634134301667821</c:v>
                </c:pt>
                <c:pt idx="10">
                  <c:v>60.634134301667821</c:v>
                </c:pt>
                <c:pt idx="11">
                  <c:v>60.634134301667821</c:v>
                </c:pt>
                <c:pt idx="12">
                  <c:v>60.634134301667821</c:v>
                </c:pt>
                <c:pt idx="13">
                  <c:v>60.634134301667821</c:v>
                </c:pt>
                <c:pt idx="14">
                  <c:v>60.634134301667821</c:v>
                </c:pt>
                <c:pt idx="15">
                  <c:v>60.634134301667821</c:v>
                </c:pt>
                <c:pt idx="16">
                  <c:v>60.634134301667821</c:v>
                </c:pt>
                <c:pt idx="17">
                  <c:v>60.634134301667821</c:v>
                </c:pt>
                <c:pt idx="18">
                  <c:v>60.634134301667821</c:v>
                </c:pt>
                <c:pt idx="19">
                  <c:v>60.634134301667821</c:v>
                </c:pt>
                <c:pt idx="20">
                  <c:v>60.634134301667821</c:v>
                </c:pt>
                <c:pt idx="21">
                  <c:v>60.634134301667821</c:v>
                </c:pt>
                <c:pt idx="22">
                  <c:v>60.634134301667821</c:v>
                </c:pt>
                <c:pt idx="23">
                  <c:v>60.634134301667821</c:v>
                </c:pt>
                <c:pt idx="24">
                  <c:v>60.634134301667821</c:v>
                </c:pt>
                <c:pt idx="25">
                  <c:v>60.634134301667821</c:v>
                </c:pt>
                <c:pt idx="26">
                  <c:v>60.634134301667821</c:v>
                </c:pt>
                <c:pt idx="27">
                  <c:v>60.634134301667821</c:v>
                </c:pt>
                <c:pt idx="28">
                  <c:v>60.634134301667821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13-F845-BEB2-06B603D65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12640"/>
        <c:axId val="943652191"/>
      </c:lineChart>
      <c:catAx>
        <c:axId val="5067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2191"/>
        <c:crosses val="autoZero"/>
        <c:auto val="1"/>
        <c:lblAlgn val="ctr"/>
        <c:lblOffset val="100"/>
        <c:noMultiLvlLbl val="0"/>
      </c:catAx>
      <c:valAx>
        <c:axId val="9436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hectares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Net-zero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Sup_fig8_SAF_land_exp!$B$1</c:f>
              <c:strCache>
                <c:ptCount val="1"/>
                <c:pt idx="0">
                  <c:v>Business-as-usual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Sup_fig8_SAF_land_exp!$A$4:$A$32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Sup_fig8_SAF_land_exp!$H$4:$H$32</c:f>
              <c:numCache>
                <c:formatCode>0.00</c:formatCode>
                <c:ptCount val="29"/>
                <c:pt idx="0">
                  <c:v>0</c:v>
                </c:pt>
                <c:pt idx="1">
                  <c:v>6.3483896646320916</c:v>
                </c:pt>
                <c:pt idx="2">
                  <c:v>13.697835708338932</c:v>
                </c:pt>
                <c:pt idx="3">
                  <c:v>20.935577039444734</c:v>
                </c:pt>
                <c:pt idx="4">
                  <c:v>28.439222163485844</c:v>
                </c:pt>
                <c:pt idx="5">
                  <c:v>36.213714323214653</c:v>
                </c:pt>
                <c:pt idx="6">
                  <c:v>44.263924504553877</c:v>
                </c:pt>
                <c:pt idx="7">
                  <c:v>52.594638923013697</c:v>
                </c:pt>
                <c:pt idx="8">
                  <c:v>61.210545717028026</c:v>
                </c:pt>
                <c:pt idx="9">
                  <c:v>70.116220808802296</c:v>
                </c:pt>
                <c:pt idx="10">
                  <c:v>79.316112891525222</c:v>
                </c:pt>
                <c:pt idx="11">
                  <c:v>88.814527499987193</c:v>
                </c:pt>
                <c:pt idx="12">
                  <c:v>98.615610119761826</c:v>
                </c:pt>
                <c:pt idx="13">
                  <c:v>108.72332828814548</c:v>
                </c:pt>
                <c:pt idx="14">
                  <c:v>119.14145263800816</c:v>
                </c:pt>
                <c:pt idx="15">
                  <c:v>129.8735368335816</c:v>
                </c:pt>
                <c:pt idx="16">
                  <c:v>140.92289634500065</c:v>
                </c:pt>
                <c:pt idx="17">
                  <c:v>152.29258600611033</c:v>
                </c:pt>
                <c:pt idx="18">
                  <c:v>163.9853762976563</c:v>
                </c:pt>
                <c:pt idx="19">
                  <c:v>176.00372829548473</c:v>
                </c:pt>
                <c:pt idx="20">
                  <c:v>188.34976722078383</c:v>
                </c:pt>
                <c:pt idx="21">
                  <c:v>201.02525452670176</c:v>
                </c:pt>
                <c:pt idx="22">
                  <c:v>214.03155845286986</c:v>
                </c:pt>
                <c:pt idx="23">
                  <c:v>227.36962297644118</c:v>
                </c:pt>
                <c:pt idx="24">
                  <c:v>241.03993508521668</c:v>
                </c:pt>
                <c:pt idx="25">
                  <c:v>255.042490295275</c:v>
                </c:pt>
                <c:pt idx="26">
                  <c:v>269.37675633223694</c:v>
                </c:pt>
                <c:pt idx="27">
                  <c:v>284.04163489187897</c:v>
                </c:pt>
                <c:pt idx="28">
                  <c:v>299.03542139225971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B-B644-A184-380D5792C056}"/>
            </c:ext>
          </c:extLst>
        </c:ser>
        <c:ser>
          <c:idx val="1"/>
          <c:order val="1"/>
          <c:tx>
            <c:strRef>
              <c:f>Sup_fig8_SAF_land_exp!$N$1</c:f>
              <c:strCache>
                <c:ptCount val="1"/>
                <c:pt idx="0">
                  <c:v>Industry Projections					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Sup_fig8_SAF_land_exp!$A$4:$A$32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Sup_fig8_SAF_land_exp!$T$4:$T$32</c:f>
              <c:numCache>
                <c:formatCode>0.00</c:formatCode>
                <c:ptCount val="29"/>
                <c:pt idx="0">
                  <c:v>0</c:v>
                </c:pt>
                <c:pt idx="1">
                  <c:v>6.175838530301256</c:v>
                </c:pt>
                <c:pt idx="2">
                  <c:v>13.150416661876156</c:v>
                </c:pt>
                <c:pt idx="3">
                  <c:v>19.671095851294204</c:v>
                </c:pt>
                <c:pt idx="4">
                  <c:v>26.152793504749269</c:v>
                </c:pt>
                <c:pt idx="5">
                  <c:v>32.593491559869022</c:v>
                </c:pt>
                <c:pt idx="6">
                  <c:v>38.991134120601018</c:v>
                </c:pt>
                <c:pt idx="7">
                  <c:v>45.343626908492716</c:v>
                </c:pt>
                <c:pt idx="8">
                  <c:v>51.648836706939974</c:v>
                </c:pt>
                <c:pt idx="9">
                  <c:v>57.904590798320505</c:v>
                </c:pt>
                <c:pt idx="10">
                  <c:v>64.108676393927624</c:v>
                </c:pt>
                <c:pt idx="11">
                  <c:v>70.258840056618723</c:v>
                </c:pt>
                <c:pt idx="12">
                  <c:v>76.35278711609206</c:v>
                </c:pt>
                <c:pt idx="13">
                  <c:v>82.388181076704115</c:v>
                </c:pt>
                <c:pt idx="14">
                  <c:v>88.362643017739643</c:v>
                </c:pt>
                <c:pt idx="15">
                  <c:v>94.273750986044121</c:v>
                </c:pt>
                <c:pt idx="16">
                  <c:v>100.11903938092877</c:v>
                </c:pt>
                <c:pt idx="17">
                  <c:v>105.89599833125649</c:v>
                </c:pt>
                <c:pt idx="18">
                  <c:v>111.60207306461585</c:v>
                </c:pt>
                <c:pt idx="19">
                  <c:v>117.23466326849015</c:v>
                </c:pt>
                <c:pt idx="20">
                  <c:v>122.79112244332624</c:v>
                </c:pt>
                <c:pt idx="21">
                  <c:v>128.26875724740813</c:v>
                </c:pt>
                <c:pt idx="22">
                  <c:v>133.66482683343784</c:v>
                </c:pt>
                <c:pt idx="23">
                  <c:v>138.97654217672641</c:v>
                </c:pt>
                <c:pt idx="24">
                  <c:v>144.20106539489558</c:v>
                </c:pt>
                <c:pt idx="25">
                  <c:v>149.33550905899037</c:v>
                </c:pt>
                <c:pt idx="26">
                  <c:v>154.37693549590048</c:v>
                </c:pt>
                <c:pt idx="27">
                  <c:v>159.32235608199059</c:v>
                </c:pt>
                <c:pt idx="28">
                  <c:v>164.16873052783231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B-B644-A184-380D5792C056}"/>
            </c:ext>
          </c:extLst>
        </c:ser>
        <c:ser>
          <c:idx val="2"/>
          <c:order val="2"/>
          <c:tx>
            <c:strRef>
              <c:f>Sup_fig8_SAF_land_exp!$Z$1</c:f>
              <c:strCache>
                <c:ptCount val="1"/>
                <c:pt idx="0">
                  <c:v>Ambitious Projections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Sup_fig8_SAF_land_exp!$A$4:$A$32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Sup_fig8_SAF_land_exp!$AF$4:$AF$32</c:f>
              <c:numCache>
                <c:formatCode>0.00</c:formatCode>
                <c:ptCount val="29"/>
                <c:pt idx="0">
                  <c:v>0</c:v>
                </c:pt>
                <c:pt idx="1">
                  <c:v>4.6741017431781398</c:v>
                </c:pt>
                <c:pt idx="2">
                  <c:v>8.6659041681811448</c:v>
                </c:pt>
                <c:pt idx="3">
                  <c:v>11.817888340106867</c:v>
                </c:pt>
                <c:pt idx="4">
                  <c:v>15.438002916584535</c:v>
                </c:pt>
                <c:pt idx="5">
                  <c:v>18.890422805881638</c:v>
                </c:pt>
                <c:pt idx="6">
                  <c:v>22.170755029663358</c:v>
                </c:pt>
                <c:pt idx="7">
                  <c:v>25.274919524865641</c:v>
                </c:pt>
                <c:pt idx="8">
                  <c:v>28.199149143695188</c:v>
                </c:pt>
                <c:pt idx="9">
                  <c:v>30.939989653629489</c:v>
                </c:pt>
                <c:pt idx="10">
                  <c:v>33.49429973741676</c:v>
                </c:pt>
                <c:pt idx="11">
                  <c:v>35.859250993076017</c:v>
                </c:pt>
                <c:pt idx="12">
                  <c:v>38.032327933896994</c:v>
                </c:pt>
                <c:pt idx="13">
                  <c:v>40.011327988440215</c:v>
                </c:pt>
                <c:pt idx="14">
                  <c:v>41.794361500536965</c:v>
                </c:pt>
                <c:pt idx="15">
                  <c:v>43.379851729289292</c:v>
                </c:pt>
                <c:pt idx="16">
                  <c:v>44.766534849069984</c:v>
                </c:pt>
                <c:pt idx="17">
                  <c:v>45.953459949522632</c:v>
                </c:pt>
                <c:pt idx="18">
                  <c:v>46.939989035561524</c:v>
                </c:pt>
                <c:pt idx="19">
                  <c:v>47.725797027371769</c:v>
                </c:pt>
                <c:pt idx="20">
                  <c:v>48.310871760409228</c:v>
                </c:pt>
                <c:pt idx="21">
                  <c:v>48.69551398540051</c:v>
                </c:pt>
                <c:pt idx="22">
                  <c:v>48.880337368342978</c:v>
                </c:pt>
                <c:pt idx="23">
                  <c:v>48.866268490504787</c:v>
                </c:pt>
                <c:pt idx="24">
                  <c:v>48.654546848424829</c:v>
                </c:pt>
                <c:pt idx="25">
                  <c:v>48.246724853912752</c:v>
                </c:pt>
                <c:pt idx="26">
                  <c:v>47.644667834048981</c:v>
                </c:pt>
                <c:pt idx="27">
                  <c:v>46.850554031184721</c:v>
                </c:pt>
                <c:pt idx="28">
                  <c:v>45.866874602941891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B-B644-A184-380D5792C056}"/>
            </c:ext>
          </c:extLst>
        </c:ser>
        <c:ser>
          <c:idx val="3"/>
          <c:order val="3"/>
          <c:tx>
            <c:strRef>
              <c:f>Sup_fig8_SAF_land_exp!$AT$1</c:f>
              <c:strCache>
                <c:ptCount val="1"/>
                <c:pt idx="0">
                  <c:v>2019 estimated land for biofuels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Sup_fig8_SAF_land_exp!$AU$3:$AU$31</c:f>
              <c:numCache>
                <c:formatCode>_(* #,##0.00_);_(* \(#,##0.00\);_(* "-"??_);_(@_)</c:formatCode>
                <c:ptCount val="29"/>
                <c:pt idx="0">
                  <c:v>60.634134301667821</c:v>
                </c:pt>
                <c:pt idx="1">
                  <c:v>60.634134301667821</c:v>
                </c:pt>
                <c:pt idx="2">
                  <c:v>60.634134301667821</c:v>
                </c:pt>
                <c:pt idx="3">
                  <c:v>60.634134301667821</c:v>
                </c:pt>
                <c:pt idx="4">
                  <c:v>60.634134301667821</c:v>
                </c:pt>
                <c:pt idx="5">
                  <c:v>60.634134301667821</c:v>
                </c:pt>
                <c:pt idx="6">
                  <c:v>60.634134301667821</c:v>
                </c:pt>
                <c:pt idx="7">
                  <c:v>60.634134301667821</c:v>
                </c:pt>
                <c:pt idx="8">
                  <c:v>60.634134301667821</c:v>
                </c:pt>
                <c:pt idx="9">
                  <c:v>60.634134301667821</c:v>
                </c:pt>
                <c:pt idx="10">
                  <c:v>60.634134301667821</c:v>
                </c:pt>
                <c:pt idx="11">
                  <c:v>60.634134301667821</c:v>
                </c:pt>
                <c:pt idx="12">
                  <c:v>60.634134301667821</c:v>
                </c:pt>
                <c:pt idx="13">
                  <c:v>60.634134301667821</c:v>
                </c:pt>
                <c:pt idx="14">
                  <c:v>60.634134301667821</c:v>
                </c:pt>
                <c:pt idx="15">
                  <c:v>60.634134301667821</c:v>
                </c:pt>
                <c:pt idx="16">
                  <c:v>60.634134301667821</c:v>
                </c:pt>
                <c:pt idx="17">
                  <c:v>60.634134301667821</c:v>
                </c:pt>
                <c:pt idx="18">
                  <c:v>60.634134301667821</c:v>
                </c:pt>
                <c:pt idx="19">
                  <c:v>60.634134301667821</c:v>
                </c:pt>
                <c:pt idx="20">
                  <c:v>60.634134301667821</c:v>
                </c:pt>
                <c:pt idx="21">
                  <c:v>60.634134301667821</c:v>
                </c:pt>
                <c:pt idx="22">
                  <c:v>60.634134301667821</c:v>
                </c:pt>
                <c:pt idx="23">
                  <c:v>60.634134301667821</c:v>
                </c:pt>
                <c:pt idx="24">
                  <c:v>60.634134301667821</c:v>
                </c:pt>
                <c:pt idx="25">
                  <c:v>60.634134301667821</c:v>
                </c:pt>
                <c:pt idx="26">
                  <c:v>60.634134301667821</c:v>
                </c:pt>
                <c:pt idx="27">
                  <c:v>60.634134301667821</c:v>
                </c:pt>
                <c:pt idx="28">
                  <c:v>60.634134301667821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3B-B644-A184-380D5792C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12640"/>
        <c:axId val="943652191"/>
      </c:lineChart>
      <c:catAx>
        <c:axId val="5067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2191"/>
        <c:crosses val="autoZero"/>
        <c:auto val="1"/>
        <c:lblAlgn val="ctr"/>
        <c:lblOffset val="100"/>
        <c:noMultiLvlLbl val="0"/>
      </c:catAx>
      <c:valAx>
        <c:axId val="94365219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hectares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</a:t>
            </a:r>
            <a:r>
              <a:rPr lang="en-US"/>
              <a:t>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Fig1_future_Kaya!$AJ$4:$AJ$64</c:f>
              <c:numCache>
                <c:formatCode>_(* #,##0.00_);_(* \(#,##0.00\);_(* "-"??_);_(@_)</c:formatCode>
                <c:ptCount val="61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  <c:pt idx="32">
                  <c:v>0.79684047320491125</c:v>
                </c:pt>
                <c:pt idx="33">
                  <c:v>0.86624988502273925</c:v>
                </c:pt>
                <c:pt idx="34">
                  <c:v>0.93454791169443974</c:v>
                </c:pt>
                <c:pt idx="35">
                  <c:v>0.9622105298805953</c:v>
                </c:pt>
                <c:pt idx="36">
                  <c:v>0.99069196156506112</c:v>
                </c:pt>
                <c:pt idx="37">
                  <c:v>1.0200164436273871</c:v>
                </c:pt>
                <c:pt idx="38">
                  <c:v>1.0502089303587578</c:v>
                </c:pt>
                <c:pt idx="39">
                  <c:v>1.081295114697377</c:v>
                </c:pt>
                <c:pt idx="40">
                  <c:v>1.1133014500924192</c:v>
                </c:pt>
                <c:pt idx="41">
                  <c:v>1.1462551730151551</c:v>
                </c:pt>
                <c:pt idx="42">
                  <c:v>1.1801843261364038</c:v>
                </c:pt>
                <c:pt idx="43">
                  <c:v>1.215117782190041</c:v>
                </c:pt>
                <c:pt idx="44">
                  <c:v>1.2510852685428664</c:v>
                </c:pt>
                <c:pt idx="45">
                  <c:v>1.2881173924917351</c:v>
                </c:pt>
                <c:pt idx="46">
                  <c:v>1.3262456673094907</c:v>
                </c:pt>
                <c:pt idx="47">
                  <c:v>1.3655025390618518</c:v>
                </c:pt>
                <c:pt idx="48">
                  <c:v>1.4059214142180825</c:v>
                </c:pt>
                <c:pt idx="49">
                  <c:v>1.4475366880789378</c:v>
                </c:pt>
                <c:pt idx="50">
                  <c:v>1.4903837740460746</c:v>
                </c:pt>
                <c:pt idx="51">
                  <c:v>1.534499133757838</c:v>
                </c:pt>
                <c:pt idx="52">
                  <c:v>1.5799203081170705</c:v>
                </c:pt>
                <c:pt idx="53">
                  <c:v>1.6266859492373358</c:v>
                </c:pt>
                <c:pt idx="54">
                  <c:v>1.6748358533347611</c:v>
                </c:pt>
                <c:pt idx="55">
                  <c:v>1.7244109945934696</c:v>
                </c:pt>
                <c:pt idx="56">
                  <c:v>1.7754535600334365</c:v>
                </c:pt>
                <c:pt idx="57">
                  <c:v>1.8280069854104264</c:v>
                </c:pt>
                <c:pt idx="58">
                  <c:v>1.8821159921785751</c:v>
                </c:pt>
                <c:pt idx="59">
                  <c:v>1.9378266255470609</c:v>
                </c:pt>
                <c:pt idx="60">
                  <c:v>1.9951862936632541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0-1B43-9668-F0D0CCDAF1E7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Fig1_future_Kaya!$AK$4:$AK$64</c:f>
              <c:numCache>
                <c:formatCode>_(* #,##0.00_);_(* \(#,##0.00\);_(* "-"??_);_(@_)</c:formatCode>
                <c:ptCount val="61"/>
                <c:pt idx="0">
                  <c:v>0.54269778000000002</c:v>
                </c:pt>
                <c:pt idx="1">
                  <c:v>0.52562075600000002</c:v>
                </c:pt>
                <c:pt idx="2">
                  <c:v>0.52916584600000005</c:v>
                </c:pt>
                <c:pt idx="3">
                  <c:v>0.53363175399999996</c:v>
                </c:pt>
                <c:pt idx="4">
                  <c:v>0.55670766700000007</c:v>
                </c:pt>
                <c:pt idx="5">
                  <c:v>0.57076552599999997</c:v>
                </c:pt>
                <c:pt idx="6">
                  <c:v>0.59712128200000025</c:v>
                </c:pt>
                <c:pt idx="7">
                  <c:v>0.61622848300000022</c:v>
                </c:pt>
                <c:pt idx="8">
                  <c:v>0.62800909199999999</c:v>
                </c:pt>
                <c:pt idx="9">
                  <c:v>0.64914668199999992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0.66125329600000016</c:v>
                </c:pt>
                <c:pt idx="14">
                  <c:v>0.70393088599999998</c:v>
                </c:pt>
                <c:pt idx="15">
                  <c:v>0.73205280799999983</c:v>
                </c:pt>
                <c:pt idx="16">
                  <c:v>0.74087568299999984</c:v>
                </c:pt>
                <c:pt idx="17">
                  <c:v>0.75977471099999971</c:v>
                </c:pt>
                <c:pt idx="18">
                  <c:v>0.75256760899999997</c:v>
                </c:pt>
                <c:pt idx="19">
                  <c:v>0.71209145899999993</c:v>
                </c:pt>
                <c:pt idx="20">
                  <c:v>0.75039058400000014</c:v>
                </c:pt>
                <c:pt idx="21">
                  <c:v>0.771191666</c:v>
                </c:pt>
                <c:pt idx="22">
                  <c:v>0.78059377800000029</c:v>
                </c:pt>
                <c:pt idx="23">
                  <c:v>0.79993577999999999</c:v>
                </c:pt>
                <c:pt idx="24">
                  <c:v>0.82632976599999997</c:v>
                </c:pt>
                <c:pt idx="25">
                  <c:v>0.87193010699999995</c:v>
                </c:pt>
                <c:pt idx="26">
                  <c:v>0.91315499400000011</c:v>
                </c:pt>
                <c:pt idx="27">
                  <c:v>0.97062137299999984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0.60599999999999987</c:v>
                </c:pt>
                <c:pt idx="31">
                  <c:v>0.72629373574285128</c:v>
                </c:pt>
                <c:pt idx="32">
                  <c:v>0.79684047320491125</c:v>
                </c:pt>
                <c:pt idx="33">
                  <c:v>0.86047488578925457</c:v>
                </c:pt>
                <c:pt idx="34">
                  <c:v>0.92208727287184711</c:v>
                </c:pt>
                <c:pt idx="35">
                  <c:v>0.94042408208619643</c:v>
                </c:pt>
                <c:pt idx="36">
                  <c:v>0.95933690653488302</c:v>
                </c:pt>
                <c:pt idx="37">
                  <c:v>0.97858060777062117</c:v>
                </c:pt>
                <c:pt idx="38">
                  <c:v>0.99815924494542108</c:v>
                </c:pt>
                <c:pt idx="39">
                  <c:v>1.0180768584525193</c:v>
                </c:pt>
                <c:pt idx="40">
                  <c:v>1.0383374661722664</c:v>
                </c:pt>
                <c:pt idx="41">
                  <c:v>1.0396015431585279</c:v>
                </c:pt>
                <c:pt idx="42">
                  <c:v>1.0401808836197366</c:v>
                </c:pt>
                <c:pt idx="43">
                  <c:v>1.0400382889441195</c:v>
                </c:pt>
                <c:pt idx="44">
                  <c:v>1.0391350898824387</c:v>
                </c:pt>
                <c:pt idx="45">
                  <c:v>1.0374310959730002</c:v>
                </c:pt>
                <c:pt idx="46">
                  <c:v>1.0087044284398257</c:v>
                </c:pt>
                <c:pt idx="47">
                  <c:v>0.97769214930602644</c:v>
                </c:pt>
                <c:pt idx="48">
                  <c:v>0.94429370881916497</c:v>
                </c:pt>
                <c:pt idx="49">
                  <c:v>0.90840489108611888</c:v>
                </c:pt>
                <c:pt idx="50">
                  <c:v>0.86991769353698223</c:v>
                </c:pt>
                <c:pt idx="51">
                  <c:v>0.84921858228648017</c:v>
                </c:pt>
                <c:pt idx="52">
                  <c:v>0.82678746447262086</c:v>
                </c:pt>
                <c:pt idx="53">
                  <c:v>0.80254750585027301</c:v>
                </c:pt>
                <c:pt idx="54">
                  <c:v>0.77641906502024582</c:v>
                </c:pt>
                <c:pt idx="55">
                  <c:v>0.74831960119284024</c:v>
                </c:pt>
                <c:pt idx="56">
                  <c:v>0.73152476201456107</c:v>
                </c:pt>
                <c:pt idx="57">
                  <c:v>0.71329686615578403</c:v>
                </c:pt>
                <c:pt idx="58">
                  <c:v>0.69357221025413696</c:v>
                </c:pt>
                <c:pt idx="59">
                  <c:v>0.67228476528649017</c:v>
                </c:pt>
                <c:pt idx="60">
                  <c:v>0.64936610032792208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0-1B43-9668-F0D0CCDAF1E7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Fig1_future_Kaya!$AL$4:$AL$64</c:f>
              <c:numCache>
                <c:formatCode>_(* #,##0.00_);_(* \(#,##0.00\);_(* "-"??_);_(@_)</c:formatCode>
                <c:ptCount val="61"/>
                <c:pt idx="0">
                  <c:v>0.54269778000000002</c:v>
                </c:pt>
                <c:pt idx="1">
                  <c:v>0.52562075600000002</c:v>
                </c:pt>
                <c:pt idx="2">
                  <c:v>0.52916584600000005</c:v>
                </c:pt>
                <c:pt idx="3">
                  <c:v>0.53363175399999996</c:v>
                </c:pt>
                <c:pt idx="4">
                  <c:v>0.55670766700000007</c:v>
                </c:pt>
                <c:pt idx="5">
                  <c:v>0.57076552599999997</c:v>
                </c:pt>
                <c:pt idx="6">
                  <c:v>0.59712128200000025</c:v>
                </c:pt>
                <c:pt idx="7">
                  <c:v>0.61622848300000022</c:v>
                </c:pt>
                <c:pt idx="8">
                  <c:v>0.62800909199999999</c:v>
                </c:pt>
                <c:pt idx="9">
                  <c:v>0.64914668199999992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0.66125329600000016</c:v>
                </c:pt>
                <c:pt idx="14">
                  <c:v>0.70393088599999998</c:v>
                </c:pt>
                <c:pt idx="15">
                  <c:v>0.73205280799999983</c:v>
                </c:pt>
                <c:pt idx="16">
                  <c:v>0.74087568299999984</c:v>
                </c:pt>
                <c:pt idx="17">
                  <c:v>0.75977471099999971</c:v>
                </c:pt>
                <c:pt idx="18">
                  <c:v>0.75256760899999997</c:v>
                </c:pt>
                <c:pt idx="19">
                  <c:v>0.71209145899999993</c:v>
                </c:pt>
                <c:pt idx="20">
                  <c:v>0.75039058400000014</c:v>
                </c:pt>
                <c:pt idx="21">
                  <c:v>0.771191666</c:v>
                </c:pt>
                <c:pt idx="22">
                  <c:v>0.78059377800000029</c:v>
                </c:pt>
                <c:pt idx="23">
                  <c:v>0.79993577999999999</c:v>
                </c:pt>
                <c:pt idx="24">
                  <c:v>0.82632976599999997</c:v>
                </c:pt>
                <c:pt idx="25">
                  <c:v>0.87193010699999995</c:v>
                </c:pt>
                <c:pt idx="26">
                  <c:v>0.91315499400000011</c:v>
                </c:pt>
                <c:pt idx="27">
                  <c:v>0.97062137299999984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0.60599999999999987</c:v>
                </c:pt>
                <c:pt idx="31">
                  <c:v>0.72629373574285128</c:v>
                </c:pt>
                <c:pt idx="32">
                  <c:v>0.79684047320491125</c:v>
                </c:pt>
                <c:pt idx="33">
                  <c:v>0.83531238912907013</c:v>
                </c:pt>
                <c:pt idx="34">
                  <c:v>0.86779448943055115</c:v>
                </c:pt>
                <c:pt idx="35">
                  <c:v>0.85020816682828526</c:v>
                </c:pt>
                <c:pt idx="36">
                  <c:v>0.83155417236315521</c:v>
                </c:pt>
                <c:pt idx="37">
                  <c:v>0.81180642774483969</c:v>
                </c:pt>
                <c:pt idx="38">
                  <c:v>0.79093888919537636</c:v>
                </c:pt>
                <c:pt idx="39">
                  <c:v>0.76892559137076177</c:v>
                </c:pt>
                <c:pt idx="40">
                  <c:v>0.74574069441575286</c:v>
                </c:pt>
                <c:pt idx="41">
                  <c:v>0.72135853431554509</c:v>
                </c:pt>
                <c:pt idx="42">
                  <c:v>0.69575367671543842</c:v>
                </c:pt>
                <c:pt idx="43">
                  <c:v>0.6689009743873594</c:v>
                </c:pt>
                <c:pt idx="44">
                  <c:v>0.64077562853017522</c:v>
                </c:pt>
                <c:pt idx="45">
                  <c:v>0.61135325409914076</c:v>
                </c:pt>
                <c:pt idx="46">
                  <c:v>0.58060994936859822</c:v>
                </c:pt>
                <c:pt idx="47">
                  <c:v>0.548522369941146</c:v>
                </c:pt>
                <c:pt idx="48">
                  <c:v>0.51506780742602343</c:v>
                </c:pt>
                <c:pt idx="49">
                  <c:v>0.48022427301933091</c:v>
                </c:pt>
                <c:pt idx="50">
                  <c:v>0.44397058622902219</c:v>
                </c:pt>
                <c:pt idx="51">
                  <c:v>0.40628646899832965</c:v>
                </c:pt>
                <c:pt idx="52">
                  <c:v>0.3671526454924543</c:v>
                </c:pt>
                <c:pt idx="53">
                  <c:v>0.32655094782497529</c:v>
                </c:pt>
                <c:pt idx="54">
                  <c:v>0.28446442801255051</c:v>
                </c:pt>
                <c:pt idx="55">
                  <c:v>0.24087747645906504</c:v>
                </c:pt>
                <c:pt idx="56">
                  <c:v>0.19577594728351158</c:v>
                </c:pt>
                <c:pt idx="57">
                  <c:v>0.14914729081952563</c:v>
                </c:pt>
                <c:pt idx="58">
                  <c:v>0.10098069362871115</c:v>
                </c:pt>
                <c:pt idx="59">
                  <c:v>5.126722638466584E-2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0-1B43-9668-F0D0CCDAF1E7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Fig1_future_Kaya!$AN$4:$AN$64</c:f>
              <c:numCache>
                <c:formatCode>_(* #,##0.00_);_(* \(#,##0.00\);_(* "-"??_);_(@_)</c:formatCode>
                <c:ptCount val="61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  <c:pt idx="32">
                  <c:v>0.78576230195852748</c:v>
                </c:pt>
                <c:pt idx="33">
                  <c:v>0.84270495344625407</c:v>
                </c:pt>
                <c:pt idx="34">
                  <c:v>0.8971997249015361</c:v>
                </c:pt>
                <c:pt idx="35">
                  <c:v>0.90409428537575154</c:v>
                </c:pt>
                <c:pt idx="36">
                  <c:v>0.9110432820097315</c:v>
                </c:pt>
                <c:pt idx="37">
                  <c:v>0.91804715334004583</c:v>
                </c:pt>
                <c:pt idx="38">
                  <c:v>0.92510634148715032</c:v>
                </c:pt>
                <c:pt idx="39">
                  <c:v>0.93222129218496919</c:v>
                </c:pt>
                <c:pt idx="40">
                  <c:v>0.9393924548107212</c:v>
                </c:pt>
                <c:pt idx="41">
                  <c:v>0.94662028241499574</c:v>
                </c:pt>
                <c:pt idx="42">
                  <c:v>0.95390523175207675</c:v>
                </c:pt>
                <c:pt idx="43">
                  <c:v>0.96124776331052009</c:v>
                </c:pt>
                <c:pt idx="44">
                  <c:v>0.96864834134398448</c:v>
                </c:pt>
                <c:pt idx="45">
                  <c:v>0.97610743390231824</c:v>
                </c:pt>
                <c:pt idx="46">
                  <c:v>0.983625512862906</c:v>
                </c:pt>
                <c:pt idx="47">
                  <c:v>0.99120305396227404</c:v>
                </c:pt>
                <c:pt idx="48">
                  <c:v>0.9988405368279587</c:v>
                </c:pt>
                <c:pt idx="49">
                  <c:v>1.0065384450106416</c:v>
                </c:pt>
                <c:pt idx="50">
                  <c:v>1.0142972660165499</c:v>
                </c:pt>
                <c:pt idx="51">
                  <c:v>1.0221174913401259</c:v>
                </c:pt>
                <c:pt idx="52">
                  <c:v>1.02999961649697</c:v>
                </c:pt>
                <c:pt idx="53">
                  <c:v>1.037944141057056</c:v>
                </c:pt>
                <c:pt idx="54">
                  <c:v>1.0459515686782226</c:v>
                </c:pt>
                <c:pt idx="55">
                  <c:v>1.054022407139944</c:v>
                </c:pt>
                <c:pt idx="56">
                  <c:v>1.0621571683773825</c:v>
                </c:pt>
                <c:pt idx="57">
                  <c:v>1.07035636851572</c:v>
                </c:pt>
                <c:pt idx="58">
                  <c:v>1.0786205279047796</c:v>
                </c:pt>
                <c:pt idx="59">
                  <c:v>1.0869501711539342</c:v>
                </c:pt>
                <c:pt idx="60">
                  <c:v>1.0953458271673011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0-1B43-9668-F0D0CCDAF1E7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Fig1_future_Kaya!$AO$4:$AO$64</c:f>
              <c:numCache>
                <c:formatCode>_(* #,##0.00_);_(* \(#,##0.00\);_(* "-"??_);_(@_)</c:formatCode>
                <c:ptCount val="61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  <c:pt idx="32">
                  <c:v>0.78576230195852748</c:v>
                </c:pt>
                <c:pt idx="33">
                  <c:v>0.83708692042327904</c:v>
                </c:pt>
                <c:pt idx="34">
                  <c:v>0.88523706190284901</c:v>
                </c:pt>
                <c:pt idx="35">
                  <c:v>0.88362371023873088</c:v>
                </c:pt>
                <c:pt idx="36">
                  <c:v>0.88220907990602027</c:v>
                </c:pt>
                <c:pt idx="37">
                  <c:v>0.88075358675861781</c:v>
                </c:pt>
                <c:pt idx="38">
                  <c:v>0.87925689890829117</c:v>
                </c:pt>
                <c:pt idx="39">
                  <c:v>0.8777186834843318</c:v>
                </c:pt>
                <c:pt idx="40">
                  <c:v>0.87613860665369425</c:v>
                </c:pt>
                <c:pt idx="41">
                  <c:v>0.85854173621319829</c:v>
                </c:pt>
                <c:pt idx="42">
                  <c:v>0.84074492846525406</c:v>
                </c:pt>
                <c:pt idx="43">
                  <c:v>0.82274697453853884</c:v>
                </c:pt>
                <c:pt idx="44">
                  <c:v>0.80454666564756883</c:v>
                </c:pt>
                <c:pt idx="45">
                  <c:v>0.78614279322928426</c:v>
                </c:pt>
                <c:pt idx="46">
                  <c:v>0.74811736257282158</c:v>
                </c:pt>
                <c:pt idx="47">
                  <c:v>0.70969582004063725</c:v>
                </c:pt>
                <c:pt idx="48">
                  <c:v>0.6708759291249351</c:v>
                </c:pt>
                <c:pt idx="49">
                  <c:v>0.63165545581254523</c:v>
                </c:pt>
                <c:pt idx="50">
                  <c:v>0.59203216888129273</c:v>
                </c:pt>
                <c:pt idx="51">
                  <c:v>0.56565764543667463</c:v>
                </c:pt>
                <c:pt idx="52">
                  <c:v>0.53900868730918261</c:v>
                </c:pt>
                <c:pt idx="53">
                  <c:v>0.51208377499528546</c:v>
                </c:pt>
                <c:pt idx="54">
                  <c:v>0.48488139144659537</c:v>
                </c:pt>
                <c:pt idx="55">
                  <c:v>0.45740002228716209</c:v>
                </c:pt>
                <c:pt idx="56">
                  <c:v>0.43763142405408334</c:v>
                </c:pt>
                <c:pt idx="57">
                  <c:v>0.41765805569978753</c:v>
                </c:pt>
                <c:pt idx="58">
                  <c:v>0.39747880931528806</c:v>
                </c:pt>
                <c:pt idx="59">
                  <c:v>0.3770925794179551</c:v>
                </c:pt>
                <c:pt idx="60">
                  <c:v>0.35649826312316368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50-1B43-9668-F0D0CCDAF1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Fig1_future_Kaya!$AP$4:$AP$64</c:f>
              <c:numCache>
                <c:formatCode>_(* #,##0.00_);_(* \(#,##0.00\);_(* "-"??_);_(@_)</c:formatCode>
                <c:ptCount val="61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  <c:pt idx="32">
                  <c:v>0.78576230195852748</c:v>
                </c:pt>
                <c:pt idx="33">
                  <c:v>0.81260834796603076</c:v>
                </c:pt>
                <c:pt idx="34">
                  <c:v>0.83311403026571207</c:v>
                </c:pt>
                <c:pt idx="35">
                  <c:v>0.79885671704781036</c:v>
                </c:pt>
                <c:pt idx="36">
                  <c:v>0.76469969652505632</c:v>
                </c:pt>
                <c:pt idx="37">
                  <c:v>0.73065153479677813</c:v>
                </c:pt>
                <c:pt idx="38">
                  <c:v>0.69672096758260404</c:v>
                </c:pt>
                <c:pt idx="39">
                  <c:v>0.66291690273876525</c:v>
                </c:pt>
                <c:pt idx="40">
                  <c:v>0.62924842280705851</c:v>
                </c:pt>
                <c:pt idx="41">
                  <c:v>0.59572478759685421</c:v>
                </c:pt>
                <c:pt idx="42">
                  <c:v>0.56235543680054967</c:v>
                </c:pt>
                <c:pt idx="43">
                  <c:v>0.52914999264286666</c:v>
                </c:pt>
                <c:pt idx="44">
                  <c:v>0.49611826256440045</c:v>
                </c:pt>
                <c:pt idx="45">
                  <c:v>0.46327024193982619</c:v>
                </c:pt>
                <c:pt idx="46">
                  <c:v>0.43061611683118262</c:v>
                </c:pt>
                <c:pt idx="47">
                  <c:v>0.39816626677664563</c:v>
                </c:pt>
                <c:pt idx="48">
                  <c:v>0.36593126761522227</c:v>
                </c:pt>
                <c:pt idx="49">
                  <c:v>0.33392189434778879</c:v>
                </c:pt>
                <c:pt idx="50">
                  <c:v>0.30214912403490829</c:v>
                </c:pt>
                <c:pt idx="51">
                  <c:v>0.27062413873186669</c:v>
                </c:pt>
                <c:pt idx="52">
                  <c:v>0.23935832846137078</c:v>
                </c:pt>
                <c:pt idx="53">
                  <c:v>0.20836329422435393</c:v>
                </c:pt>
                <c:pt idx="54">
                  <c:v>0.17765085104934755</c:v>
                </c:pt>
                <c:pt idx="55">
                  <c:v>0.14723303108087271</c:v>
                </c:pt>
                <c:pt idx="56">
                  <c:v>0.11712208670731901</c:v>
                </c:pt>
                <c:pt idx="57">
                  <c:v>8.7330493728776812E-2</c:v>
                </c:pt>
                <c:pt idx="58">
                  <c:v>5.7870954565300212E-2</c:v>
                </c:pt>
                <c:pt idx="59">
                  <c:v>2.8756401506078243E-2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50-1B43-9668-F0D0CCDAF1E7}"/>
            </c:ext>
          </c:extLst>
        </c:ser>
        <c:ser>
          <c:idx val="6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Fig1_future_Kaya!$AR$4:$AR$64</c:f>
              <c:numCache>
                <c:formatCode>_(* #,##0.00_);_(* \(#,##0.00\);_(* "-"??_);_(@_)</c:formatCode>
                <c:ptCount val="61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  <c:pt idx="32">
                  <c:v>0.68280815454197707</c:v>
                </c:pt>
                <c:pt idx="33">
                  <c:v>0.63779010292483329</c:v>
                </c:pt>
                <c:pt idx="34">
                  <c:v>0.59123958089141948</c:v>
                </c:pt>
                <c:pt idx="35">
                  <c:v>0.54315658844173587</c:v>
                </c:pt>
                <c:pt idx="36">
                  <c:v>0.53778915977931308</c:v>
                </c:pt>
                <c:pt idx="37">
                  <c:v>0.53207858539716424</c:v>
                </c:pt>
                <c:pt idx="38">
                  <c:v>0.52602486529528913</c:v>
                </c:pt>
                <c:pt idx="39">
                  <c:v>0.51962799947368787</c:v>
                </c:pt>
                <c:pt idx="40">
                  <c:v>0.51288798793236035</c:v>
                </c:pt>
                <c:pt idx="41">
                  <c:v>0.50580483067130655</c:v>
                </c:pt>
                <c:pt idx="42">
                  <c:v>0.49837852769052654</c:v>
                </c:pt>
                <c:pt idx="43">
                  <c:v>0.49060907899002026</c:v>
                </c:pt>
                <c:pt idx="44">
                  <c:v>0.48249648456978778</c:v>
                </c:pt>
                <c:pt idx="45">
                  <c:v>0.47404074442982919</c:v>
                </c:pt>
                <c:pt idx="46">
                  <c:v>0.46524185857014427</c:v>
                </c:pt>
                <c:pt idx="47">
                  <c:v>0.4560998269907332</c:v>
                </c:pt>
                <c:pt idx="48">
                  <c:v>0.44661464969159576</c:v>
                </c:pt>
                <c:pt idx="49">
                  <c:v>0.43678632667273232</c:v>
                </c:pt>
                <c:pt idx="50">
                  <c:v>0.42661485793414239</c:v>
                </c:pt>
                <c:pt idx="51">
                  <c:v>0.41610024347582636</c:v>
                </c:pt>
                <c:pt idx="52">
                  <c:v>0.40524248329778417</c:v>
                </c:pt>
                <c:pt idx="53">
                  <c:v>0.39404157740001566</c:v>
                </c:pt>
                <c:pt idx="54">
                  <c:v>0.38249752578252094</c:v>
                </c:pt>
                <c:pt idx="55">
                  <c:v>0.37061032844530006</c:v>
                </c:pt>
                <c:pt idx="56">
                  <c:v>0.35837998538835292</c:v>
                </c:pt>
                <c:pt idx="57">
                  <c:v>0.34580649661167956</c:v>
                </c:pt>
                <c:pt idx="58">
                  <c:v>0.33288986211527999</c:v>
                </c:pt>
                <c:pt idx="59">
                  <c:v>0.31963008189915432</c:v>
                </c:pt>
                <c:pt idx="60">
                  <c:v>0.30602715596330221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50-1B43-9668-F0D0CCDAF1E7}"/>
            </c:ext>
          </c:extLst>
        </c:ser>
        <c:ser>
          <c:idx val="7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Fig1_future_Kaya!$AS$4:$AS$64</c:f>
              <c:numCache>
                <c:formatCode>_(* #,##0.00_);_(* \(#,##0.00\);_(* "-"??_);_(@_)</c:formatCode>
                <c:ptCount val="61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  <c:pt idx="32">
                  <c:v>0.68280815454197707</c:v>
                </c:pt>
                <c:pt idx="33">
                  <c:v>0.63353816890533443</c:v>
                </c:pt>
                <c:pt idx="34">
                  <c:v>0.58335638647953392</c:v>
                </c:pt>
                <c:pt idx="35">
                  <c:v>0.530858393513711</c:v>
                </c:pt>
                <c:pt idx="36">
                  <c:v>0.52076832045315669</c:v>
                </c:pt>
                <c:pt idx="37">
                  <c:v>0.51046410940988207</c:v>
                </c:pt>
                <c:pt idx="38">
                  <c:v>0.49995440639254529</c:v>
                </c:pt>
                <c:pt idx="39">
                  <c:v>0.4892477863605228</c:v>
                </c:pt>
                <c:pt idx="40">
                  <c:v>0.47835275322390891</c:v>
                </c:pt>
                <c:pt idx="41">
                  <c:v>0.45874208019471763</c:v>
                </c:pt>
                <c:pt idx="42">
                  <c:v>0.43925665324445173</c:v>
                </c:pt>
                <c:pt idx="43">
                  <c:v>0.41991997362888489</c:v>
                </c:pt>
                <c:pt idx="44">
                  <c:v>0.40075528060956317</c:v>
                </c:pt>
                <c:pt idx="45">
                  <c:v>0.38178555145380511</c:v>
                </c:pt>
                <c:pt idx="46">
                  <c:v>0.35384961821388294</c:v>
                </c:pt>
                <c:pt idx="47">
                  <c:v>0.32656491466873655</c:v>
                </c:pt>
                <c:pt idx="48">
                  <c:v>0.29997082319483803</c:v>
                </c:pt>
                <c:pt idx="49">
                  <c:v>0.27410623770484493</c:v>
                </c:pt>
                <c:pt idx="50">
                  <c:v>0.2490095636476001</c:v>
                </c:pt>
                <c:pt idx="51">
                  <c:v>0.23027713152776852</c:v>
                </c:pt>
                <c:pt idx="52">
                  <c:v>0.21206728183757007</c:v>
                </c:pt>
                <c:pt idx="53">
                  <c:v>0.19440573965242414</c:v>
                </c:pt>
                <c:pt idx="54">
                  <c:v>0.17731789700424039</c:v>
                </c:pt>
                <c:pt idx="55">
                  <c:v>0.16082881288141879</c:v>
                </c:pt>
                <c:pt idx="56">
                  <c:v>0.1476602032424095</c:v>
                </c:pt>
                <c:pt idx="57">
                  <c:v>0.1349353105858295</c:v>
                </c:pt>
                <c:pt idx="58">
                  <c:v>0.12267211925192728</c:v>
                </c:pt>
                <c:pt idx="59">
                  <c:v>0.11088836934904425</c:v>
                </c:pt>
                <c:pt idx="60">
                  <c:v>9.9601556753614498E-2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50-1B43-9668-F0D0CCDAF1E7}"/>
            </c:ext>
          </c:extLst>
        </c:ser>
        <c:ser>
          <c:idx val="8"/>
          <c:order val="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Fig1_future_Kaya!$AT$4:$AT$64</c:f>
              <c:numCache>
                <c:formatCode>_(* #,##0.00_);_(* \(#,##0.00\);_(* "-"??_);_(@_)</c:formatCode>
                <c:ptCount val="61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  <c:pt idx="32">
                  <c:v>0.68280815454197707</c:v>
                </c:pt>
                <c:pt idx="33">
                  <c:v>0.61501188496323211</c:v>
                </c:pt>
                <c:pt idx="34">
                  <c:v>0.54900818225631809</c:v>
                </c:pt>
                <c:pt idx="35">
                  <c:v>0.47993256467174583</c:v>
                </c:pt>
                <c:pt idx="36">
                  <c:v>0.45140249140579564</c:v>
                </c:pt>
                <c:pt idx="37">
                  <c:v>0.42346848267927467</c:v>
                </c:pt>
                <c:pt idx="38">
                  <c:v>0.39616262118784035</c:v>
                </c:pt>
                <c:pt idx="39">
                  <c:v>0.36951546470265439</c:v>
                </c:pt>
                <c:pt idx="40">
                  <c:v>0.34355604607038415</c:v>
                </c:pt>
                <c:pt idx="41">
                  <c:v>0.31831187321320126</c:v>
                </c:pt>
                <c:pt idx="42">
                  <c:v>0.29380892912878265</c:v>
                </c:pt>
                <c:pt idx="43">
                  <c:v>0.27007167189030962</c:v>
                </c:pt>
                <c:pt idx="44">
                  <c:v>0.24712303464646898</c:v>
                </c:pt>
                <c:pt idx="45">
                  <c:v>0.22498442562145179</c:v>
                </c:pt>
                <c:pt idx="46">
                  <c:v>0.20367572811495435</c:v>
                </c:pt>
                <c:pt idx="47">
                  <c:v>0.18321530050217757</c:v>
                </c:pt>
                <c:pt idx="48">
                  <c:v>0.16361997623382749</c:v>
                </c:pt>
                <c:pt idx="49">
                  <c:v>0.1449050638361149</c:v>
                </c:pt>
                <c:pt idx="50">
                  <c:v>0.1270843469107554</c:v>
                </c:pt>
                <c:pt idx="51">
                  <c:v>0.11017008413496944</c:v>
                </c:pt>
                <c:pt idx="52">
                  <c:v>9.4173009261482504E-2</c:v>
                </c:pt>
                <c:pt idx="53">
                  <c:v>7.9102331118524757E-2</c:v>
                </c:pt>
                <c:pt idx="54">
                  <c:v>6.4965733609831336E-2</c:v>
                </c:pt>
                <c:pt idx="55">
                  <c:v>5.1769375714642171E-2</c:v>
                </c:pt>
                <c:pt idx="56">
                  <c:v>3.9517891487702156E-2</c:v>
                </c:pt>
                <c:pt idx="57">
                  <c:v>2.8214390059260932E-2</c:v>
                </c:pt>
                <c:pt idx="58">
                  <c:v>1.7860455635073078E-2</c:v>
                </c:pt>
                <c:pt idx="59">
                  <c:v>8.456147496398031E-3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50-1B43-9668-F0D0CCDAF1E7}"/>
            </c:ext>
          </c:extLst>
        </c:ser>
        <c:ser>
          <c:idx val="9"/>
          <c:order val="9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Fig1_future_Kaya!$AJ$4:$AJ$35</c:f>
              <c:numCache>
                <c:formatCode>_(* #,##0.00_);_(* \(#,##0.00\);_(* "-"??_);_(@_)</c:formatCode>
                <c:ptCount val="32"/>
                <c:pt idx="0">
                  <c:v>0.54269778000000002</c:v>
                </c:pt>
                <c:pt idx="1">
                  <c:v>0.52562075600000002</c:v>
                </c:pt>
                <c:pt idx="2">
                  <c:v>0.52916584599999994</c:v>
                </c:pt>
                <c:pt idx="3">
                  <c:v>0.53363175399999996</c:v>
                </c:pt>
                <c:pt idx="4">
                  <c:v>0.55670766700000018</c:v>
                </c:pt>
                <c:pt idx="5">
                  <c:v>0.57076552599999997</c:v>
                </c:pt>
                <c:pt idx="6">
                  <c:v>0.59712128200000014</c:v>
                </c:pt>
                <c:pt idx="7">
                  <c:v>0.6162284830000001</c:v>
                </c:pt>
                <c:pt idx="8">
                  <c:v>0.62800909199999999</c:v>
                </c:pt>
                <c:pt idx="9">
                  <c:v>0.64914668200000003</c:v>
                </c:pt>
                <c:pt idx="10">
                  <c:v>0.67477179700000012</c:v>
                </c:pt>
                <c:pt idx="11">
                  <c:v>0.65939666399999997</c:v>
                </c:pt>
                <c:pt idx="12">
                  <c:v>0.665410422</c:v>
                </c:pt>
                <c:pt idx="13">
                  <c:v>0.66125329600000005</c:v>
                </c:pt>
                <c:pt idx="14">
                  <c:v>0.70393088600000009</c:v>
                </c:pt>
                <c:pt idx="15">
                  <c:v>0.73205280799999994</c:v>
                </c:pt>
                <c:pt idx="16">
                  <c:v>0.74087568299999995</c:v>
                </c:pt>
                <c:pt idx="17">
                  <c:v>0.75977471099999994</c:v>
                </c:pt>
                <c:pt idx="18">
                  <c:v>0.75256760900000008</c:v>
                </c:pt>
                <c:pt idx="19">
                  <c:v>0.71209145900000004</c:v>
                </c:pt>
                <c:pt idx="20">
                  <c:v>0.75039058400000003</c:v>
                </c:pt>
                <c:pt idx="21">
                  <c:v>0.77119166600000011</c:v>
                </c:pt>
                <c:pt idx="22">
                  <c:v>0.78059377800000007</c:v>
                </c:pt>
                <c:pt idx="23">
                  <c:v>0.79993577999999999</c:v>
                </c:pt>
                <c:pt idx="24">
                  <c:v>0.82632976600000008</c:v>
                </c:pt>
                <c:pt idx="25">
                  <c:v>0.87193010700000007</c:v>
                </c:pt>
                <c:pt idx="26">
                  <c:v>0.91315499400000011</c:v>
                </c:pt>
                <c:pt idx="27">
                  <c:v>0.97062137300000007</c:v>
                </c:pt>
                <c:pt idx="28">
                  <c:v>1.007615221</c:v>
                </c:pt>
                <c:pt idx="29">
                  <c:v>1.0269999999999999</c:v>
                </c:pt>
                <c:pt idx="30">
                  <c:v>0.60599999999999998</c:v>
                </c:pt>
                <c:pt idx="31">
                  <c:v>0.72629373574285117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50-1B43-9668-F0D0CCDAF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684704"/>
        <c:axId val="1095302255"/>
      </c:lineChart>
      <c:catAx>
        <c:axId val="16016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02255"/>
        <c:crosses val="autoZero"/>
        <c:auto val="1"/>
        <c:lblAlgn val="ctr"/>
        <c:lblOffset val="100"/>
        <c:noMultiLvlLbl val="0"/>
      </c:catAx>
      <c:valAx>
        <c:axId val="10953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Fig1_historical_Kaya!$E$2</c:f>
              <c:strCache>
                <c:ptCount val="1"/>
                <c:pt idx="0">
                  <c:v>Historical Freight 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Fig1_future_Kaya!$A$4:$A$35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Fig1_historical_Kaya!$E$4:$E$35</c:f>
              <c:numCache>
                <c:formatCode>_(* #,##0.00_);_(* \(#,##0.00\);_(* "-"??_);_(@_)</c:formatCode>
                <c:ptCount val="32"/>
                <c:pt idx="0">
                  <c:v>56124.900350108401</c:v>
                </c:pt>
                <c:pt idx="1">
                  <c:v>56142.300080954701</c:v>
                </c:pt>
                <c:pt idx="2">
                  <c:v>61025.199738494703</c:v>
                </c:pt>
                <c:pt idx="3">
                  <c:v>67522.600189991703</c:v>
                </c:pt>
                <c:pt idx="4">
                  <c:v>77183.300331168095</c:v>
                </c:pt>
                <c:pt idx="5">
                  <c:v>83098.200397834502</c:v>
                </c:pt>
                <c:pt idx="6">
                  <c:v>89164.599980600004</c:v>
                </c:pt>
                <c:pt idx="7">
                  <c:v>102876.10121963199</c:v>
                </c:pt>
                <c:pt idx="8">
                  <c:v>101788.27430563699</c:v>
                </c:pt>
                <c:pt idx="9">
                  <c:v>108629.618245873</c:v>
                </c:pt>
                <c:pt idx="10">
                  <c:v>118257.211</c:v>
                </c:pt>
                <c:pt idx="11">
                  <c:v>110860.835000095</c:v>
                </c:pt>
                <c:pt idx="12">
                  <c:v>117506.673</c:v>
                </c:pt>
                <c:pt idx="13">
                  <c:v>124203.19899999999</c:v>
                </c:pt>
                <c:pt idx="14">
                  <c:v>139032.94</c:v>
                </c:pt>
                <c:pt idx="15">
                  <c:v>141483.603</c:v>
                </c:pt>
                <c:pt idx="16">
                  <c:v>148937.60399999999</c:v>
                </c:pt>
                <c:pt idx="17">
                  <c:v>158205.946</c:v>
                </c:pt>
                <c:pt idx="18">
                  <c:v>158487.87400000001</c:v>
                </c:pt>
                <c:pt idx="19">
                  <c:v>175509.34365439601</c:v>
                </c:pt>
                <c:pt idx="20">
                  <c:v>182025.62707797001</c:v>
                </c:pt>
                <c:pt idx="21">
                  <c:v>183037.23005902299</c:v>
                </c:pt>
                <c:pt idx="22">
                  <c:v>175051.34224884299</c:v>
                </c:pt>
                <c:pt idx="23">
                  <c:v>175829.55781354799</c:v>
                </c:pt>
                <c:pt idx="24">
                  <c:v>184831.10946141899</c:v>
                </c:pt>
                <c:pt idx="25">
                  <c:v>187769.41631234501</c:v>
                </c:pt>
                <c:pt idx="26">
                  <c:v>194898.275094034</c:v>
                </c:pt>
                <c:pt idx="27">
                  <c:v>212866.64717206199</c:v>
                </c:pt>
                <c:pt idx="28">
                  <c:v>221165.70077933499</c:v>
                </c:pt>
                <c:pt idx="29">
                  <c:v>221495.759188436</c:v>
                </c:pt>
                <c:pt idx="30">
                  <c:v>180530.796503552</c:v>
                </c:pt>
                <c:pt idx="31">
                  <c:v>238993.92416432244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2-F243-9BA0-073B07D94C27}"/>
            </c:ext>
          </c:extLst>
        </c:ser>
        <c:ser>
          <c:idx val="0"/>
          <c:order val="1"/>
          <c:tx>
            <c:strRef>
              <c:f>Fig1_historical_Kaya!$C$2</c:f>
              <c:strCache>
                <c:ptCount val="1"/>
                <c:pt idx="0">
                  <c:v>Historical passenger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Fig1_future_Kaya!$A$4:$A$35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Fig1_historical_Kaya!$D$4:$D$35</c:f>
              <c:numCache>
                <c:formatCode>_(* #,##0.00_);_(* \(#,##0.00\);_(* "-"??_);_(@_)</c:formatCode>
                <c:ptCount val="32"/>
                <c:pt idx="0">
                  <c:v>176760</c:v>
                </c:pt>
                <c:pt idx="1">
                  <c:v>172701</c:v>
                </c:pt>
                <c:pt idx="2">
                  <c:v>179622</c:v>
                </c:pt>
                <c:pt idx="3">
                  <c:v>182430</c:v>
                </c:pt>
                <c:pt idx="4">
                  <c:v>197586</c:v>
                </c:pt>
                <c:pt idx="5">
                  <c:v>209997</c:v>
                </c:pt>
                <c:pt idx="6">
                  <c:v>227889</c:v>
                </c:pt>
                <c:pt idx="7">
                  <c:v>238923</c:v>
                </c:pt>
                <c:pt idx="8">
                  <c:v>247230</c:v>
                </c:pt>
                <c:pt idx="9">
                  <c:v>263754</c:v>
                </c:pt>
                <c:pt idx="10">
                  <c:v>281646</c:v>
                </c:pt>
                <c:pt idx="11">
                  <c:v>273474</c:v>
                </c:pt>
                <c:pt idx="12">
                  <c:v>276282</c:v>
                </c:pt>
                <c:pt idx="13">
                  <c:v>285948</c:v>
                </c:pt>
                <c:pt idx="14">
                  <c:v>323055</c:v>
                </c:pt>
                <c:pt idx="15">
                  <c:v>349182</c:v>
                </c:pt>
                <c:pt idx="16">
                  <c:v>371205</c:v>
                </c:pt>
                <c:pt idx="17">
                  <c:v>397332</c:v>
                </c:pt>
                <c:pt idx="18">
                  <c:v>402876</c:v>
                </c:pt>
                <c:pt idx="19">
                  <c:v>404307</c:v>
                </c:pt>
                <c:pt idx="20">
                  <c:v>443037.06</c:v>
                </c:pt>
                <c:pt idx="21">
                  <c:v>472179.6</c:v>
                </c:pt>
                <c:pt idx="22">
                  <c:v>497438.01</c:v>
                </c:pt>
                <c:pt idx="23">
                  <c:v>524760.75</c:v>
                </c:pt>
                <c:pt idx="24">
                  <c:v>556125.75</c:v>
                </c:pt>
                <c:pt idx="25">
                  <c:v>597826.26</c:v>
                </c:pt>
                <c:pt idx="26">
                  <c:v>642011.49</c:v>
                </c:pt>
                <c:pt idx="27">
                  <c:v>692947.8</c:v>
                </c:pt>
                <c:pt idx="28">
                  <c:v>733332.26505138876</c:v>
                </c:pt>
                <c:pt idx="29">
                  <c:v>773716.7301027776</c:v>
                </c:pt>
                <c:pt idx="30">
                  <c:v>269100.18</c:v>
                </c:pt>
                <c:pt idx="31">
                  <c:v>547171.97109356348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2-F243-9BA0-073B07D9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57135"/>
        <c:axId val="481856367"/>
      </c:areaChart>
      <c:catAx>
        <c:axId val="482157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56367"/>
        <c:crosses val="autoZero"/>
        <c:auto val="1"/>
        <c:lblAlgn val="ctr"/>
        <c:lblOffset val="100"/>
        <c:noMultiLvlLbl val="0"/>
      </c:catAx>
      <c:valAx>
        <c:axId val="4818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5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Equivalent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Fig1_future_Kaya!$J$3</c:f>
              <c:strCache>
                <c:ptCount val="1"/>
                <c:pt idx="0">
                  <c:v>Business-as-usual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Fig1_future_Kaya!$AE$4:$AE$64</c:f>
              <c:numCache>
                <c:formatCode>0.0</c:formatCode>
                <c:ptCount val="61"/>
                <c:pt idx="0">
                  <c:v>125.22785698592975</c:v>
                </c:pt>
                <c:pt idx="1">
                  <c:v>125.38776805049291</c:v>
                </c:pt>
                <c:pt idx="2">
                  <c:v>125.87276500743906</c:v>
                </c:pt>
                <c:pt idx="3">
                  <c:v>125.71748006860794</c:v>
                </c:pt>
                <c:pt idx="4">
                  <c:v>125.45734833615738</c:v>
                </c:pt>
                <c:pt idx="5">
                  <c:v>125.47685153312484</c:v>
                </c:pt>
                <c:pt idx="6">
                  <c:v>125.9270415409036</c:v>
                </c:pt>
                <c:pt idx="7">
                  <c:v>125.65096278899783</c:v>
                </c:pt>
                <c:pt idx="8">
                  <c:v>125.23909867673007</c:v>
                </c:pt>
                <c:pt idx="9">
                  <c:v>125.11708235774705</c:v>
                </c:pt>
                <c:pt idx="10">
                  <c:v>125.70472765411071</c:v>
                </c:pt>
                <c:pt idx="11">
                  <c:v>125.38966992210287</c:v>
                </c:pt>
                <c:pt idx="12">
                  <c:v>125.51705922400888</c:v>
                </c:pt>
                <c:pt idx="13">
                  <c:v>125.44302743617355</c:v>
                </c:pt>
                <c:pt idx="14">
                  <c:v>125.52402393943781</c:v>
                </c:pt>
                <c:pt idx="15">
                  <c:v>125.03894513722315</c:v>
                </c:pt>
                <c:pt idx="16">
                  <c:v>125.12355624433249</c:v>
                </c:pt>
                <c:pt idx="17">
                  <c:v>124.92687420336007</c:v>
                </c:pt>
                <c:pt idx="18">
                  <c:v>125.26415754329425</c:v>
                </c:pt>
                <c:pt idx="19">
                  <c:v>124.83838216252924</c:v>
                </c:pt>
                <c:pt idx="20">
                  <c:v>124.77755228429876</c:v>
                </c:pt>
                <c:pt idx="21">
                  <c:v>125.25699754759717</c:v>
                </c:pt>
                <c:pt idx="22">
                  <c:v>125.86388671513734</c:v>
                </c:pt>
                <c:pt idx="23">
                  <c:v>124.99100499990007</c:v>
                </c:pt>
                <c:pt idx="24">
                  <c:v>125.10986605393883</c:v>
                </c:pt>
                <c:pt idx="25">
                  <c:v>125.11390126131568</c:v>
                </c:pt>
                <c:pt idx="26">
                  <c:v>125.53908676089277</c:v>
                </c:pt>
                <c:pt idx="27">
                  <c:v>125.14710922327154</c:v>
                </c:pt>
                <c:pt idx="28">
                  <c:v>124.4177746353089</c:v>
                </c:pt>
                <c:pt idx="29">
                  <c:v>124.89516301119977</c:v>
                </c:pt>
                <c:pt idx="30">
                  <c:v>124.89516301119983</c:v>
                </c:pt>
                <c:pt idx="31">
                  <c:v>124.89516301119976</c:v>
                </c:pt>
                <c:pt idx="32">
                  <c:v>124.89516301119976</c:v>
                </c:pt>
                <c:pt idx="33">
                  <c:v>124.89516301119976</c:v>
                </c:pt>
                <c:pt idx="34">
                  <c:v>124.89516301119976</c:v>
                </c:pt>
                <c:pt idx="35">
                  <c:v>124.89516301119976</c:v>
                </c:pt>
                <c:pt idx="36">
                  <c:v>124.89516301119976</c:v>
                </c:pt>
                <c:pt idx="37">
                  <c:v>124.89516301119976</c:v>
                </c:pt>
                <c:pt idx="38">
                  <c:v>124.89516301119976</c:v>
                </c:pt>
                <c:pt idx="39">
                  <c:v>124.89516301119976</c:v>
                </c:pt>
                <c:pt idx="40">
                  <c:v>124.89516301119976</c:v>
                </c:pt>
                <c:pt idx="41">
                  <c:v>124.89516301119976</c:v>
                </c:pt>
                <c:pt idx="42">
                  <c:v>124.89516301119976</c:v>
                </c:pt>
                <c:pt idx="43">
                  <c:v>124.89516301119976</c:v>
                </c:pt>
                <c:pt idx="44">
                  <c:v>124.89516301119976</c:v>
                </c:pt>
                <c:pt idx="45">
                  <c:v>124.89516301119976</c:v>
                </c:pt>
                <c:pt idx="46">
                  <c:v>124.89516301119976</c:v>
                </c:pt>
                <c:pt idx="47">
                  <c:v>124.89516301119976</c:v>
                </c:pt>
                <c:pt idx="48">
                  <c:v>124.89516301119976</c:v>
                </c:pt>
                <c:pt idx="49">
                  <c:v>124.89516301119976</c:v>
                </c:pt>
                <c:pt idx="50">
                  <c:v>124.89516301119976</c:v>
                </c:pt>
                <c:pt idx="51">
                  <c:v>124.89516301119976</c:v>
                </c:pt>
                <c:pt idx="52">
                  <c:v>124.89516301119976</c:v>
                </c:pt>
                <c:pt idx="53">
                  <c:v>124.89516301119976</c:v>
                </c:pt>
                <c:pt idx="54">
                  <c:v>124.89516301119976</c:v>
                </c:pt>
                <c:pt idx="55">
                  <c:v>124.89516301119976</c:v>
                </c:pt>
                <c:pt idx="56">
                  <c:v>124.89516301119976</c:v>
                </c:pt>
                <c:pt idx="57">
                  <c:v>124.89516301119976</c:v>
                </c:pt>
                <c:pt idx="58">
                  <c:v>124.89516301119976</c:v>
                </c:pt>
                <c:pt idx="59">
                  <c:v>124.89516301119976</c:v>
                </c:pt>
                <c:pt idx="60">
                  <c:v>124.89516301119976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E-E541-8DA7-2DE25597E22C}"/>
            </c:ext>
          </c:extLst>
        </c:ser>
        <c:ser>
          <c:idx val="1"/>
          <c:order val="1"/>
          <c:tx>
            <c:strRef>
              <c:f>Fig1_future_Kaya!$K$3</c:f>
              <c:strCache>
                <c:ptCount val="1"/>
                <c:pt idx="0">
                  <c:v>Industry Projections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Fig1_future_Kaya!$AF$4:$AF$64</c:f>
              <c:numCache>
                <c:formatCode>0.0</c:formatCode>
                <c:ptCount val="61"/>
                <c:pt idx="0">
                  <c:v>125.22785698592975</c:v>
                </c:pt>
                <c:pt idx="1">
                  <c:v>125.38776805049291</c:v>
                </c:pt>
                <c:pt idx="2">
                  <c:v>125.87276500743906</c:v>
                </c:pt>
                <c:pt idx="3">
                  <c:v>125.71748006860794</c:v>
                </c:pt>
                <c:pt idx="4">
                  <c:v>125.45734833615738</c:v>
                </c:pt>
                <c:pt idx="5">
                  <c:v>125.47685153312484</c:v>
                </c:pt>
                <c:pt idx="6">
                  <c:v>125.9270415409036</c:v>
                </c:pt>
                <c:pt idx="7">
                  <c:v>125.65096278899783</c:v>
                </c:pt>
                <c:pt idx="8">
                  <c:v>125.23909867673007</c:v>
                </c:pt>
                <c:pt idx="9">
                  <c:v>125.11708235774705</c:v>
                </c:pt>
                <c:pt idx="10">
                  <c:v>125.70472765411071</c:v>
                </c:pt>
                <c:pt idx="11">
                  <c:v>125.38966992210287</c:v>
                </c:pt>
                <c:pt idx="12">
                  <c:v>125.51705922400888</c:v>
                </c:pt>
                <c:pt idx="13">
                  <c:v>125.44302743617355</c:v>
                </c:pt>
                <c:pt idx="14">
                  <c:v>125.52402393943781</c:v>
                </c:pt>
                <c:pt idx="15">
                  <c:v>125.03894513722315</c:v>
                </c:pt>
                <c:pt idx="16">
                  <c:v>125.12355624433249</c:v>
                </c:pt>
                <c:pt idx="17">
                  <c:v>124.92687420336007</c:v>
                </c:pt>
                <c:pt idx="18">
                  <c:v>125.26415754329425</c:v>
                </c:pt>
                <c:pt idx="19">
                  <c:v>124.83838216252924</c:v>
                </c:pt>
                <c:pt idx="20">
                  <c:v>124.77755228429876</c:v>
                </c:pt>
                <c:pt idx="21">
                  <c:v>125.25699754759717</c:v>
                </c:pt>
                <c:pt idx="22">
                  <c:v>125.86388671513734</c:v>
                </c:pt>
                <c:pt idx="23">
                  <c:v>124.99100499990007</c:v>
                </c:pt>
                <c:pt idx="24">
                  <c:v>125.10986605393883</c:v>
                </c:pt>
                <c:pt idx="25">
                  <c:v>125.11390126131568</c:v>
                </c:pt>
                <c:pt idx="26">
                  <c:v>125.53908676089277</c:v>
                </c:pt>
                <c:pt idx="27">
                  <c:v>125.14710922327154</c:v>
                </c:pt>
                <c:pt idx="28">
                  <c:v>124.4177746353089</c:v>
                </c:pt>
                <c:pt idx="29">
                  <c:v>124.89516301119977</c:v>
                </c:pt>
                <c:pt idx="30">
                  <c:v>124.89516301119983</c:v>
                </c:pt>
                <c:pt idx="31">
                  <c:v>124.89516301119976</c:v>
                </c:pt>
                <c:pt idx="32">
                  <c:v>124.89516301119976</c:v>
                </c:pt>
                <c:pt idx="33">
                  <c:v>124.40537805821467</c:v>
                </c:pt>
                <c:pt idx="34">
                  <c:v>123.91559310522956</c:v>
                </c:pt>
                <c:pt idx="35">
                  <c:v>123.09305217346602</c:v>
                </c:pt>
                <c:pt idx="36">
                  <c:v>122.2926379234697</c:v>
                </c:pt>
                <c:pt idx="37">
                  <c:v>121.49475895712123</c:v>
                </c:pt>
                <c:pt idx="38">
                  <c:v>120.69941527442059</c:v>
                </c:pt>
                <c:pt idx="39">
                  <c:v>119.9066068753678</c:v>
                </c:pt>
                <c:pt idx="40">
                  <c:v>119.11633375996283</c:v>
                </c:pt>
                <c:pt idx="41">
                  <c:v>117.08879826131661</c:v>
                </c:pt>
                <c:pt idx="42">
                  <c:v>115.07061162112177</c:v>
                </c:pt>
                <c:pt idx="43">
                  <c:v>113.06177383937833</c:v>
                </c:pt>
                <c:pt idx="44">
                  <c:v>111.0622849160863</c:v>
                </c:pt>
                <c:pt idx="45">
                  <c:v>109.07214485124565</c:v>
                </c:pt>
                <c:pt idx="46">
                  <c:v>105.64109898848687</c:v>
                </c:pt>
                <c:pt idx="47">
                  <c:v>102.22748320080694</c:v>
                </c:pt>
                <c:pt idx="48">
                  <c:v>98.831297488205905</c:v>
                </c:pt>
                <c:pt idx="49">
                  <c:v>95.452541850683744</c:v>
                </c:pt>
                <c:pt idx="50">
                  <c:v>92.091216288240432</c:v>
                </c:pt>
                <c:pt idx="51">
                  <c:v>89.728728771817742</c:v>
                </c:pt>
                <c:pt idx="52">
                  <c:v>87.378125397494301</c:v>
                </c:pt>
                <c:pt idx="53">
                  <c:v>85.039406165270094</c:v>
                </c:pt>
                <c:pt idx="54">
                  <c:v>82.712571075145092</c:v>
                </c:pt>
                <c:pt idx="55">
                  <c:v>80.397620127119353</c:v>
                </c:pt>
                <c:pt idx="56">
                  <c:v>78.647435114617195</c:v>
                </c:pt>
                <c:pt idx="57">
                  <c:v>76.905965139654484</c:v>
                </c:pt>
                <c:pt idx="58">
                  <c:v>75.173210202231189</c:v>
                </c:pt>
                <c:pt idx="59">
                  <c:v>73.449170302347355</c:v>
                </c:pt>
                <c:pt idx="60">
                  <c:v>71.733845440002966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E-E541-8DA7-2DE25597E22C}"/>
            </c:ext>
          </c:extLst>
        </c:ser>
        <c:ser>
          <c:idx val="2"/>
          <c:order val="2"/>
          <c:tx>
            <c:strRef>
              <c:f>Fig1_future_Kaya!$L$3</c:f>
              <c:strCache>
                <c:ptCount val="1"/>
                <c:pt idx="0">
                  <c:v>Ambitious Projections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Fig1_future_Kaya!$AG$4:$AG$64</c:f>
              <c:numCache>
                <c:formatCode>0.0</c:formatCode>
                <c:ptCount val="61"/>
                <c:pt idx="0">
                  <c:v>125.22785698592975</c:v>
                </c:pt>
                <c:pt idx="1">
                  <c:v>125.38776805049291</c:v>
                </c:pt>
                <c:pt idx="2">
                  <c:v>125.87276500743906</c:v>
                </c:pt>
                <c:pt idx="3">
                  <c:v>125.71748006860794</c:v>
                </c:pt>
                <c:pt idx="4">
                  <c:v>125.45734833615738</c:v>
                </c:pt>
                <c:pt idx="5">
                  <c:v>125.47685153312484</c:v>
                </c:pt>
                <c:pt idx="6">
                  <c:v>125.9270415409036</c:v>
                </c:pt>
                <c:pt idx="7">
                  <c:v>125.65096278899783</c:v>
                </c:pt>
                <c:pt idx="8">
                  <c:v>125.23909867673007</c:v>
                </c:pt>
                <c:pt idx="9">
                  <c:v>125.11708235774705</c:v>
                </c:pt>
                <c:pt idx="10">
                  <c:v>125.70472765411071</c:v>
                </c:pt>
                <c:pt idx="11">
                  <c:v>125.38966992210287</c:v>
                </c:pt>
                <c:pt idx="12">
                  <c:v>125.51705922400888</c:v>
                </c:pt>
                <c:pt idx="13">
                  <c:v>125.44302743617355</c:v>
                </c:pt>
                <c:pt idx="14">
                  <c:v>125.52402393943781</c:v>
                </c:pt>
                <c:pt idx="15">
                  <c:v>125.03894513722315</c:v>
                </c:pt>
                <c:pt idx="16">
                  <c:v>125.12355624433249</c:v>
                </c:pt>
                <c:pt idx="17">
                  <c:v>124.92687420336007</c:v>
                </c:pt>
                <c:pt idx="18">
                  <c:v>125.26415754329425</c:v>
                </c:pt>
                <c:pt idx="19">
                  <c:v>124.83838216252924</c:v>
                </c:pt>
                <c:pt idx="20">
                  <c:v>124.77755228429876</c:v>
                </c:pt>
                <c:pt idx="21">
                  <c:v>125.25699754759717</c:v>
                </c:pt>
                <c:pt idx="22">
                  <c:v>125.86388671513734</c:v>
                </c:pt>
                <c:pt idx="23">
                  <c:v>124.99100499990007</c:v>
                </c:pt>
                <c:pt idx="24">
                  <c:v>125.10986605393883</c:v>
                </c:pt>
                <c:pt idx="25">
                  <c:v>125.11390126131568</c:v>
                </c:pt>
                <c:pt idx="26">
                  <c:v>125.53908676089277</c:v>
                </c:pt>
                <c:pt idx="27">
                  <c:v>125.14710922327154</c:v>
                </c:pt>
                <c:pt idx="28">
                  <c:v>124.4177746353089</c:v>
                </c:pt>
                <c:pt idx="29">
                  <c:v>124.89516301119977</c:v>
                </c:pt>
                <c:pt idx="30">
                  <c:v>124.89516301119983</c:v>
                </c:pt>
                <c:pt idx="31">
                  <c:v>124.89516301119976</c:v>
                </c:pt>
                <c:pt idx="32">
                  <c:v>124.89516301119976</c:v>
                </c:pt>
                <c:pt idx="33">
                  <c:v>122.2713150487796</c:v>
                </c:pt>
                <c:pt idx="34">
                  <c:v>119.64746708635944</c:v>
                </c:pt>
                <c:pt idx="35">
                  <c:v>115.81017421179257</c:v>
                </c:pt>
                <c:pt idx="36">
                  <c:v>112.02729590727715</c:v>
                </c:pt>
                <c:pt idx="37">
                  <c:v>108.29883217281312</c:v>
                </c:pt>
                <c:pt idx="38">
                  <c:v>104.62478300840054</c:v>
                </c:pt>
                <c:pt idx="39">
                  <c:v>101.00514841403935</c:v>
                </c:pt>
                <c:pt idx="40">
                  <c:v>97.439928389729616</c:v>
                </c:pt>
                <c:pt idx="41">
                  <c:v>93.929122935471284</c:v>
                </c:pt>
                <c:pt idx="42">
                  <c:v>90.472732051264387</c:v>
                </c:pt>
                <c:pt idx="43">
                  <c:v>87.070755737108882</c:v>
                </c:pt>
                <c:pt idx="44">
                  <c:v>83.723193993004827</c:v>
                </c:pt>
                <c:pt idx="45">
                  <c:v>80.430046818952178</c:v>
                </c:pt>
                <c:pt idx="46">
                  <c:v>77.191314214950978</c:v>
                </c:pt>
                <c:pt idx="47">
                  <c:v>74.006996181001156</c:v>
                </c:pt>
                <c:pt idx="48">
                  <c:v>70.877092717102784</c:v>
                </c:pt>
                <c:pt idx="49">
                  <c:v>67.801603823255832</c:v>
                </c:pt>
                <c:pt idx="50">
                  <c:v>64.7805294994603</c:v>
                </c:pt>
                <c:pt idx="51">
                  <c:v>61.813869745716175</c:v>
                </c:pt>
                <c:pt idx="52">
                  <c:v>58.901624562023478</c:v>
                </c:pt>
                <c:pt idx="53">
                  <c:v>56.043793948382209</c:v>
                </c:pt>
                <c:pt idx="54">
                  <c:v>53.240377904792354</c:v>
                </c:pt>
                <c:pt idx="55">
                  <c:v>50.491376431253926</c:v>
                </c:pt>
                <c:pt idx="56">
                  <c:v>47.796789527766919</c:v>
                </c:pt>
                <c:pt idx="57">
                  <c:v>45.156617194331332</c:v>
                </c:pt>
                <c:pt idx="58">
                  <c:v>42.570859430947159</c:v>
                </c:pt>
                <c:pt idx="59">
                  <c:v>40.039516237614414</c:v>
                </c:pt>
                <c:pt idx="60">
                  <c:v>37.562587614333069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E-E541-8DA7-2DE25597E22C}"/>
            </c:ext>
          </c:extLst>
        </c:ser>
        <c:ser>
          <c:idx val="3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Fig1_future_Kaya!$AE$4:$AE$35</c:f>
              <c:numCache>
                <c:formatCode>0.0</c:formatCode>
                <c:ptCount val="32"/>
                <c:pt idx="0">
                  <c:v>125.22785698592975</c:v>
                </c:pt>
                <c:pt idx="1">
                  <c:v>125.38776805049291</c:v>
                </c:pt>
                <c:pt idx="2">
                  <c:v>125.87276500743906</c:v>
                </c:pt>
                <c:pt idx="3">
                  <c:v>125.71748006860794</c:v>
                </c:pt>
                <c:pt idx="4">
                  <c:v>125.45734833615738</c:v>
                </c:pt>
                <c:pt idx="5">
                  <c:v>125.47685153312484</c:v>
                </c:pt>
                <c:pt idx="6">
                  <c:v>125.9270415409036</c:v>
                </c:pt>
                <c:pt idx="7">
                  <c:v>125.65096278899783</c:v>
                </c:pt>
                <c:pt idx="8">
                  <c:v>125.23909867673007</c:v>
                </c:pt>
                <c:pt idx="9">
                  <c:v>125.11708235774705</c:v>
                </c:pt>
                <c:pt idx="10">
                  <c:v>125.70472765411071</c:v>
                </c:pt>
                <c:pt idx="11">
                  <c:v>125.38966992210287</c:v>
                </c:pt>
                <c:pt idx="12">
                  <c:v>125.51705922400888</c:v>
                </c:pt>
                <c:pt idx="13">
                  <c:v>125.44302743617355</c:v>
                </c:pt>
                <c:pt idx="14">
                  <c:v>125.52402393943781</c:v>
                </c:pt>
                <c:pt idx="15">
                  <c:v>125.03894513722315</c:v>
                </c:pt>
                <c:pt idx="16">
                  <c:v>125.12355624433249</c:v>
                </c:pt>
                <c:pt idx="17">
                  <c:v>124.92687420336007</c:v>
                </c:pt>
                <c:pt idx="18">
                  <c:v>125.26415754329425</c:v>
                </c:pt>
                <c:pt idx="19">
                  <c:v>124.83838216252924</c:v>
                </c:pt>
                <c:pt idx="20">
                  <c:v>124.77755228429876</c:v>
                </c:pt>
                <c:pt idx="21">
                  <c:v>125.25699754759717</c:v>
                </c:pt>
                <c:pt idx="22">
                  <c:v>125.86388671513734</c:v>
                </c:pt>
                <c:pt idx="23">
                  <c:v>124.99100499990007</c:v>
                </c:pt>
                <c:pt idx="24">
                  <c:v>125.10986605393883</c:v>
                </c:pt>
                <c:pt idx="25">
                  <c:v>125.11390126131568</c:v>
                </c:pt>
                <c:pt idx="26">
                  <c:v>125.53908676089277</c:v>
                </c:pt>
                <c:pt idx="27">
                  <c:v>125.14710922327154</c:v>
                </c:pt>
                <c:pt idx="28">
                  <c:v>124.4177746353089</c:v>
                </c:pt>
                <c:pt idx="29">
                  <c:v>124.89516301119977</c:v>
                </c:pt>
                <c:pt idx="30">
                  <c:v>124.89516301119983</c:v>
                </c:pt>
                <c:pt idx="31">
                  <c:v>124.89516301119976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7E-E541-8DA7-2DE25597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877136"/>
        <c:axId val="687934176"/>
      </c:lineChart>
      <c:catAx>
        <c:axId val="5298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34176"/>
        <c:crosses val="autoZero"/>
        <c:auto val="1"/>
        <c:lblAlgn val="ctr"/>
        <c:lblOffset val="100"/>
        <c:noMultiLvlLbl val="0"/>
      </c:catAx>
      <c:valAx>
        <c:axId val="6879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Fig1_future_Kaya!$J$3</c:f>
              <c:strCache>
                <c:ptCount val="1"/>
                <c:pt idx="0">
                  <c:v>Business-as-usual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Fig1_future_Kaya!$W$4:$W$64</c:f>
              <c:numCache>
                <c:formatCode>_(* #,##0.00_);_(* \(#,##0.00\);_(* "-"??_);_(@_)</c:formatCode>
                <c:ptCount val="61"/>
                <c:pt idx="0">
                  <c:v>2.8471293367291284</c:v>
                </c:pt>
                <c:pt idx="1">
                  <c:v>2.8026609570603807</c:v>
                </c:pt>
                <c:pt idx="2">
                  <c:v>2.6728257816679326</c:v>
                </c:pt>
                <c:pt idx="3">
                  <c:v>2.5982430194355359</c:v>
                </c:pt>
                <c:pt idx="4">
                  <c:v>2.4708951752296309</c:v>
                </c:pt>
                <c:pt idx="5">
                  <c:v>2.3745255410386612</c:v>
                </c:pt>
                <c:pt idx="6">
                  <c:v>2.288243786828557</c:v>
                </c:pt>
                <c:pt idx="7">
                  <c:v>2.1953130645167289</c:v>
                </c:pt>
                <c:pt idx="8">
                  <c:v>2.1982104181899755</c:v>
                </c:pt>
                <c:pt idx="9">
                  <c:v>2.1317049645081343</c:v>
                </c:pt>
                <c:pt idx="10">
                  <c:v>2.0537229222762212</c:v>
                </c:pt>
                <c:pt idx="11">
                  <c:v>2.0934696440815945</c:v>
                </c:pt>
                <c:pt idx="12">
                  <c:v>2.0597525737295794</c:v>
                </c:pt>
                <c:pt idx="13">
                  <c:v>1.9663859768847742</c:v>
                </c:pt>
                <c:pt idx="14">
                  <c:v>1.8568206813477737</c:v>
                </c:pt>
                <c:pt idx="15">
                  <c:v>1.8255886484691068</c:v>
                </c:pt>
                <c:pt idx="16">
                  <c:v>1.7417076706810881</c:v>
                </c:pt>
                <c:pt idx="17">
                  <c:v>1.6749685713189457</c:v>
                </c:pt>
                <c:pt idx="18">
                  <c:v>1.6374410370233714</c:v>
                </c:pt>
                <c:pt idx="19">
                  <c:v>1.505180637101756</c:v>
                </c:pt>
                <c:pt idx="20">
                  <c:v>1.4720371485276866</c:v>
                </c:pt>
                <c:pt idx="21">
                  <c:v>1.4376948494325907</c:v>
                </c:pt>
                <c:pt idx="22">
                  <c:v>1.4110095882028042</c:v>
                </c:pt>
                <c:pt idx="23">
                  <c:v>1.3976668624245896</c:v>
                </c:pt>
                <c:pt idx="24">
                  <c:v>1.363830334834915</c:v>
                </c:pt>
                <c:pt idx="25">
                  <c:v>1.3572768872807228</c:v>
                </c:pt>
                <c:pt idx="26">
                  <c:v>1.3297755059620446</c:v>
                </c:pt>
                <c:pt idx="27">
                  <c:v>1.3100299227992074</c:v>
                </c:pt>
                <c:pt idx="28">
                  <c:v>1.2981614664727734</c:v>
                </c:pt>
                <c:pt idx="29">
                  <c:v>1.264155323127212</c:v>
                </c:pt>
                <c:pt idx="30">
                  <c:v>1.6510575530647869</c:v>
                </c:pt>
                <c:pt idx="31">
                  <c:v>1.1317328195165404</c:v>
                </c:pt>
                <c:pt idx="32">
                  <c:v>1.1204154913213749</c:v>
                </c:pt>
                <c:pt idx="33">
                  <c:v>1.1092113364081611</c:v>
                </c:pt>
                <c:pt idx="34">
                  <c:v>1.0981192230440795</c:v>
                </c:pt>
                <c:pt idx="35">
                  <c:v>1.0871380308136387</c:v>
                </c:pt>
                <c:pt idx="36">
                  <c:v>1.0762666505055023</c:v>
                </c:pt>
                <c:pt idx="37">
                  <c:v>1.0655039840004472</c:v>
                </c:pt>
                <c:pt idx="38">
                  <c:v>1.0548489441604427</c:v>
                </c:pt>
                <c:pt idx="39">
                  <c:v>1.0443004547188384</c:v>
                </c:pt>
                <c:pt idx="40">
                  <c:v>1.03385745017165</c:v>
                </c:pt>
                <c:pt idx="41">
                  <c:v>1.0235188756699334</c:v>
                </c:pt>
                <c:pt idx="42">
                  <c:v>1.013283686913234</c:v>
                </c:pt>
                <c:pt idx="43">
                  <c:v>1.0031508500441018</c:v>
                </c:pt>
                <c:pt idx="44">
                  <c:v>0.99311934154366077</c:v>
                </c:pt>
                <c:pt idx="45">
                  <c:v>0.98318814812822419</c:v>
                </c:pt>
                <c:pt idx="46">
                  <c:v>0.97335626664694197</c:v>
                </c:pt>
                <c:pt idx="47">
                  <c:v>0.96362270398047256</c:v>
                </c:pt>
                <c:pt idx="48">
                  <c:v>0.95398647694066785</c:v>
                </c:pt>
                <c:pt idx="49">
                  <c:v>0.94444661217126114</c:v>
                </c:pt>
                <c:pt idx="50">
                  <c:v>0.93500214604954857</c:v>
                </c:pt>
                <c:pt idx="51">
                  <c:v>0.9256521245890531</c:v>
                </c:pt>
                <c:pt idx="52">
                  <c:v>0.91639560334316261</c:v>
                </c:pt>
                <c:pt idx="53">
                  <c:v>0.90723164730973094</c:v>
                </c:pt>
                <c:pt idx="54">
                  <c:v>0.89815933083663357</c:v>
                </c:pt>
                <c:pt idx="55">
                  <c:v>0.88917773752826723</c:v>
                </c:pt>
                <c:pt idx="56">
                  <c:v>0.88028596015298455</c:v>
                </c:pt>
                <c:pt idx="57">
                  <c:v>0.87148310055145473</c:v>
                </c:pt>
                <c:pt idx="58">
                  <c:v>0.86276826954594021</c:v>
                </c:pt>
                <c:pt idx="59">
                  <c:v>0.85414058685048078</c:v>
                </c:pt>
                <c:pt idx="60">
                  <c:v>0.84559918098197595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8B45-BF05-02652FB64130}"/>
            </c:ext>
          </c:extLst>
        </c:ser>
        <c:ser>
          <c:idx val="1"/>
          <c:order val="1"/>
          <c:tx>
            <c:strRef>
              <c:f>Fig1_future_Kaya!$K$3</c:f>
              <c:strCache>
                <c:ptCount val="1"/>
                <c:pt idx="0">
                  <c:v>Industry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Fig1_future_Kaya!$X$4:$X$64</c:f>
              <c:numCache>
                <c:formatCode>_(* #,##0.00_);_(* \(#,##0.00\);_(* "-"??_);_(@_)</c:formatCode>
                <c:ptCount val="61"/>
                <c:pt idx="0">
                  <c:v>2.8471293367291284</c:v>
                </c:pt>
                <c:pt idx="1">
                  <c:v>2.8026609570603807</c:v>
                </c:pt>
                <c:pt idx="2">
                  <c:v>2.6728257816679326</c:v>
                </c:pt>
                <c:pt idx="3">
                  <c:v>2.5982430194355359</c:v>
                </c:pt>
                <c:pt idx="4">
                  <c:v>2.4708951752296309</c:v>
                </c:pt>
                <c:pt idx="5">
                  <c:v>2.3745255410386612</c:v>
                </c:pt>
                <c:pt idx="6">
                  <c:v>2.288243786828557</c:v>
                </c:pt>
                <c:pt idx="7">
                  <c:v>2.1953130645167289</c:v>
                </c:pt>
                <c:pt idx="8">
                  <c:v>2.1982104181899755</c:v>
                </c:pt>
                <c:pt idx="9">
                  <c:v>2.1317049645081343</c:v>
                </c:pt>
                <c:pt idx="10">
                  <c:v>2.0537229222762212</c:v>
                </c:pt>
                <c:pt idx="11">
                  <c:v>2.0934696440815945</c:v>
                </c:pt>
                <c:pt idx="12">
                  <c:v>2.0597525737295794</c:v>
                </c:pt>
                <c:pt idx="13">
                  <c:v>1.9663859768847742</c:v>
                </c:pt>
                <c:pt idx="14">
                  <c:v>1.8568206813477737</c:v>
                </c:pt>
                <c:pt idx="15">
                  <c:v>1.8255886484691068</c:v>
                </c:pt>
                <c:pt idx="16">
                  <c:v>1.7417076706810881</c:v>
                </c:pt>
                <c:pt idx="17">
                  <c:v>1.6749685713189457</c:v>
                </c:pt>
                <c:pt idx="18">
                  <c:v>1.6374410370233714</c:v>
                </c:pt>
                <c:pt idx="19">
                  <c:v>1.505180637101756</c:v>
                </c:pt>
                <c:pt idx="20">
                  <c:v>1.4720371485276866</c:v>
                </c:pt>
                <c:pt idx="21">
                  <c:v>1.4376948494325907</c:v>
                </c:pt>
                <c:pt idx="22">
                  <c:v>1.4110095882028042</c:v>
                </c:pt>
                <c:pt idx="23">
                  <c:v>1.3976668624245896</c:v>
                </c:pt>
                <c:pt idx="24">
                  <c:v>1.363830334834915</c:v>
                </c:pt>
                <c:pt idx="25">
                  <c:v>1.3572768872807228</c:v>
                </c:pt>
                <c:pt idx="26">
                  <c:v>1.3297755059620446</c:v>
                </c:pt>
                <c:pt idx="27">
                  <c:v>1.3100299227992074</c:v>
                </c:pt>
                <c:pt idx="28">
                  <c:v>1.2981614664727734</c:v>
                </c:pt>
                <c:pt idx="29">
                  <c:v>1.264155323127212</c:v>
                </c:pt>
                <c:pt idx="30">
                  <c:v>1.6510575530647869</c:v>
                </c:pt>
                <c:pt idx="31">
                  <c:v>1.1317328195165404</c:v>
                </c:pt>
                <c:pt idx="32">
                  <c:v>1.1090981631262096</c:v>
                </c:pt>
                <c:pt idx="33">
                  <c:v>1.0869161998636854</c:v>
                </c:pt>
                <c:pt idx="34">
                  <c:v>1.0651778758664117</c:v>
                </c:pt>
                <c:pt idx="35">
                  <c:v>1.0438743183490835</c:v>
                </c:pt>
                <c:pt idx="36">
                  <c:v>1.0229968319821019</c:v>
                </c:pt>
                <c:pt idx="37">
                  <c:v>1.0025368953424598</c:v>
                </c:pt>
                <c:pt idx="38">
                  <c:v>0.98248615743561063</c:v>
                </c:pt>
                <c:pt idx="39">
                  <c:v>0.96283643428689836</c:v>
                </c:pt>
                <c:pt idx="40">
                  <c:v>0.94357970560116033</c:v>
                </c:pt>
                <c:pt idx="41">
                  <c:v>0.92470811148913712</c:v>
                </c:pt>
                <c:pt idx="42">
                  <c:v>0.90621394925935439</c:v>
                </c:pt>
                <c:pt idx="43">
                  <c:v>0.8880896702741673</c:v>
                </c:pt>
                <c:pt idx="44">
                  <c:v>0.87032787686868396</c:v>
                </c:pt>
                <c:pt idx="45">
                  <c:v>0.85292131933131021</c:v>
                </c:pt>
                <c:pt idx="46">
                  <c:v>0.83586289294468397</c:v>
                </c:pt>
                <c:pt idx="47">
                  <c:v>0.8191456350857903</c:v>
                </c:pt>
                <c:pt idx="48">
                  <c:v>0.80276272238407453</c:v>
                </c:pt>
                <c:pt idx="49">
                  <c:v>0.78670746793639301</c:v>
                </c:pt>
                <c:pt idx="50">
                  <c:v>0.77097331857766516</c:v>
                </c:pt>
                <c:pt idx="51">
                  <c:v>0.75555385220611182</c:v>
                </c:pt>
                <c:pt idx="52">
                  <c:v>0.74044277516198953</c:v>
                </c:pt>
                <c:pt idx="53">
                  <c:v>0.72563391965874968</c:v>
                </c:pt>
                <c:pt idx="54">
                  <c:v>0.71112124126557463</c:v>
                </c:pt>
                <c:pt idx="55">
                  <c:v>0.69689881644026308</c:v>
                </c:pt>
                <c:pt idx="56">
                  <c:v>0.68296084011145786</c:v>
                </c:pt>
                <c:pt idx="57">
                  <c:v>0.66930162330922871</c:v>
                </c:pt>
                <c:pt idx="58">
                  <c:v>0.65591559084304407</c:v>
                </c:pt>
                <c:pt idx="59">
                  <c:v>0.64279727902618322</c:v>
                </c:pt>
                <c:pt idx="60">
                  <c:v>0.6299413334456595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8-8B45-BF05-02652FB64130}"/>
            </c:ext>
          </c:extLst>
        </c:ser>
        <c:ser>
          <c:idx val="2"/>
          <c:order val="2"/>
          <c:tx>
            <c:strRef>
              <c:f>Fig1_future_Kaya!$L$3</c:f>
              <c:strCache>
                <c:ptCount val="1"/>
                <c:pt idx="0">
                  <c:v>Ambitious Projections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Fig1_future_Kaya!$Y$4:$Y$64</c:f>
              <c:numCache>
                <c:formatCode>_(* #,##0.00_);_(* \(#,##0.00\);_(* "-"??_);_(@_)</c:formatCode>
                <c:ptCount val="61"/>
                <c:pt idx="0">
                  <c:v>2.8471293367291284</c:v>
                </c:pt>
                <c:pt idx="1">
                  <c:v>2.8026609570603807</c:v>
                </c:pt>
                <c:pt idx="2">
                  <c:v>2.6728257816679326</c:v>
                </c:pt>
                <c:pt idx="3">
                  <c:v>2.5982430194355359</c:v>
                </c:pt>
                <c:pt idx="4">
                  <c:v>2.4708951752296309</c:v>
                </c:pt>
                <c:pt idx="5">
                  <c:v>2.3745255410386612</c:v>
                </c:pt>
                <c:pt idx="6">
                  <c:v>2.288243786828557</c:v>
                </c:pt>
                <c:pt idx="7">
                  <c:v>2.1953130645167289</c:v>
                </c:pt>
                <c:pt idx="8">
                  <c:v>2.1982104181899755</c:v>
                </c:pt>
                <c:pt idx="9">
                  <c:v>2.1317049645081343</c:v>
                </c:pt>
                <c:pt idx="10">
                  <c:v>2.0537229222762212</c:v>
                </c:pt>
                <c:pt idx="11">
                  <c:v>2.0934696440815945</c:v>
                </c:pt>
                <c:pt idx="12">
                  <c:v>2.0597525737295794</c:v>
                </c:pt>
                <c:pt idx="13">
                  <c:v>1.9663859768847742</c:v>
                </c:pt>
                <c:pt idx="14">
                  <c:v>1.8568206813477737</c:v>
                </c:pt>
                <c:pt idx="15">
                  <c:v>1.8255886484691068</c:v>
                </c:pt>
                <c:pt idx="16">
                  <c:v>1.7417076706810881</c:v>
                </c:pt>
                <c:pt idx="17">
                  <c:v>1.6749685713189457</c:v>
                </c:pt>
                <c:pt idx="18">
                  <c:v>1.6374410370233714</c:v>
                </c:pt>
                <c:pt idx="19">
                  <c:v>1.505180637101756</c:v>
                </c:pt>
                <c:pt idx="20">
                  <c:v>1.4720371485276866</c:v>
                </c:pt>
                <c:pt idx="21">
                  <c:v>1.4376948494325907</c:v>
                </c:pt>
                <c:pt idx="22">
                  <c:v>1.4110095882028042</c:v>
                </c:pt>
                <c:pt idx="23">
                  <c:v>1.3976668624245896</c:v>
                </c:pt>
                <c:pt idx="24">
                  <c:v>1.363830334834915</c:v>
                </c:pt>
                <c:pt idx="25">
                  <c:v>1.3572768872807228</c:v>
                </c:pt>
                <c:pt idx="26">
                  <c:v>1.3297755059620446</c:v>
                </c:pt>
                <c:pt idx="27">
                  <c:v>1.3100299227992074</c:v>
                </c:pt>
                <c:pt idx="28">
                  <c:v>1.2981614664727734</c:v>
                </c:pt>
                <c:pt idx="29">
                  <c:v>1.264155323127212</c:v>
                </c:pt>
                <c:pt idx="30">
                  <c:v>1.6510575530647869</c:v>
                </c:pt>
                <c:pt idx="31">
                  <c:v>1.1317328195165404</c:v>
                </c:pt>
                <c:pt idx="32" formatCode="0.00">
                  <c:v>1.0488608928387302</c:v>
                </c:pt>
                <c:pt idx="33" formatCode="0.00">
                  <c:v>0.96598896616091989</c:v>
                </c:pt>
                <c:pt idx="34" formatCode="0.00">
                  <c:v>0.8831170394831096</c:v>
                </c:pt>
                <c:pt idx="35" formatCode="0.00">
                  <c:v>0.80024511280529931</c:v>
                </c:pt>
                <c:pt idx="36" formatCode="0.00">
                  <c:v>0.78168870439242277</c:v>
                </c:pt>
                <c:pt idx="37" formatCode="0.00">
                  <c:v>0.76313229597954624</c:v>
                </c:pt>
                <c:pt idx="38" formatCode="0.00">
                  <c:v>0.7445758875666697</c:v>
                </c:pt>
                <c:pt idx="39" formatCode="0.00">
                  <c:v>0.72601947915379317</c:v>
                </c:pt>
                <c:pt idx="40">
                  <c:v>0.70746307074091674</c:v>
                </c:pt>
                <c:pt idx="41">
                  <c:v>0.68890666232804021</c:v>
                </c:pt>
                <c:pt idx="42">
                  <c:v>0.67035025391516367</c:v>
                </c:pt>
                <c:pt idx="43">
                  <c:v>0.65179384550228714</c:v>
                </c:pt>
                <c:pt idx="44">
                  <c:v>0.6332374370894106</c:v>
                </c:pt>
                <c:pt idx="45">
                  <c:v>0.61468102867653407</c:v>
                </c:pt>
                <c:pt idx="46">
                  <c:v>0.59612462026365753</c:v>
                </c:pt>
                <c:pt idx="47">
                  <c:v>0.577568211850781</c:v>
                </c:pt>
                <c:pt idx="48">
                  <c:v>0.55901180343790446</c:v>
                </c:pt>
                <c:pt idx="49">
                  <c:v>0.54045539502502793</c:v>
                </c:pt>
                <c:pt idx="50">
                  <c:v>0.52189898661215139</c:v>
                </c:pt>
                <c:pt idx="51">
                  <c:v>0.50334257819927486</c:v>
                </c:pt>
                <c:pt idx="52">
                  <c:v>0.48478616978639832</c:v>
                </c:pt>
                <c:pt idx="53">
                  <c:v>0.46622976137352179</c:v>
                </c:pt>
                <c:pt idx="54">
                  <c:v>0.44767335296064525</c:v>
                </c:pt>
                <c:pt idx="55">
                  <c:v>0.42911694454776872</c:v>
                </c:pt>
                <c:pt idx="56">
                  <c:v>0.41056053613489218</c:v>
                </c:pt>
                <c:pt idx="57">
                  <c:v>0.39200412772201565</c:v>
                </c:pt>
                <c:pt idx="58">
                  <c:v>0.37344771930913911</c:v>
                </c:pt>
                <c:pt idx="59">
                  <c:v>0.35489131089626258</c:v>
                </c:pt>
                <c:pt idx="60">
                  <c:v>0.33633490248338604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8-8B45-BF05-02652FB64130}"/>
            </c:ext>
          </c:extLst>
        </c:ser>
        <c:ser>
          <c:idx val="3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Fig1_future_Kaya!$W$4:$W$35</c:f>
              <c:numCache>
                <c:formatCode>_(* #,##0.00_);_(* \(#,##0.00\);_(* "-"??_);_(@_)</c:formatCode>
                <c:ptCount val="32"/>
                <c:pt idx="0">
                  <c:v>2.8471293367291284</c:v>
                </c:pt>
                <c:pt idx="1">
                  <c:v>2.8026609570603807</c:v>
                </c:pt>
                <c:pt idx="2">
                  <c:v>2.6728257816679326</c:v>
                </c:pt>
                <c:pt idx="3">
                  <c:v>2.5982430194355359</c:v>
                </c:pt>
                <c:pt idx="4">
                  <c:v>2.4708951752296309</c:v>
                </c:pt>
                <c:pt idx="5">
                  <c:v>2.3745255410386612</c:v>
                </c:pt>
                <c:pt idx="6">
                  <c:v>2.288243786828557</c:v>
                </c:pt>
                <c:pt idx="7">
                  <c:v>2.1953130645167289</c:v>
                </c:pt>
                <c:pt idx="8">
                  <c:v>2.1982104181899755</c:v>
                </c:pt>
                <c:pt idx="9">
                  <c:v>2.1317049645081343</c:v>
                </c:pt>
                <c:pt idx="10">
                  <c:v>2.0537229222762212</c:v>
                </c:pt>
                <c:pt idx="11">
                  <c:v>2.0934696440815945</c:v>
                </c:pt>
                <c:pt idx="12">
                  <c:v>2.0597525737295794</c:v>
                </c:pt>
                <c:pt idx="13">
                  <c:v>1.9663859768847742</c:v>
                </c:pt>
                <c:pt idx="14">
                  <c:v>1.8568206813477737</c:v>
                </c:pt>
                <c:pt idx="15">
                  <c:v>1.8255886484691068</c:v>
                </c:pt>
                <c:pt idx="16">
                  <c:v>1.7417076706810881</c:v>
                </c:pt>
                <c:pt idx="17">
                  <c:v>1.6749685713189457</c:v>
                </c:pt>
                <c:pt idx="18">
                  <c:v>1.6374410370233714</c:v>
                </c:pt>
                <c:pt idx="19">
                  <c:v>1.505180637101756</c:v>
                </c:pt>
                <c:pt idx="20">
                  <c:v>1.4720371485276866</c:v>
                </c:pt>
                <c:pt idx="21">
                  <c:v>1.4376948494325907</c:v>
                </c:pt>
                <c:pt idx="22">
                  <c:v>1.4110095882028042</c:v>
                </c:pt>
                <c:pt idx="23">
                  <c:v>1.3976668624245896</c:v>
                </c:pt>
                <c:pt idx="24">
                  <c:v>1.363830334834915</c:v>
                </c:pt>
                <c:pt idx="25">
                  <c:v>1.3572768872807228</c:v>
                </c:pt>
                <c:pt idx="26">
                  <c:v>1.3297755059620446</c:v>
                </c:pt>
                <c:pt idx="27">
                  <c:v>1.3100299227992074</c:v>
                </c:pt>
                <c:pt idx="28">
                  <c:v>1.2981614664727734</c:v>
                </c:pt>
                <c:pt idx="29">
                  <c:v>1.264155323127212</c:v>
                </c:pt>
                <c:pt idx="30">
                  <c:v>1.6510575530647869</c:v>
                </c:pt>
                <c:pt idx="31">
                  <c:v>1.1317328195165404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B8-8B45-BF05-02652FB64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877136"/>
        <c:axId val="687934176"/>
      </c:lineChart>
      <c:catAx>
        <c:axId val="5298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34176"/>
        <c:crosses val="autoZero"/>
        <c:auto val="1"/>
        <c:lblAlgn val="ctr"/>
        <c:lblOffset val="100"/>
        <c:noMultiLvlLbl val="0"/>
      </c:catAx>
      <c:valAx>
        <c:axId val="6879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Fig1_future_Kaya!$N$4:$N$64</c:f>
              <c:numCache>
                <c:formatCode>_(* #,##0.00_);_(* \(#,##0.00\);_(* "-"??_);_(@_)</c:formatCode>
                <c:ptCount val="61"/>
                <c:pt idx="0">
                  <c:v>2587610.0038900934</c:v>
                </c:pt>
                <c:pt idx="1">
                  <c:v>2542703.33423283</c:v>
                </c:pt>
                <c:pt idx="2">
                  <c:v>2673857.7748721633</c:v>
                </c:pt>
                <c:pt idx="3">
                  <c:v>2777251.1132221301</c:v>
                </c:pt>
                <c:pt idx="4">
                  <c:v>3052992.2259018677</c:v>
                </c:pt>
                <c:pt idx="5">
                  <c:v>3256613.3377537169</c:v>
                </c:pt>
                <c:pt idx="6">
                  <c:v>3522817.7775622224</c:v>
                </c:pt>
                <c:pt idx="7">
                  <c:v>3797767.7913292442</c:v>
                </c:pt>
                <c:pt idx="8">
                  <c:v>3877980.8256181888</c:v>
                </c:pt>
                <c:pt idx="9">
                  <c:v>4137595.7582874778</c:v>
                </c:pt>
                <c:pt idx="10">
                  <c:v>4443369.0111111114</c:v>
                </c:pt>
                <c:pt idx="11">
                  <c:v>4270387.0555566112</c:v>
                </c:pt>
                <c:pt idx="12">
                  <c:v>4375429.7</c:v>
                </c:pt>
                <c:pt idx="13">
                  <c:v>4557235.5444444446</c:v>
                </c:pt>
                <c:pt idx="14">
                  <c:v>5134310.444444444</c:v>
                </c:pt>
                <c:pt idx="15">
                  <c:v>5451840.0333333332</c:v>
                </c:pt>
                <c:pt idx="16">
                  <c:v>5779362.2666666666</c:v>
                </c:pt>
                <c:pt idx="17">
                  <c:v>6172643.8444444444</c:v>
                </c:pt>
                <c:pt idx="18">
                  <c:v>6237376.3777777776</c:v>
                </c:pt>
                <c:pt idx="19">
                  <c:v>6442403.8183821775</c:v>
                </c:pt>
                <c:pt idx="20">
                  <c:v>6945140.9675329998</c:v>
                </c:pt>
                <c:pt idx="21">
                  <c:v>7280187.0006558113</c:v>
                </c:pt>
                <c:pt idx="22">
                  <c:v>7472103.9138760334</c:v>
                </c:pt>
                <c:pt idx="23">
                  <c:v>7784336.7534838663</c:v>
                </c:pt>
                <c:pt idx="24">
                  <c:v>8232853.9940157663</c:v>
                </c:pt>
                <c:pt idx="25">
                  <c:v>8728840.8479149453</c:v>
                </c:pt>
                <c:pt idx="26">
                  <c:v>9298997.3899337109</c:v>
                </c:pt>
                <c:pt idx="27">
                  <c:v>10064604.968578465</c:v>
                </c:pt>
                <c:pt idx="28">
                  <c:v>10605532.953674708</c:v>
                </c:pt>
                <c:pt idx="29">
                  <c:v>11057916.547680151</c:v>
                </c:pt>
                <c:pt idx="30">
                  <c:v>4995899.7389283553</c:v>
                </c:pt>
                <c:pt idx="31">
                  <c:v>8735176.6139765084</c:v>
                </c:pt>
                <c:pt idx="32">
                  <c:v>9680450.798824409</c:v>
                </c:pt>
                <c:pt idx="33">
                  <c:v>10629973.764546342</c:v>
                </c:pt>
                <c:pt idx="34">
                  <c:v>11583915.462377267</c:v>
                </c:pt>
                <c:pt idx="35">
                  <c:v>12047272.080872359</c:v>
                </c:pt>
                <c:pt idx="36">
                  <c:v>12529162.964107255</c:v>
                </c:pt>
                <c:pt idx="37">
                  <c:v>13030329.482671546</c:v>
                </c:pt>
                <c:pt idx="38">
                  <c:v>13551542.661978409</c:v>
                </c:pt>
                <c:pt idx="39">
                  <c:v>14093604.368457545</c:v>
                </c:pt>
                <c:pt idx="40">
                  <c:v>14657348.543195847</c:v>
                </c:pt>
                <c:pt idx="41">
                  <c:v>15243642.484923681</c:v>
                </c:pt>
                <c:pt idx="42">
                  <c:v>15853388.184320629</c:v>
                </c:pt>
                <c:pt idx="43">
                  <c:v>16487523.711693456</c:v>
                </c:pt>
                <c:pt idx="44">
                  <c:v>17147024.660161197</c:v>
                </c:pt>
                <c:pt idx="45">
                  <c:v>17832905.646567643</c:v>
                </c:pt>
                <c:pt idx="46">
                  <c:v>18546221.872430347</c:v>
                </c:pt>
                <c:pt idx="47">
                  <c:v>19288070.747327566</c:v>
                </c:pt>
                <c:pt idx="48">
                  <c:v>20059593.577220667</c:v>
                </c:pt>
                <c:pt idx="49">
                  <c:v>20861977.320309497</c:v>
                </c:pt>
                <c:pt idx="50">
                  <c:v>21696456.413121879</c:v>
                </c:pt>
                <c:pt idx="51">
                  <c:v>22564314.669646751</c:v>
                </c:pt>
                <c:pt idx="52">
                  <c:v>23466887.256432623</c:v>
                </c:pt>
                <c:pt idx="53">
                  <c:v>24405562.746689927</c:v>
                </c:pt>
                <c:pt idx="54">
                  <c:v>25381785.256557524</c:v>
                </c:pt>
                <c:pt idx="55">
                  <c:v>26397056.666819826</c:v>
                </c:pt>
                <c:pt idx="56">
                  <c:v>27452938.933492623</c:v>
                </c:pt>
                <c:pt idx="57">
                  <c:v>28551056.490832329</c:v>
                </c:pt>
                <c:pt idx="58">
                  <c:v>29693098.75046562</c:v>
                </c:pt>
                <c:pt idx="59">
                  <c:v>30880822.700484246</c:v>
                </c:pt>
                <c:pt idx="60">
                  <c:v>32116055.608503617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E-A848-8707-F7CE1F2085C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Fig1_future_Kaya!$O$4:$O$64</c:f>
              <c:numCache>
                <c:formatCode>_(* #,##0.00_);_(* \(#,##0.00\);_(* "-"??_);_(@_)</c:formatCode>
                <c:ptCount val="61"/>
                <c:pt idx="0">
                  <c:v>2587610.0038900934</c:v>
                </c:pt>
                <c:pt idx="1">
                  <c:v>2542703.33423283</c:v>
                </c:pt>
                <c:pt idx="2">
                  <c:v>2673857.7748721633</c:v>
                </c:pt>
                <c:pt idx="3">
                  <c:v>2777251.1132221301</c:v>
                </c:pt>
                <c:pt idx="4">
                  <c:v>3052992.2259018677</c:v>
                </c:pt>
                <c:pt idx="5">
                  <c:v>3256613.3377537169</c:v>
                </c:pt>
                <c:pt idx="6">
                  <c:v>3522817.7775622224</c:v>
                </c:pt>
                <c:pt idx="7">
                  <c:v>3797767.7913292442</c:v>
                </c:pt>
                <c:pt idx="8">
                  <c:v>3877980.8256181888</c:v>
                </c:pt>
                <c:pt idx="9">
                  <c:v>4137595.7582874778</c:v>
                </c:pt>
                <c:pt idx="10">
                  <c:v>4443369.0111111114</c:v>
                </c:pt>
                <c:pt idx="11">
                  <c:v>4270387.0555566112</c:v>
                </c:pt>
                <c:pt idx="12">
                  <c:v>4375429.7</c:v>
                </c:pt>
                <c:pt idx="13">
                  <c:v>4557235.5444444446</c:v>
                </c:pt>
                <c:pt idx="14">
                  <c:v>5134310.444444444</c:v>
                </c:pt>
                <c:pt idx="15">
                  <c:v>5451840.0333333332</c:v>
                </c:pt>
                <c:pt idx="16">
                  <c:v>5779362.2666666666</c:v>
                </c:pt>
                <c:pt idx="17">
                  <c:v>6172643.8444444444</c:v>
                </c:pt>
                <c:pt idx="18">
                  <c:v>6237376.3777777776</c:v>
                </c:pt>
                <c:pt idx="19">
                  <c:v>6442403.8183821775</c:v>
                </c:pt>
                <c:pt idx="20">
                  <c:v>6945140.9675329998</c:v>
                </c:pt>
                <c:pt idx="21">
                  <c:v>7280187.0006558113</c:v>
                </c:pt>
                <c:pt idx="22">
                  <c:v>7472103.9138760334</c:v>
                </c:pt>
                <c:pt idx="23">
                  <c:v>7784336.7534838663</c:v>
                </c:pt>
                <c:pt idx="24">
                  <c:v>8232853.9940157663</c:v>
                </c:pt>
                <c:pt idx="25">
                  <c:v>8728840.8479149453</c:v>
                </c:pt>
                <c:pt idx="26">
                  <c:v>9298997.3899337109</c:v>
                </c:pt>
                <c:pt idx="27">
                  <c:v>10064604.968578465</c:v>
                </c:pt>
                <c:pt idx="28">
                  <c:v>10605532.953674708</c:v>
                </c:pt>
                <c:pt idx="29">
                  <c:v>11057916.547680151</c:v>
                </c:pt>
                <c:pt idx="30">
                  <c:v>4995899.7389283553</c:v>
                </c:pt>
                <c:pt idx="31">
                  <c:v>8735176.6139765084</c:v>
                </c:pt>
                <c:pt idx="32">
                  <c:v>9643273.9661766253</c:v>
                </c:pt>
                <c:pt idx="33">
                  <c:v>10553166.42829602</c:v>
                </c:pt>
                <c:pt idx="34">
                  <c:v>11464900.673192594</c:v>
                </c:pt>
                <c:pt idx="35">
                  <c:v>11788778.648365697</c:v>
                </c:pt>
                <c:pt idx="36">
                  <c:v>12121825.377065729</c:v>
                </c:pt>
                <c:pt idx="37">
                  <c:v>12464300.936743394</c:v>
                </c:pt>
                <c:pt idx="38">
                  <c:v>12816472.795869026</c:v>
                </c:pt>
                <c:pt idx="39">
                  <c:v>13178616.024340263</c:v>
                </c:pt>
                <c:pt idx="40">
                  <c:v>13551013.509889331</c:v>
                </c:pt>
                <c:pt idx="41">
                  <c:v>13933956.180661246</c:v>
                </c:pt>
                <c:pt idx="42">
                  <c:v>14327743.234139159</c:v>
                </c:pt>
                <c:pt idx="43">
                  <c:v>14732682.372598138</c:v>
                </c:pt>
                <c:pt idx="44">
                  <c:v>15149090.045273822</c:v>
                </c:pt>
                <c:pt idx="45">
                  <c:v>15577291.697437728</c:v>
                </c:pt>
                <c:pt idx="46">
                  <c:v>16017622.026576512</c:v>
                </c:pt>
                <c:pt idx="47">
                  <c:v>16470425.245878063</c:v>
                </c:pt>
                <c:pt idx="48">
                  <c:v>16936055.355233159</c:v>
                </c:pt>
                <c:pt idx="49">
                  <c:v>17414876.419967394</c:v>
                </c:pt>
                <c:pt idx="50">
                  <c:v>17907262.857524171</c:v>
                </c:pt>
                <c:pt idx="51">
                  <c:v>18413599.732325908</c:v>
                </c:pt>
                <c:pt idx="52">
                  <c:v>18934283.05904717</c:v>
                </c:pt>
                <c:pt idx="53">
                  <c:v>19469720.114539925</c:v>
                </c:pt>
                <c:pt idx="54">
                  <c:v>20020329.758658264</c:v>
                </c:pt>
                <c:pt idx="55">
                  <c:v>20586542.764236748</c:v>
                </c:pt>
                <c:pt idx="56">
                  <c:v>21168802.156484019</c:v>
                </c:pt>
                <c:pt idx="57">
                  <c:v>21767563.562060658</c:v>
                </c:pt>
                <c:pt idx="58">
                  <c:v>22383295.568118021</c:v>
                </c:pt>
                <c:pt idx="59">
                  <c:v>23016480.091582749</c:v>
                </c:pt>
                <c:pt idx="60">
                  <c:v>23667612.758979671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E-A848-8707-F7CE1F2085C8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Fig1_future_Kaya!$P$4:$P$64</c:f>
              <c:numCache>
                <c:formatCode>_(* #,##0.00_);_(* \(#,##0.00\);_(* "-"??_);_(@_)</c:formatCode>
                <c:ptCount val="61"/>
                <c:pt idx="0">
                  <c:v>2587610.0038900934</c:v>
                </c:pt>
                <c:pt idx="1">
                  <c:v>2542703.33423283</c:v>
                </c:pt>
                <c:pt idx="2">
                  <c:v>2673857.7748721633</c:v>
                </c:pt>
                <c:pt idx="3">
                  <c:v>2777251.1132221301</c:v>
                </c:pt>
                <c:pt idx="4">
                  <c:v>3052992.2259018677</c:v>
                </c:pt>
                <c:pt idx="5">
                  <c:v>3256613.3377537169</c:v>
                </c:pt>
                <c:pt idx="6">
                  <c:v>3522817.7775622224</c:v>
                </c:pt>
                <c:pt idx="7">
                  <c:v>3797767.7913292442</c:v>
                </c:pt>
                <c:pt idx="8">
                  <c:v>3877980.8256181888</c:v>
                </c:pt>
                <c:pt idx="9">
                  <c:v>4137595.7582874778</c:v>
                </c:pt>
                <c:pt idx="10">
                  <c:v>4443369.0111111114</c:v>
                </c:pt>
                <c:pt idx="11">
                  <c:v>4270387.0555566112</c:v>
                </c:pt>
                <c:pt idx="12">
                  <c:v>4375429.7</c:v>
                </c:pt>
                <c:pt idx="13">
                  <c:v>4557235.5444444446</c:v>
                </c:pt>
                <c:pt idx="14">
                  <c:v>5134310.444444444</c:v>
                </c:pt>
                <c:pt idx="15">
                  <c:v>5451840.0333333332</c:v>
                </c:pt>
                <c:pt idx="16">
                  <c:v>5779362.2666666666</c:v>
                </c:pt>
                <c:pt idx="17">
                  <c:v>6172643.8444444444</c:v>
                </c:pt>
                <c:pt idx="18">
                  <c:v>6237376.3777777776</c:v>
                </c:pt>
                <c:pt idx="19">
                  <c:v>6442403.8183821775</c:v>
                </c:pt>
                <c:pt idx="20">
                  <c:v>6945140.9675329998</c:v>
                </c:pt>
                <c:pt idx="21">
                  <c:v>7280187.0006558113</c:v>
                </c:pt>
                <c:pt idx="22">
                  <c:v>7472103.9138760334</c:v>
                </c:pt>
                <c:pt idx="23">
                  <c:v>7784336.7534838663</c:v>
                </c:pt>
                <c:pt idx="24">
                  <c:v>8232853.9940157663</c:v>
                </c:pt>
                <c:pt idx="25">
                  <c:v>8728840.8479149453</c:v>
                </c:pt>
                <c:pt idx="26">
                  <c:v>9298997.3899337109</c:v>
                </c:pt>
                <c:pt idx="27">
                  <c:v>10064604.968578465</c:v>
                </c:pt>
                <c:pt idx="28">
                  <c:v>10605532.953674708</c:v>
                </c:pt>
                <c:pt idx="29">
                  <c:v>11057916.547680151</c:v>
                </c:pt>
                <c:pt idx="30">
                  <c:v>4995899.7389283553</c:v>
                </c:pt>
                <c:pt idx="31">
                  <c:v>8735176.6139765084</c:v>
                </c:pt>
                <c:pt idx="32">
                  <c:v>8861027.9905084148</c:v>
                </c:pt>
                <c:pt idx="33">
                  <c:v>8986879.3670403212</c:v>
                </c:pt>
                <c:pt idx="34">
                  <c:v>9112730.7435722277</c:v>
                </c:pt>
                <c:pt idx="35">
                  <c:v>9238582.1201041341</c:v>
                </c:pt>
                <c:pt idx="36">
                  <c:v>9364433.4966360386</c:v>
                </c:pt>
                <c:pt idx="37">
                  <c:v>9490284.8731679451</c:v>
                </c:pt>
                <c:pt idx="38">
                  <c:v>9616136.2496998515</c:v>
                </c:pt>
                <c:pt idx="39">
                  <c:v>9741987.6262317561</c:v>
                </c:pt>
                <c:pt idx="40">
                  <c:v>9867839.0027636625</c:v>
                </c:pt>
                <c:pt idx="41">
                  <c:v>9993690.3792955689</c:v>
                </c:pt>
                <c:pt idx="42">
                  <c:v>10119541.755827475</c:v>
                </c:pt>
                <c:pt idx="43">
                  <c:v>10245393.132359382</c:v>
                </c:pt>
                <c:pt idx="44">
                  <c:v>10371244.508891286</c:v>
                </c:pt>
                <c:pt idx="45">
                  <c:v>10497095.885423193</c:v>
                </c:pt>
                <c:pt idx="46">
                  <c:v>10622947.261955099</c:v>
                </c:pt>
                <c:pt idx="47">
                  <c:v>10748798.638487006</c:v>
                </c:pt>
                <c:pt idx="48">
                  <c:v>10874650.015018912</c:v>
                </c:pt>
                <c:pt idx="49">
                  <c:v>11000501.391550817</c:v>
                </c:pt>
                <c:pt idx="50">
                  <c:v>11126352.768082723</c:v>
                </c:pt>
                <c:pt idx="51">
                  <c:v>11252204.144614628</c:v>
                </c:pt>
                <c:pt idx="52">
                  <c:v>11378055.521146532</c:v>
                </c:pt>
                <c:pt idx="53">
                  <c:v>11503906.897678439</c:v>
                </c:pt>
                <c:pt idx="54">
                  <c:v>11629758.274210341</c:v>
                </c:pt>
                <c:pt idx="55">
                  <c:v>11755609.650742248</c:v>
                </c:pt>
                <c:pt idx="56">
                  <c:v>11881461.027274152</c:v>
                </c:pt>
                <c:pt idx="57">
                  <c:v>12007312.403806057</c:v>
                </c:pt>
                <c:pt idx="58">
                  <c:v>12133163.780337963</c:v>
                </c:pt>
                <c:pt idx="59">
                  <c:v>12259015.15686987</c:v>
                </c:pt>
                <c:pt idx="60">
                  <c:v>12384866.533401771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E-A848-8707-F7CE1F2085C8}"/>
            </c:ext>
          </c:extLst>
        </c:ser>
        <c:ser>
          <c:idx val="3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Fig1_future_Kaya!$N$4:$N$35</c:f>
              <c:numCache>
                <c:formatCode>_(* #,##0.00_);_(* \(#,##0.00\);_(* "-"??_);_(@_)</c:formatCode>
                <c:ptCount val="32"/>
                <c:pt idx="0">
                  <c:v>2587610.0038900934</c:v>
                </c:pt>
                <c:pt idx="1">
                  <c:v>2542703.33423283</c:v>
                </c:pt>
                <c:pt idx="2">
                  <c:v>2673857.7748721633</c:v>
                </c:pt>
                <c:pt idx="3">
                  <c:v>2777251.1132221301</c:v>
                </c:pt>
                <c:pt idx="4">
                  <c:v>3052992.2259018677</c:v>
                </c:pt>
                <c:pt idx="5">
                  <c:v>3256613.3377537169</c:v>
                </c:pt>
                <c:pt idx="6">
                  <c:v>3522817.7775622224</c:v>
                </c:pt>
                <c:pt idx="7">
                  <c:v>3797767.7913292442</c:v>
                </c:pt>
                <c:pt idx="8">
                  <c:v>3877980.8256181888</c:v>
                </c:pt>
                <c:pt idx="9">
                  <c:v>4137595.7582874778</c:v>
                </c:pt>
                <c:pt idx="10">
                  <c:v>4443369.0111111114</c:v>
                </c:pt>
                <c:pt idx="11">
                  <c:v>4270387.0555566112</c:v>
                </c:pt>
                <c:pt idx="12">
                  <c:v>4375429.7</c:v>
                </c:pt>
                <c:pt idx="13">
                  <c:v>4557235.5444444446</c:v>
                </c:pt>
                <c:pt idx="14">
                  <c:v>5134310.444444444</c:v>
                </c:pt>
                <c:pt idx="15">
                  <c:v>5451840.0333333332</c:v>
                </c:pt>
                <c:pt idx="16">
                  <c:v>5779362.2666666666</c:v>
                </c:pt>
                <c:pt idx="17">
                  <c:v>6172643.8444444444</c:v>
                </c:pt>
                <c:pt idx="18">
                  <c:v>6237376.3777777776</c:v>
                </c:pt>
                <c:pt idx="19">
                  <c:v>6442403.8183821775</c:v>
                </c:pt>
                <c:pt idx="20">
                  <c:v>6945140.9675329998</c:v>
                </c:pt>
                <c:pt idx="21">
                  <c:v>7280187.0006558113</c:v>
                </c:pt>
                <c:pt idx="22">
                  <c:v>7472103.9138760334</c:v>
                </c:pt>
                <c:pt idx="23">
                  <c:v>7784336.7534838663</c:v>
                </c:pt>
                <c:pt idx="24">
                  <c:v>8232853.9940157663</c:v>
                </c:pt>
                <c:pt idx="25">
                  <c:v>8728840.8479149453</c:v>
                </c:pt>
                <c:pt idx="26">
                  <c:v>9298997.3899337109</c:v>
                </c:pt>
                <c:pt idx="27">
                  <c:v>10064604.968578465</c:v>
                </c:pt>
                <c:pt idx="28">
                  <c:v>10605532.953674708</c:v>
                </c:pt>
                <c:pt idx="29">
                  <c:v>11057916.547680151</c:v>
                </c:pt>
                <c:pt idx="30">
                  <c:v>4995899.7389283553</c:v>
                </c:pt>
                <c:pt idx="31">
                  <c:v>8735176.6139765084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AE-A848-8707-F7CE1F20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540672"/>
        <c:axId val="1805077776"/>
      </c:lineChart>
      <c:catAx>
        <c:axId val="180554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77776"/>
        <c:crosses val="autoZero"/>
        <c:auto val="1"/>
        <c:lblAlgn val="ctr"/>
        <c:lblOffset val="100"/>
        <c:noMultiLvlLbl val="0"/>
      </c:catAx>
      <c:valAx>
        <c:axId val="18050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5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Eq </a:t>
            </a:r>
            <a:r>
              <a:rPr lang="en-US"/>
              <a:t>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Fig1_future_Kaya!$AV$4:$AV$64</c:f>
              <c:numCache>
                <c:formatCode>_(* #,##0.00_);_(* \(#,##0.00\);_(* "-"??_);_(@_)</c:formatCode>
                <c:ptCount val="61"/>
                <c:pt idx="0">
                  <c:v>0.92258622599999984</c:v>
                </c:pt>
                <c:pt idx="1">
                  <c:v>0.89355528520000005</c:v>
                </c:pt>
                <c:pt idx="2">
                  <c:v>0.89958193820000021</c:v>
                </c:pt>
                <c:pt idx="3">
                  <c:v>0.90717398179999997</c:v>
                </c:pt>
                <c:pt idx="4">
                  <c:v>0.94640303390000013</c:v>
                </c:pt>
                <c:pt idx="5">
                  <c:v>0.97030139420000006</c:v>
                </c:pt>
                <c:pt idx="6">
                  <c:v>1.0151061794000005</c:v>
                </c:pt>
                <c:pt idx="7">
                  <c:v>1.0475884211000004</c:v>
                </c:pt>
                <c:pt idx="8">
                  <c:v>1.0676154564</c:v>
                </c:pt>
                <c:pt idx="9">
                  <c:v>1.1035493593999999</c:v>
                </c:pt>
                <c:pt idx="10">
                  <c:v>1.1471120549</c:v>
                </c:pt>
                <c:pt idx="11">
                  <c:v>1.1209743288</c:v>
                </c:pt>
                <c:pt idx="12">
                  <c:v>1.1311977174000001</c:v>
                </c:pt>
                <c:pt idx="13">
                  <c:v>1.1241306032000002</c:v>
                </c:pt>
                <c:pt idx="14">
                  <c:v>1.1966825061999997</c:v>
                </c:pt>
                <c:pt idx="15">
                  <c:v>1.2444897735999996</c:v>
                </c:pt>
                <c:pt idx="16">
                  <c:v>1.2594886610999998</c:v>
                </c:pt>
                <c:pt idx="17">
                  <c:v>1.2916170086999998</c:v>
                </c:pt>
                <c:pt idx="18">
                  <c:v>1.2793649353000003</c:v>
                </c:pt>
                <c:pt idx="19">
                  <c:v>1.2105554803</c:v>
                </c:pt>
                <c:pt idx="20">
                  <c:v>1.2756639928</c:v>
                </c:pt>
                <c:pt idx="21">
                  <c:v>1.3110258322000001</c:v>
                </c:pt>
                <c:pt idx="22">
                  <c:v>1.3270094226000002</c:v>
                </c:pt>
                <c:pt idx="23">
                  <c:v>1.3598908260000002</c:v>
                </c:pt>
                <c:pt idx="24">
                  <c:v>1.4047606022000001</c:v>
                </c:pt>
                <c:pt idx="25">
                  <c:v>1.4822811818999999</c:v>
                </c:pt>
                <c:pt idx="26">
                  <c:v>1.5523634898000001</c:v>
                </c:pt>
                <c:pt idx="27">
                  <c:v>1.6500563340999999</c:v>
                </c:pt>
                <c:pt idx="28">
                  <c:v>1.7129458757</c:v>
                </c:pt>
                <c:pt idx="29" formatCode="_(* #,##0.0_);_(* \(#,##0.0\);_(* &quot;-&quot;??_);_(@_)">
                  <c:v>1.7458999999999998</c:v>
                </c:pt>
                <c:pt idx="30">
                  <c:v>1.0302</c:v>
                </c:pt>
                <c:pt idx="31">
                  <c:v>1.2346993507628472</c:v>
                </c:pt>
                <c:pt idx="32">
                  <c:v>1.3546288044483492</c:v>
                </c:pt>
                <c:pt idx="33">
                  <c:v>1.472624804538657</c:v>
                </c:pt>
                <c:pt idx="34">
                  <c:v>1.5887314498805476</c:v>
                </c:pt>
                <c:pt idx="35">
                  <c:v>1.6357579007970118</c:v>
                </c:pt>
                <c:pt idx="36">
                  <c:v>1.6841763346606038</c:v>
                </c:pt>
                <c:pt idx="37">
                  <c:v>1.734027954166558</c:v>
                </c:pt>
                <c:pt idx="38">
                  <c:v>1.785355181609888</c:v>
                </c:pt>
                <c:pt idx="39">
                  <c:v>1.8382016949855409</c:v>
                </c:pt>
                <c:pt idx="40">
                  <c:v>1.8926124651571126</c:v>
                </c:pt>
                <c:pt idx="41">
                  <c:v>1.9486337941257637</c:v>
                </c:pt>
                <c:pt idx="42">
                  <c:v>2.0063133544318861</c:v>
                </c:pt>
                <c:pt idx="43">
                  <c:v>2.0657002297230695</c:v>
                </c:pt>
                <c:pt idx="44">
                  <c:v>2.1268449565228731</c:v>
                </c:pt>
                <c:pt idx="45">
                  <c:v>2.1897995672359496</c:v>
                </c:pt>
                <c:pt idx="46">
                  <c:v>2.2546176344261339</c:v>
                </c:pt>
                <c:pt idx="47">
                  <c:v>2.3213543164051482</c:v>
                </c:pt>
                <c:pt idx="48">
                  <c:v>2.39006640417074</c:v>
                </c:pt>
                <c:pt idx="49">
                  <c:v>2.4608123697341941</c:v>
                </c:pt>
                <c:pt idx="50">
                  <c:v>2.5336524158783269</c:v>
                </c:pt>
                <c:pt idx="51">
                  <c:v>2.6086485273883246</c:v>
                </c:pt>
                <c:pt idx="52">
                  <c:v>2.6858645237990197</c:v>
                </c:pt>
                <c:pt idx="53">
                  <c:v>2.7653661137034709</c:v>
                </c:pt>
                <c:pt idx="54">
                  <c:v>2.8472209506690938</c:v>
                </c:pt>
                <c:pt idx="55">
                  <c:v>2.9314986908088985</c:v>
                </c:pt>
                <c:pt idx="56">
                  <c:v>3.0182710520568423</c:v>
                </c:pt>
                <c:pt idx="57">
                  <c:v>3.1076118751977249</c:v>
                </c:pt>
                <c:pt idx="58">
                  <c:v>3.1995971867035777</c:v>
                </c:pt>
                <c:pt idx="59">
                  <c:v>3.2943052634300036</c:v>
                </c:pt>
                <c:pt idx="60" formatCode="_(* #,##0.0_);_(* \(#,##0.0\);_(* &quot;-&quot;??_);_(@_)">
                  <c:v>3.3918166992275318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5-6F40-B431-14E28FEDFCEC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Fig1_future_Kaya!$AW$4:$AW$64</c:f>
              <c:numCache>
                <c:formatCode>_(* #,##0.00_);_(* \(#,##0.00\);_(* "-"??_);_(@_)</c:formatCode>
                <c:ptCount val="61"/>
                <c:pt idx="0">
                  <c:v>0.92258622599999984</c:v>
                </c:pt>
                <c:pt idx="1">
                  <c:v>0.89355528520000005</c:v>
                </c:pt>
                <c:pt idx="2">
                  <c:v>0.89958193820000021</c:v>
                </c:pt>
                <c:pt idx="3">
                  <c:v>0.90717398179999997</c:v>
                </c:pt>
                <c:pt idx="4">
                  <c:v>0.94640303390000013</c:v>
                </c:pt>
                <c:pt idx="5">
                  <c:v>0.97030139420000006</c:v>
                </c:pt>
                <c:pt idx="6">
                  <c:v>1.0151061794000005</c:v>
                </c:pt>
                <c:pt idx="7">
                  <c:v>1.0475884211000004</c:v>
                </c:pt>
                <c:pt idx="8">
                  <c:v>1.0676154564</c:v>
                </c:pt>
                <c:pt idx="9">
                  <c:v>1.1035493593999999</c:v>
                </c:pt>
                <c:pt idx="10">
                  <c:v>1.1471120549</c:v>
                </c:pt>
                <c:pt idx="11">
                  <c:v>1.1209743288</c:v>
                </c:pt>
                <c:pt idx="12">
                  <c:v>1.1311977174000001</c:v>
                </c:pt>
                <c:pt idx="13">
                  <c:v>1.1241306032000002</c:v>
                </c:pt>
                <c:pt idx="14">
                  <c:v>1.1966825061999997</c:v>
                </c:pt>
                <c:pt idx="15">
                  <c:v>1.2444897735999996</c:v>
                </c:pt>
                <c:pt idx="16">
                  <c:v>1.2594886610999998</c:v>
                </c:pt>
                <c:pt idx="17">
                  <c:v>1.2916170086999998</c:v>
                </c:pt>
                <c:pt idx="18">
                  <c:v>1.2793649353000003</c:v>
                </c:pt>
                <c:pt idx="19">
                  <c:v>1.2105554803</c:v>
                </c:pt>
                <c:pt idx="20">
                  <c:v>1.2756639928</c:v>
                </c:pt>
                <c:pt idx="21">
                  <c:v>1.3110258322000001</c:v>
                </c:pt>
                <c:pt idx="22">
                  <c:v>1.3270094226000002</c:v>
                </c:pt>
                <c:pt idx="23">
                  <c:v>1.3598908260000002</c:v>
                </c:pt>
                <c:pt idx="24">
                  <c:v>1.4047606022000001</c:v>
                </c:pt>
                <c:pt idx="25">
                  <c:v>1.4822811818999999</c:v>
                </c:pt>
                <c:pt idx="26">
                  <c:v>1.5523634898000001</c:v>
                </c:pt>
                <c:pt idx="27">
                  <c:v>1.6500563340999999</c:v>
                </c:pt>
                <c:pt idx="28">
                  <c:v>1.7129458757</c:v>
                </c:pt>
                <c:pt idx="29" formatCode="_(* #,##0.0_);_(* \(#,##0.0\);_(* &quot;-&quot;??_);_(@_)">
                  <c:v>1.7458999999999998</c:v>
                </c:pt>
                <c:pt idx="30">
                  <c:v>1.0302</c:v>
                </c:pt>
                <c:pt idx="31">
                  <c:v>1.2346993507628472</c:v>
                </c:pt>
                <c:pt idx="32">
                  <c:v>1.3546288044483492</c:v>
                </c:pt>
                <c:pt idx="33">
                  <c:v>1.4668498053051719</c:v>
                </c:pt>
                <c:pt idx="34">
                  <c:v>1.5762708110579551</c:v>
                </c:pt>
                <c:pt idx="35">
                  <c:v>1.6121555692906224</c:v>
                </c:pt>
                <c:pt idx="36">
                  <c:v>1.6490820118906946</c:v>
                </c:pt>
                <c:pt idx="37">
                  <c:v>1.6868171932125513</c:v>
                </c:pt>
                <c:pt idx="38">
                  <c:v>1.7253776790230591</c:v>
                </c:pt>
                <c:pt idx="39">
                  <c:v>1.7647803380383988</c:v>
                </c:pt>
                <c:pt idx="40">
                  <c:v>1.8050423462572733</c:v>
                </c:pt>
                <c:pt idx="41">
                  <c:v>1.8268376749315374</c:v>
                </c:pt>
                <c:pt idx="42">
                  <c:v>1.848491961032942</c:v>
                </c:pt>
                <c:pt idx="43">
                  <c:v>1.869982203970207</c:v>
                </c:pt>
                <c:pt idx="44">
                  <c:v>1.8912842966745043</c:v>
                </c:pt>
                <c:pt idx="45">
                  <c:v>1.9123729841430002</c:v>
                </c:pt>
                <c:pt idx="46">
                  <c:v>1.9070417056763116</c:v>
                </c:pt>
                <c:pt idx="47">
                  <c:v>1.9000432335569948</c:v>
                </c:pt>
                <c:pt idx="48">
                  <c:v>1.8912931302710494</c:v>
                </c:pt>
                <c:pt idx="49">
                  <c:v>1.880703704175237</c:v>
                </c:pt>
                <c:pt idx="50">
                  <c:v>1.8681838992351585</c:v>
                </c:pt>
                <c:pt idx="51">
                  <c:v>1.8741375609080941</c:v>
                </c:pt>
                <c:pt idx="52">
                  <c:v>1.8790624192559566</c:v>
                </c:pt>
                <c:pt idx="53">
                  <c:v>1.8828999175717951</c:v>
                </c:pt>
                <c:pt idx="54">
                  <c:v>1.8855891579063111</c:v>
                </c:pt>
                <c:pt idx="55">
                  <c:v>1.8870668203993364</c:v>
                </c:pt>
                <c:pt idx="56">
                  <c:v>1.9006282629510745</c:v>
                </c:pt>
                <c:pt idx="57">
                  <c:v>1.9135560159371516</c:v>
                </c:pt>
                <c:pt idx="58">
                  <c:v>1.9258071015685934</c:v>
                </c:pt>
                <c:pt idx="59">
                  <c:v>1.9373367429761224</c:v>
                </c:pt>
                <c:pt idx="60" formatCode="_(* #,##0.0_);_(* \(#,##0.0\);_(* &quot;-&quot;??_);_(@_)">
                  <c:v>1.9480983009837665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5-6F40-B431-14E28FEDFCEC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Fig1_future_Kaya!$A$4:$A$64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Fig1_future_Kaya!$AX$4:$AX$64</c:f>
              <c:numCache>
                <c:formatCode>_(* #,##0.00_);_(* \(#,##0.00\);_(* "-"??_);_(@_)</c:formatCode>
                <c:ptCount val="61"/>
                <c:pt idx="0">
                  <c:v>0.92258622599999984</c:v>
                </c:pt>
                <c:pt idx="1">
                  <c:v>0.89355528520000005</c:v>
                </c:pt>
                <c:pt idx="2">
                  <c:v>0.89958193820000021</c:v>
                </c:pt>
                <c:pt idx="3">
                  <c:v>0.90717398179999997</c:v>
                </c:pt>
                <c:pt idx="4">
                  <c:v>0.94640303390000013</c:v>
                </c:pt>
                <c:pt idx="5">
                  <c:v>0.97030139420000006</c:v>
                </c:pt>
                <c:pt idx="6">
                  <c:v>1.0151061794000005</c:v>
                </c:pt>
                <c:pt idx="7">
                  <c:v>1.0475884211000004</c:v>
                </c:pt>
                <c:pt idx="8">
                  <c:v>1.0676154564</c:v>
                </c:pt>
                <c:pt idx="9">
                  <c:v>1.1035493593999999</c:v>
                </c:pt>
                <c:pt idx="10">
                  <c:v>1.1471120549</c:v>
                </c:pt>
                <c:pt idx="11">
                  <c:v>1.1209743288</c:v>
                </c:pt>
                <c:pt idx="12">
                  <c:v>1.1311977174000001</c:v>
                </c:pt>
                <c:pt idx="13">
                  <c:v>1.1241306032000002</c:v>
                </c:pt>
                <c:pt idx="14">
                  <c:v>1.1966825061999997</c:v>
                </c:pt>
                <c:pt idx="15">
                  <c:v>1.2444897735999996</c:v>
                </c:pt>
                <c:pt idx="16">
                  <c:v>1.2594886610999998</c:v>
                </c:pt>
                <c:pt idx="17">
                  <c:v>1.2916170086999998</c:v>
                </c:pt>
                <c:pt idx="18">
                  <c:v>1.2793649353000003</c:v>
                </c:pt>
                <c:pt idx="19">
                  <c:v>1.2105554803</c:v>
                </c:pt>
                <c:pt idx="20">
                  <c:v>1.2756639928</c:v>
                </c:pt>
                <c:pt idx="21">
                  <c:v>1.3110258322000001</c:v>
                </c:pt>
                <c:pt idx="22">
                  <c:v>1.3270094226000002</c:v>
                </c:pt>
                <c:pt idx="23">
                  <c:v>1.3598908260000002</c:v>
                </c:pt>
                <c:pt idx="24">
                  <c:v>1.4047606022000001</c:v>
                </c:pt>
                <c:pt idx="25">
                  <c:v>1.4822811818999999</c:v>
                </c:pt>
                <c:pt idx="26">
                  <c:v>1.5523634898000001</c:v>
                </c:pt>
                <c:pt idx="27">
                  <c:v>1.6500563340999999</c:v>
                </c:pt>
                <c:pt idx="28">
                  <c:v>1.7129458757</c:v>
                </c:pt>
                <c:pt idx="29" formatCode="_(* #,##0.0_);_(* \(#,##0.0\);_(* &quot;-&quot;??_);_(@_)">
                  <c:v>1.7458999999999998</c:v>
                </c:pt>
                <c:pt idx="30">
                  <c:v>1.0302</c:v>
                </c:pt>
                <c:pt idx="31">
                  <c:v>1.2346993507628472</c:v>
                </c:pt>
                <c:pt idx="32">
                  <c:v>1.3546288044483492</c:v>
                </c:pt>
                <c:pt idx="33">
                  <c:v>1.4416873086449875</c:v>
                </c:pt>
                <c:pt idx="34">
                  <c:v>1.5219780276166592</c:v>
                </c:pt>
                <c:pt idx="35">
                  <c:v>1.5167713696216609</c:v>
                </c:pt>
                <c:pt idx="36">
                  <c:v>1.510656746459732</c:v>
                </c:pt>
                <c:pt idx="37">
                  <c:v>1.5036066879100074</c:v>
                </c:pt>
                <c:pt idx="38">
                  <c:v>1.4955935359330754</c:v>
                </c:pt>
                <c:pt idx="39">
                  <c:v>1.4865894766501391</c:v>
                </c:pt>
                <c:pt idx="40">
                  <c:v>1.4765665749431907</c:v>
                </c:pt>
                <c:pt idx="41">
                  <c:v>1.465496811820002</c:v>
                </c:pt>
                <c:pt idx="42">
                  <c:v>1.4533521246944712</c:v>
                </c:pt>
                <c:pt idx="43">
                  <c:v>1.4401044507398442</c:v>
                </c:pt>
                <c:pt idx="44">
                  <c:v>1.4257257734796394</c:v>
                </c:pt>
                <c:pt idx="45">
                  <c:v>1.410188172788684</c:v>
                </c:pt>
                <c:pt idx="46">
                  <c:v>1.3934638784846356</c:v>
                </c:pt>
                <c:pt idx="47">
                  <c:v>1.3755253276985657</c:v>
                </c:pt>
                <c:pt idx="48">
                  <c:v>1.3563452262218614</c:v>
                </c:pt>
                <c:pt idx="49">
                  <c:v>1.335896614035593</c:v>
                </c:pt>
                <c:pt idx="50">
                  <c:v>1.3141529352379053</c:v>
                </c:pt>
                <c:pt idx="51">
                  <c:v>1.2910881125946916</c:v>
                </c:pt>
                <c:pt idx="52">
                  <c:v>1.2666766269489664</c:v>
                </c:pt>
                <c:pt idx="53">
                  <c:v>1.2408936017349055</c:v>
                </c:pt>
                <c:pt idx="54">
                  <c:v>1.2137148928535477</c:v>
                </c:pt>
                <c:pt idx="55">
                  <c:v>1.1851171841785988</c:v>
                </c:pt>
                <c:pt idx="56">
                  <c:v>1.1550780889727164</c:v>
                </c:pt>
                <c:pt idx="57">
                  <c:v>1.1235762575070902</c:v>
                </c:pt>
                <c:pt idx="58">
                  <c:v>1.090591491190076</c:v>
                </c:pt>
                <c:pt idx="59">
                  <c:v>1.0561048635241073</c:v>
                </c:pt>
                <c:pt idx="60" formatCode="_(* #,##0.0_);_(* \(#,##0.0\);_(* &quot;-&quot;??_);_(@_)">
                  <c:v>1.0200988482241486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5-6F40-B431-14E28FEDFCEC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Fig1_future_Kaya!$AZ$4:$AZ$64</c:f>
              <c:numCache>
                <c:formatCode>_(* #,##0.00_);_(* \(#,##0.00\);_(* "-"??_);_(@_)</c:formatCode>
                <c:ptCount val="61"/>
                <c:pt idx="0">
                  <c:v>0.92258622599999984</c:v>
                </c:pt>
                <c:pt idx="1">
                  <c:v>0.89355528520000005</c:v>
                </c:pt>
                <c:pt idx="2">
                  <c:v>0.89958193820000021</c:v>
                </c:pt>
                <c:pt idx="3">
                  <c:v>0.90717398179999997</c:v>
                </c:pt>
                <c:pt idx="4">
                  <c:v>0.94640303390000013</c:v>
                </c:pt>
                <c:pt idx="5">
                  <c:v>0.97030139420000006</c:v>
                </c:pt>
                <c:pt idx="6">
                  <c:v>1.0151061794000005</c:v>
                </c:pt>
                <c:pt idx="7">
                  <c:v>1.0475884211000004</c:v>
                </c:pt>
                <c:pt idx="8">
                  <c:v>1.0676154564</c:v>
                </c:pt>
                <c:pt idx="9">
                  <c:v>1.1035493593999999</c:v>
                </c:pt>
                <c:pt idx="10">
                  <c:v>1.1471120549</c:v>
                </c:pt>
                <c:pt idx="11">
                  <c:v>1.1209743288</c:v>
                </c:pt>
                <c:pt idx="12">
                  <c:v>1.1311977174000001</c:v>
                </c:pt>
                <c:pt idx="13">
                  <c:v>1.1241306032000002</c:v>
                </c:pt>
                <c:pt idx="14">
                  <c:v>1.1966825061999997</c:v>
                </c:pt>
                <c:pt idx="15">
                  <c:v>1.2444897735999996</c:v>
                </c:pt>
                <c:pt idx="16">
                  <c:v>1.2594886610999998</c:v>
                </c:pt>
                <c:pt idx="17">
                  <c:v>1.2916170086999998</c:v>
                </c:pt>
                <c:pt idx="18">
                  <c:v>1.2793649353000003</c:v>
                </c:pt>
                <c:pt idx="19">
                  <c:v>1.2105554803</c:v>
                </c:pt>
                <c:pt idx="20">
                  <c:v>1.2756639928</c:v>
                </c:pt>
                <c:pt idx="21">
                  <c:v>1.3110258322000001</c:v>
                </c:pt>
                <c:pt idx="22">
                  <c:v>1.3270094226000002</c:v>
                </c:pt>
                <c:pt idx="23">
                  <c:v>1.3598908260000002</c:v>
                </c:pt>
                <c:pt idx="24">
                  <c:v>1.4047606022000001</c:v>
                </c:pt>
                <c:pt idx="25">
                  <c:v>1.4822811818999999</c:v>
                </c:pt>
                <c:pt idx="26">
                  <c:v>1.5523634898000001</c:v>
                </c:pt>
                <c:pt idx="27">
                  <c:v>1.6500563340999999</c:v>
                </c:pt>
                <c:pt idx="28">
                  <c:v>1.7129458757</c:v>
                </c:pt>
                <c:pt idx="29">
                  <c:v>1.7458999999999998</c:v>
                </c:pt>
                <c:pt idx="30">
                  <c:v>1.0302</c:v>
                </c:pt>
                <c:pt idx="31">
                  <c:v>1.2346993507628472</c:v>
                </c:pt>
                <c:pt idx="32">
                  <c:v>1.3357959133294965</c:v>
                </c:pt>
                <c:pt idx="33">
                  <c:v>1.4325984208586318</c:v>
                </c:pt>
                <c:pt idx="34">
                  <c:v>1.5252395323326113</c:v>
                </c:pt>
                <c:pt idx="35">
                  <c:v>1.5369602851387776</c:v>
                </c:pt>
                <c:pt idx="36">
                  <c:v>1.5487735794165436</c:v>
                </c:pt>
                <c:pt idx="37">
                  <c:v>1.5606801606780778</c:v>
                </c:pt>
                <c:pt idx="38">
                  <c:v>1.5726807805281555</c:v>
                </c:pt>
                <c:pt idx="39">
                  <c:v>1.5847761967144476</c:v>
                </c:pt>
                <c:pt idx="40">
                  <c:v>1.5969671731782258</c:v>
                </c:pt>
                <c:pt idx="41">
                  <c:v>1.6092544801054929</c:v>
                </c:pt>
                <c:pt idx="42">
                  <c:v>1.6216388939785304</c:v>
                </c:pt>
                <c:pt idx="43">
                  <c:v>1.6341211976278842</c:v>
                </c:pt>
                <c:pt idx="44">
                  <c:v>1.6467021802847737</c:v>
                </c:pt>
                <c:pt idx="45">
                  <c:v>1.6593826376339409</c:v>
                </c:pt>
                <c:pt idx="46">
                  <c:v>1.6721633718669402</c:v>
                </c:pt>
                <c:pt idx="47">
                  <c:v>1.6850451917358658</c:v>
                </c:pt>
                <c:pt idx="48">
                  <c:v>1.6980289126075296</c:v>
                </c:pt>
                <c:pt idx="49">
                  <c:v>1.711115356518091</c:v>
                </c:pt>
                <c:pt idx="50">
                  <c:v>1.7243053522281349</c:v>
                </c:pt>
                <c:pt idx="51">
                  <c:v>1.737599735278214</c:v>
                </c:pt>
                <c:pt idx="52">
                  <c:v>1.7509993480448489</c:v>
                </c:pt>
                <c:pt idx="53">
                  <c:v>1.764505039796995</c:v>
                </c:pt>
                <c:pt idx="54">
                  <c:v>1.7781176667529783</c:v>
                </c:pt>
                <c:pt idx="55">
                  <c:v>1.7918380921379049</c:v>
                </c:pt>
                <c:pt idx="56">
                  <c:v>1.8056671862415503</c:v>
                </c:pt>
                <c:pt idx="57">
                  <c:v>1.8196058264767239</c:v>
                </c:pt>
                <c:pt idx="58">
                  <c:v>1.8336548974381257</c:v>
                </c:pt>
                <c:pt idx="59">
                  <c:v>1.8478152909616883</c:v>
                </c:pt>
                <c:pt idx="60" formatCode="_(* #,##0.0_);_(* \(#,##0.0\);_(* &quot;-&quot;??_);_(@_)">
                  <c:v>1.862087906184412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45-6F40-B431-14E28FEDFCEC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Fig1_future_Kaya!$BA$4:$BA$64</c:f>
              <c:numCache>
                <c:formatCode>_(* #,##0.00_);_(* \(#,##0.00\);_(* "-"??_);_(@_)</c:formatCode>
                <c:ptCount val="61"/>
                <c:pt idx="0">
                  <c:v>0.92258622599999984</c:v>
                </c:pt>
                <c:pt idx="1">
                  <c:v>0.89355528520000005</c:v>
                </c:pt>
                <c:pt idx="2">
                  <c:v>0.89958193820000021</c:v>
                </c:pt>
                <c:pt idx="3">
                  <c:v>0.90717398179999997</c:v>
                </c:pt>
                <c:pt idx="4">
                  <c:v>0.94640303390000013</c:v>
                </c:pt>
                <c:pt idx="5">
                  <c:v>0.97030139420000006</c:v>
                </c:pt>
                <c:pt idx="6">
                  <c:v>1.0151061794000005</c:v>
                </c:pt>
                <c:pt idx="7">
                  <c:v>1.0475884211000004</c:v>
                </c:pt>
                <c:pt idx="8">
                  <c:v>1.0676154564</c:v>
                </c:pt>
                <c:pt idx="9">
                  <c:v>1.1035493593999999</c:v>
                </c:pt>
                <c:pt idx="10">
                  <c:v>1.1471120549</c:v>
                </c:pt>
                <c:pt idx="11">
                  <c:v>1.1209743288</c:v>
                </c:pt>
                <c:pt idx="12">
                  <c:v>1.1311977174000001</c:v>
                </c:pt>
                <c:pt idx="13">
                  <c:v>1.1241306032000002</c:v>
                </c:pt>
                <c:pt idx="14">
                  <c:v>1.1966825061999997</c:v>
                </c:pt>
                <c:pt idx="15">
                  <c:v>1.2444897735999996</c:v>
                </c:pt>
                <c:pt idx="16">
                  <c:v>1.2594886610999998</c:v>
                </c:pt>
                <c:pt idx="17">
                  <c:v>1.2916170086999998</c:v>
                </c:pt>
                <c:pt idx="18">
                  <c:v>1.2793649353000003</c:v>
                </c:pt>
                <c:pt idx="19">
                  <c:v>1.2105554803</c:v>
                </c:pt>
                <c:pt idx="20">
                  <c:v>1.2756639928</c:v>
                </c:pt>
                <c:pt idx="21">
                  <c:v>1.3110258322000001</c:v>
                </c:pt>
                <c:pt idx="22">
                  <c:v>1.3270094226000002</c:v>
                </c:pt>
                <c:pt idx="23">
                  <c:v>1.3598908260000002</c:v>
                </c:pt>
                <c:pt idx="24">
                  <c:v>1.4047606022000001</c:v>
                </c:pt>
                <c:pt idx="25">
                  <c:v>1.4822811818999999</c:v>
                </c:pt>
                <c:pt idx="26">
                  <c:v>1.5523634898000001</c:v>
                </c:pt>
                <c:pt idx="27">
                  <c:v>1.6500563340999999</c:v>
                </c:pt>
                <c:pt idx="28">
                  <c:v>1.7129458757</c:v>
                </c:pt>
                <c:pt idx="29">
                  <c:v>1.7458999999999998</c:v>
                </c:pt>
                <c:pt idx="30">
                  <c:v>1.0302</c:v>
                </c:pt>
                <c:pt idx="31">
                  <c:v>1.2346993507628472</c:v>
                </c:pt>
                <c:pt idx="32">
                  <c:v>1.3357959133294965</c:v>
                </c:pt>
                <c:pt idx="33">
                  <c:v>1.4269803878356568</c:v>
                </c:pt>
                <c:pt idx="34">
                  <c:v>1.5132768693339242</c:v>
                </c:pt>
                <c:pt idx="35">
                  <c:v>1.5147835032663961</c:v>
                </c:pt>
                <c:pt idx="36">
                  <c:v>1.5165007355492148</c:v>
                </c:pt>
                <c:pt idx="37">
                  <c:v>1.5181889783332998</c:v>
                </c:pt>
                <c:pt idx="38">
                  <c:v>1.5198478951986782</c:v>
                </c:pt>
                <c:pt idx="39">
                  <c:v>1.5214771479007527</c:v>
                </c:pt>
                <c:pt idx="40">
                  <c:v>1.5230763963768863</c:v>
                </c:pt>
                <c:pt idx="41">
                  <c:v>1.5086707013248803</c:v>
                </c:pt>
                <c:pt idx="42">
                  <c:v>1.4940769110648076</c:v>
                </c:pt>
                <c:pt idx="43">
                  <c:v>1.4792938078456264</c:v>
                </c:pt>
                <c:pt idx="44">
                  <c:v>1.4643201730905142</c:v>
                </c:pt>
                <c:pt idx="45">
                  <c:v>1.449154787519042</c:v>
                </c:pt>
                <c:pt idx="46">
                  <c:v>1.4143796447623573</c:v>
                </c:pt>
                <c:pt idx="47">
                  <c:v>1.3792201785695399</c:v>
                </c:pt>
                <c:pt idx="48">
                  <c:v>1.343674138849082</c:v>
                </c:pt>
                <c:pt idx="49">
                  <c:v>1.3077392770186331</c:v>
                </c:pt>
                <c:pt idx="50">
                  <c:v>1.2714133462860546</c:v>
                </c:pt>
                <c:pt idx="51">
                  <c:v>1.2483479071705921</c:v>
                </c:pt>
                <c:pt idx="52">
                  <c:v>1.2250197438845063</c:v>
                </c:pt>
                <c:pt idx="53">
                  <c:v>1.2014273182581701</c:v>
                </c:pt>
                <c:pt idx="54">
                  <c:v>1.1775690935131602</c:v>
                </c:pt>
                <c:pt idx="55">
                  <c:v>1.1534435344632785</c:v>
                </c:pt>
                <c:pt idx="56">
                  <c:v>1.1370423757386916</c:v>
                </c:pt>
                <c:pt idx="57">
                  <c:v>1.1204480532715457</c:v>
                </c:pt>
                <c:pt idx="58">
                  <c:v>1.1036594350023481</c:v>
                </c:pt>
                <c:pt idx="59">
                  <c:v>1.0866753901506665</c:v>
                </c:pt>
                <c:pt idx="60" formatCode="_(* #,##0.0_);_(* \(#,##0.0\);_(* &quot;-&quot;??_);_(@_)">
                  <c:v>1.0694947893694913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45-6F40-B431-14E28FEDFCE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Fig1_future_Kaya!$BB$4:$BB$64</c:f>
              <c:numCache>
                <c:formatCode>_(* #,##0.00_);_(* \(#,##0.00\);_(* "-"??_);_(@_)</c:formatCode>
                <c:ptCount val="61"/>
                <c:pt idx="0">
                  <c:v>0.92258622599999984</c:v>
                </c:pt>
                <c:pt idx="1">
                  <c:v>0.89355528520000005</c:v>
                </c:pt>
                <c:pt idx="2">
                  <c:v>0.89958193820000021</c:v>
                </c:pt>
                <c:pt idx="3">
                  <c:v>0.90717398179999997</c:v>
                </c:pt>
                <c:pt idx="4">
                  <c:v>0.94640303390000013</c:v>
                </c:pt>
                <c:pt idx="5">
                  <c:v>0.97030139420000006</c:v>
                </c:pt>
                <c:pt idx="6">
                  <c:v>1.0151061794000005</c:v>
                </c:pt>
                <c:pt idx="7">
                  <c:v>1.0475884211000004</c:v>
                </c:pt>
                <c:pt idx="8">
                  <c:v>1.0676154564</c:v>
                </c:pt>
                <c:pt idx="9">
                  <c:v>1.1035493593999999</c:v>
                </c:pt>
                <c:pt idx="10">
                  <c:v>1.1471120549</c:v>
                </c:pt>
                <c:pt idx="11">
                  <c:v>1.1209743288</c:v>
                </c:pt>
                <c:pt idx="12">
                  <c:v>1.1311977174000001</c:v>
                </c:pt>
                <c:pt idx="13">
                  <c:v>1.1241306032000002</c:v>
                </c:pt>
                <c:pt idx="14">
                  <c:v>1.1966825061999997</c:v>
                </c:pt>
                <c:pt idx="15">
                  <c:v>1.2444897735999996</c:v>
                </c:pt>
                <c:pt idx="16">
                  <c:v>1.2594886610999998</c:v>
                </c:pt>
                <c:pt idx="17">
                  <c:v>1.2916170086999998</c:v>
                </c:pt>
                <c:pt idx="18">
                  <c:v>1.2793649353000003</c:v>
                </c:pt>
                <c:pt idx="19">
                  <c:v>1.2105554803</c:v>
                </c:pt>
                <c:pt idx="20">
                  <c:v>1.2756639928</c:v>
                </c:pt>
                <c:pt idx="21">
                  <c:v>1.3110258322000001</c:v>
                </c:pt>
                <c:pt idx="22">
                  <c:v>1.3270094226000002</c:v>
                </c:pt>
                <c:pt idx="23">
                  <c:v>1.3598908260000002</c:v>
                </c:pt>
                <c:pt idx="24">
                  <c:v>1.4047606022000001</c:v>
                </c:pt>
                <c:pt idx="25">
                  <c:v>1.4822811818999999</c:v>
                </c:pt>
                <c:pt idx="26">
                  <c:v>1.5523634898000001</c:v>
                </c:pt>
                <c:pt idx="27">
                  <c:v>1.6500563340999999</c:v>
                </c:pt>
                <c:pt idx="28">
                  <c:v>1.7129458757</c:v>
                </c:pt>
                <c:pt idx="29">
                  <c:v>1.7458999999999998</c:v>
                </c:pt>
                <c:pt idx="30">
                  <c:v>1.0302</c:v>
                </c:pt>
                <c:pt idx="31">
                  <c:v>1.2346993507628472</c:v>
                </c:pt>
                <c:pt idx="32">
                  <c:v>1.3357959133294965</c:v>
                </c:pt>
                <c:pt idx="33">
                  <c:v>1.4025018153784083</c:v>
                </c:pt>
                <c:pt idx="34">
                  <c:v>1.4611538376967876</c:v>
                </c:pt>
                <c:pt idx="35">
                  <c:v>1.4251603832132935</c:v>
                </c:pt>
                <c:pt idx="36">
                  <c:v>1.3892044486871855</c:v>
                </c:pt>
                <c:pt idx="37">
                  <c:v>1.3532937122757716</c:v>
                </c:pt>
                <c:pt idx="38">
                  <c:v>1.3174360114289239</c:v>
                </c:pt>
                <c:pt idx="39">
                  <c:v>1.2816393452949459</c:v>
                </c:pt>
                <c:pt idx="40">
                  <c:v>1.2459118771579756</c:v>
                </c:pt>
                <c:pt idx="41">
                  <c:v>1.2102619369072933</c:v>
                </c:pt>
                <c:pt idx="42">
                  <c:v>1.1746980235389259</c:v>
                </c:pt>
                <c:pt idx="43">
                  <c:v>1.1392288076899362</c:v>
                </c:pt>
                <c:pt idx="44">
                  <c:v>1.1038631342057907</c:v>
                </c:pt>
                <c:pt idx="45">
                  <c:v>1.0686100247411987</c:v>
                </c:pt>
                <c:pt idx="46">
                  <c:v>1.0334786803948379</c:v>
                </c:pt>
                <c:pt idx="47">
                  <c:v>0.99847848437835718</c:v>
                </c:pt>
                <c:pt idx="48">
                  <c:v>0.9636190047200851</c:v>
                </c:pt>
                <c:pt idx="49">
                  <c:v>0.92890999700384869</c:v>
                </c:pt>
                <c:pt idx="50">
                  <c:v>0.89436140714332824</c:v>
                </c:pt>
                <c:pt idx="51">
                  <c:v>0.85998337419237625</c:v>
                </c:pt>
                <c:pt idx="52">
                  <c:v>0.82578623319172872</c:v>
                </c:pt>
                <c:pt idx="53">
                  <c:v>0.79178051805254446</c:v>
                </c:pt>
                <c:pt idx="54">
                  <c:v>0.75797696447721552</c:v>
                </c:pt>
                <c:pt idx="55">
                  <c:v>0.72438651291789302</c:v>
                </c:pt>
                <c:pt idx="56">
                  <c:v>0.691020311573181</c:v>
                </c:pt>
                <c:pt idx="57">
                  <c:v>0.65788971942345031</c:v>
                </c:pt>
                <c:pt idx="58">
                  <c:v>0.62500630930523993</c:v>
                </c:pt>
                <c:pt idx="59">
                  <c:v>0.59238187102520679</c:v>
                </c:pt>
                <c:pt idx="60" formatCode="_(* #,##0.0_);_(* \(#,##0.0\);_(* &quot;-&quot;??_);_(@_)">
                  <c:v>0.56002841451409779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45-6F40-B431-14E28FEDFCEC}"/>
            </c:ext>
          </c:extLst>
        </c:ser>
        <c:ser>
          <c:idx val="6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Fig1_future_Kaya!$BD$4:$BD$64</c:f>
              <c:numCache>
                <c:formatCode>_(* #,##0.00_);_(* \(#,##0.00\);_(* "-"??_);_(@_)</c:formatCode>
                <c:ptCount val="61"/>
                <c:pt idx="0">
                  <c:v>0.92258622599999984</c:v>
                </c:pt>
                <c:pt idx="1">
                  <c:v>0.89355528520000005</c:v>
                </c:pt>
                <c:pt idx="2">
                  <c:v>0.89958193820000021</c:v>
                </c:pt>
                <c:pt idx="3">
                  <c:v>0.90717398179999997</c:v>
                </c:pt>
                <c:pt idx="4">
                  <c:v>0.94640303390000013</c:v>
                </c:pt>
                <c:pt idx="5">
                  <c:v>0.97030139420000006</c:v>
                </c:pt>
                <c:pt idx="6">
                  <c:v>1.0151061794000005</c:v>
                </c:pt>
                <c:pt idx="7">
                  <c:v>1.0475884211000004</c:v>
                </c:pt>
                <c:pt idx="8">
                  <c:v>1.0676154564</c:v>
                </c:pt>
                <c:pt idx="9">
                  <c:v>1.1035493593999999</c:v>
                </c:pt>
                <c:pt idx="10">
                  <c:v>1.1471120549</c:v>
                </c:pt>
                <c:pt idx="11">
                  <c:v>1.1209743288</c:v>
                </c:pt>
                <c:pt idx="12">
                  <c:v>1.1311977174000001</c:v>
                </c:pt>
                <c:pt idx="13">
                  <c:v>1.1241306032000002</c:v>
                </c:pt>
                <c:pt idx="14">
                  <c:v>1.1966825061999997</c:v>
                </c:pt>
                <c:pt idx="15">
                  <c:v>1.2444897735999996</c:v>
                </c:pt>
                <c:pt idx="16">
                  <c:v>1.2594886610999998</c:v>
                </c:pt>
                <c:pt idx="17">
                  <c:v>1.2916170086999998</c:v>
                </c:pt>
                <c:pt idx="18">
                  <c:v>1.2793649353000003</c:v>
                </c:pt>
                <c:pt idx="19">
                  <c:v>1.2105554803</c:v>
                </c:pt>
                <c:pt idx="20">
                  <c:v>1.2756639928</c:v>
                </c:pt>
                <c:pt idx="21">
                  <c:v>1.3110258322000001</c:v>
                </c:pt>
                <c:pt idx="22">
                  <c:v>1.3270094226000002</c:v>
                </c:pt>
                <c:pt idx="23">
                  <c:v>1.3598908260000002</c:v>
                </c:pt>
                <c:pt idx="24">
                  <c:v>1.4047606022000001</c:v>
                </c:pt>
                <c:pt idx="25">
                  <c:v>1.4822811818999999</c:v>
                </c:pt>
                <c:pt idx="26">
                  <c:v>1.5523634898000001</c:v>
                </c:pt>
                <c:pt idx="27">
                  <c:v>1.6500563340999999</c:v>
                </c:pt>
                <c:pt idx="28">
                  <c:v>1.7129458757</c:v>
                </c:pt>
                <c:pt idx="29">
                  <c:v>1.7458999999999998</c:v>
                </c:pt>
                <c:pt idx="30">
                  <c:v>1.0302</c:v>
                </c:pt>
                <c:pt idx="31">
                  <c:v>1.2346993507628472</c:v>
                </c:pt>
                <c:pt idx="32">
                  <c:v>1.1607738627213611</c:v>
                </c:pt>
                <c:pt idx="33">
                  <c:v>1.0842431749722166</c:v>
                </c:pt>
                <c:pt idx="34">
                  <c:v>1.0051072875154132</c:v>
                </c:pt>
                <c:pt idx="35">
                  <c:v>0.92336620035095085</c:v>
                </c:pt>
                <c:pt idx="36">
                  <c:v>0.91424157162483211</c:v>
                </c:pt>
                <c:pt idx="37">
                  <c:v>0.90453359517517917</c:v>
                </c:pt>
                <c:pt idx="38">
                  <c:v>0.8942422710019915</c:v>
                </c:pt>
                <c:pt idx="39">
                  <c:v>0.8833675991052693</c:v>
                </c:pt>
                <c:pt idx="40">
                  <c:v>0.87190957948501246</c:v>
                </c:pt>
                <c:pt idx="41">
                  <c:v>0.85986821214122111</c:v>
                </c:pt>
                <c:pt idx="42">
                  <c:v>0.84724349707389512</c:v>
                </c:pt>
                <c:pt idx="43">
                  <c:v>0.83403543428303439</c:v>
                </c:pt>
                <c:pt idx="44">
                  <c:v>0.82024402376863925</c:v>
                </c:pt>
                <c:pt idx="45">
                  <c:v>0.80586926553070959</c:v>
                </c:pt>
                <c:pt idx="46">
                  <c:v>0.79091115956924529</c:v>
                </c:pt>
                <c:pt idx="47">
                  <c:v>0.77536970588424647</c:v>
                </c:pt>
                <c:pt idx="48">
                  <c:v>0.7592449044757128</c:v>
                </c:pt>
                <c:pt idx="49">
                  <c:v>0.74253675534364494</c:v>
                </c:pt>
                <c:pt idx="50">
                  <c:v>0.72524525848804211</c:v>
                </c:pt>
                <c:pt idx="51">
                  <c:v>0.70737041390890487</c:v>
                </c:pt>
                <c:pt idx="52">
                  <c:v>0.688912221606233</c:v>
                </c:pt>
                <c:pt idx="53">
                  <c:v>0.66987068158002661</c:v>
                </c:pt>
                <c:pt idx="54">
                  <c:v>0.65024579383028558</c:v>
                </c:pt>
                <c:pt idx="55">
                  <c:v>0.63003755835701003</c:v>
                </c:pt>
                <c:pt idx="56">
                  <c:v>0.60924597516019996</c:v>
                </c:pt>
                <c:pt idx="57">
                  <c:v>0.58787104423985526</c:v>
                </c:pt>
                <c:pt idx="58">
                  <c:v>0.56591276559597592</c:v>
                </c:pt>
                <c:pt idx="59">
                  <c:v>0.54337113922856239</c:v>
                </c:pt>
                <c:pt idx="60" formatCode="_(* #,##0.0_);_(* \(#,##0.0\);_(* &quot;-&quot;??_);_(@_)">
                  <c:v>0.52024616513761368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45-6F40-B431-14E28FEDFCEC}"/>
            </c:ext>
          </c:extLst>
        </c:ser>
        <c:ser>
          <c:idx val="7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Fig1_future_Kaya!$BE$4:$BE$64</c:f>
              <c:numCache>
                <c:formatCode>_(* #,##0.00_);_(* \(#,##0.00\);_(* "-"??_);_(@_)</c:formatCode>
                <c:ptCount val="61"/>
                <c:pt idx="0">
                  <c:v>0.92258622599999984</c:v>
                </c:pt>
                <c:pt idx="1">
                  <c:v>0.89355528520000005</c:v>
                </c:pt>
                <c:pt idx="2">
                  <c:v>0.89958193820000021</c:v>
                </c:pt>
                <c:pt idx="3">
                  <c:v>0.90717398179999997</c:v>
                </c:pt>
                <c:pt idx="4">
                  <c:v>0.94640303390000013</c:v>
                </c:pt>
                <c:pt idx="5">
                  <c:v>0.97030139420000006</c:v>
                </c:pt>
                <c:pt idx="6">
                  <c:v>1.0151061794000005</c:v>
                </c:pt>
                <c:pt idx="7">
                  <c:v>1.0475884211000004</c:v>
                </c:pt>
                <c:pt idx="8">
                  <c:v>1.0676154564</c:v>
                </c:pt>
                <c:pt idx="9">
                  <c:v>1.1035493593999999</c:v>
                </c:pt>
                <c:pt idx="10">
                  <c:v>1.1471120549</c:v>
                </c:pt>
                <c:pt idx="11">
                  <c:v>1.1209743288</c:v>
                </c:pt>
                <c:pt idx="12">
                  <c:v>1.1311977174000001</c:v>
                </c:pt>
                <c:pt idx="13">
                  <c:v>1.1241306032000002</c:v>
                </c:pt>
                <c:pt idx="14">
                  <c:v>1.1966825061999997</c:v>
                </c:pt>
                <c:pt idx="15">
                  <c:v>1.2444897735999996</c:v>
                </c:pt>
                <c:pt idx="16">
                  <c:v>1.2594886610999998</c:v>
                </c:pt>
                <c:pt idx="17">
                  <c:v>1.2916170086999998</c:v>
                </c:pt>
                <c:pt idx="18">
                  <c:v>1.2793649353000003</c:v>
                </c:pt>
                <c:pt idx="19">
                  <c:v>1.2105554803</c:v>
                </c:pt>
                <c:pt idx="20">
                  <c:v>1.2756639928</c:v>
                </c:pt>
                <c:pt idx="21">
                  <c:v>1.3110258322000001</c:v>
                </c:pt>
                <c:pt idx="22">
                  <c:v>1.3270094226000002</c:v>
                </c:pt>
                <c:pt idx="23">
                  <c:v>1.3598908260000002</c:v>
                </c:pt>
                <c:pt idx="24">
                  <c:v>1.4047606022000001</c:v>
                </c:pt>
                <c:pt idx="25">
                  <c:v>1.4822811818999999</c:v>
                </c:pt>
                <c:pt idx="26">
                  <c:v>1.5523634898000001</c:v>
                </c:pt>
                <c:pt idx="27">
                  <c:v>1.6500563340999999</c:v>
                </c:pt>
                <c:pt idx="28">
                  <c:v>1.7129458757</c:v>
                </c:pt>
                <c:pt idx="29">
                  <c:v>1.7458999999999998</c:v>
                </c:pt>
                <c:pt idx="30">
                  <c:v>1.0302</c:v>
                </c:pt>
                <c:pt idx="31">
                  <c:v>1.2346993507628472</c:v>
                </c:pt>
                <c:pt idx="32">
                  <c:v>1.1607738627213611</c:v>
                </c:pt>
                <c:pt idx="33">
                  <c:v>1.0799912409527177</c:v>
                </c:pt>
                <c:pt idx="34">
                  <c:v>0.99722409310352755</c:v>
                </c:pt>
                <c:pt idx="35">
                  <c:v>0.91004296030921883</c:v>
                </c:pt>
                <c:pt idx="36">
                  <c:v>0.89519090089400466</c:v>
                </c:pt>
                <c:pt idx="37">
                  <c:v>0.87990670306881247</c:v>
                </c:pt>
                <c:pt idx="38">
                  <c:v>0.86420095559610655</c:v>
                </c:pt>
                <c:pt idx="39">
                  <c:v>0.84808417618907062</c:v>
                </c:pt>
                <c:pt idx="40">
                  <c:v>0.83156681151160539</c:v>
                </c:pt>
                <c:pt idx="41">
                  <c:v>0.80612357752953212</c:v>
                </c:pt>
                <c:pt idx="42">
                  <c:v>0.78059730296815977</c:v>
                </c:pt>
                <c:pt idx="43">
                  <c:v>0.75501343183706937</c:v>
                </c:pt>
                <c:pt idx="44">
                  <c:v>0.72939714615161355</c:v>
                </c:pt>
                <c:pt idx="45">
                  <c:v>0.70377336593291784</c:v>
                </c:pt>
                <c:pt idx="46">
                  <c:v>0.66898286598706103</c:v>
                </c:pt>
                <c:pt idx="47">
                  <c:v>0.63464502284678992</c:v>
                </c:pt>
                <c:pt idx="48">
                  <c:v>0.60080116164238329</c:v>
                </c:pt>
                <c:pt idx="49">
                  <c:v>0.56749211904030583</c:v>
                </c:pt>
                <c:pt idx="50">
                  <c:v>0.53475824324320675</c:v>
                </c:pt>
                <c:pt idx="51">
                  <c:v>0.50819780750955812</c:v>
                </c:pt>
                <c:pt idx="52">
                  <c:v>0.48197109508538655</c:v>
                </c:pt>
                <c:pt idx="53">
                  <c:v>0.45610577379991829</c:v>
                </c:pt>
                <c:pt idx="54">
                  <c:v>0.43062917843886955</c:v>
                </c:pt>
                <c:pt idx="55">
                  <c:v>0.40556831074444749</c:v>
                </c:pt>
                <c:pt idx="56">
                  <c:v>0.38364682942890876</c:v>
                </c:pt>
                <c:pt idx="57">
                  <c:v>0.36198991974467731</c:v>
                </c:pt>
                <c:pt idx="58">
                  <c:v>0.34061750878580827</c:v>
                </c:pt>
                <c:pt idx="59">
                  <c:v>0.3195492794144501</c:v>
                </c:pt>
                <c:pt idx="60" formatCode="_(* #,##0.0_);_(* \(#,##0.0\);_(* &quot;-&quot;??_);_(@_)">
                  <c:v>0.29880467026084351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45-6F40-B431-14E28FEDFCEC}"/>
            </c:ext>
          </c:extLst>
        </c:ser>
        <c:ser>
          <c:idx val="8"/>
          <c:order val="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Fig1_future_Kaya!$BF$4:$BF$64</c:f>
              <c:numCache>
                <c:formatCode>_(* #,##0.00_);_(* \(#,##0.00\);_(* "-"??_);_(@_)</c:formatCode>
                <c:ptCount val="61"/>
                <c:pt idx="0">
                  <c:v>0.92258622599999984</c:v>
                </c:pt>
                <c:pt idx="1">
                  <c:v>0.89355528520000005</c:v>
                </c:pt>
                <c:pt idx="2">
                  <c:v>0.89958193820000021</c:v>
                </c:pt>
                <c:pt idx="3">
                  <c:v>0.90717398179999997</c:v>
                </c:pt>
                <c:pt idx="4">
                  <c:v>0.94640303390000013</c:v>
                </c:pt>
                <c:pt idx="5">
                  <c:v>0.97030139420000006</c:v>
                </c:pt>
                <c:pt idx="6">
                  <c:v>1.0151061794000005</c:v>
                </c:pt>
                <c:pt idx="7">
                  <c:v>1.0475884211000004</c:v>
                </c:pt>
                <c:pt idx="8">
                  <c:v>1.0676154564</c:v>
                </c:pt>
                <c:pt idx="9">
                  <c:v>1.1035493593999999</c:v>
                </c:pt>
                <c:pt idx="10">
                  <c:v>1.1471120549</c:v>
                </c:pt>
                <c:pt idx="11">
                  <c:v>1.1209743288</c:v>
                </c:pt>
                <c:pt idx="12">
                  <c:v>1.1311977174000001</c:v>
                </c:pt>
                <c:pt idx="13">
                  <c:v>1.1241306032000002</c:v>
                </c:pt>
                <c:pt idx="14">
                  <c:v>1.1966825061999997</c:v>
                </c:pt>
                <c:pt idx="15">
                  <c:v>1.2444897735999996</c:v>
                </c:pt>
                <c:pt idx="16">
                  <c:v>1.2594886610999998</c:v>
                </c:pt>
                <c:pt idx="17">
                  <c:v>1.2916170086999998</c:v>
                </c:pt>
                <c:pt idx="18">
                  <c:v>1.2793649353000003</c:v>
                </c:pt>
                <c:pt idx="19">
                  <c:v>1.2105554803</c:v>
                </c:pt>
                <c:pt idx="20">
                  <c:v>1.2756639928</c:v>
                </c:pt>
                <c:pt idx="21">
                  <c:v>1.3110258322000001</c:v>
                </c:pt>
                <c:pt idx="22">
                  <c:v>1.3270094226000002</c:v>
                </c:pt>
                <c:pt idx="23">
                  <c:v>1.3598908260000002</c:v>
                </c:pt>
                <c:pt idx="24">
                  <c:v>1.4047606022000001</c:v>
                </c:pt>
                <c:pt idx="25">
                  <c:v>1.4822811818999999</c:v>
                </c:pt>
                <c:pt idx="26">
                  <c:v>1.5523634898000001</c:v>
                </c:pt>
                <c:pt idx="27">
                  <c:v>1.6500563340999999</c:v>
                </c:pt>
                <c:pt idx="28">
                  <c:v>1.7129458757</c:v>
                </c:pt>
                <c:pt idx="29">
                  <c:v>1.7458999999999998</c:v>
                </c:pt>
                <c:pt idx="30">
                  <c:v>1.0302</c:v>
                </c:pt>
                <c:pt idx="31">
                  <c:v>1.2346993507628472</c:v>
                </c:pt>
                <c:pt idx="32">
                  <c:v>1.1607738627213611</c:v>
                </c:pt>
                <c:pt idx="33">
                  <c:v>1.0614649570106154</c:v>
                </c:pt>
                <c:pt idx="34">
                  <c:v>0.96287588888031184</c:v>
                </c:pt>
                <c:pt idx="35">
                  <c:v>0.85619969537439455</c:v>
                </c:pt>
                <c:pt idx="36">
                  <c:v>0.82004785938719549</c:v>
                </c:pt>
                <c:pt idx="37">
                  <c:v>0.78433727661465658</c:v>
                </c:pt>
                <c:pt idx="38">
                  <c:v>0.74910750188246167</c:v>
                </c:pt>
                <c:pt idx="39">
                  <c:v>0.71439656509179839</c:v>
                </c:pt>
                <c:pt idx="40">
                  <c:v>0.68024097121936056</c:v>
                </c:pt>
                <c:pt idx="41">
                  <c:v>0.64667570031734578</c:v>
                </c:pt>
                <c:pt idx="42">
                  <c:v>0.61373420751345709</c:v>
                </c:pt>
                <c:pt idx="43">
                  <c:v>0.58144842301090194</c:v>
                </c:pt>
                <c:pt idx="44">
                  <c:v>0.54984875208839334</c:v>
                </c:pt>
                <c:pt idx="45">
                  <c:v>0.51896407510014864</c:v>
                </c:pt>
                <c:pt idx="46">
                  <c:v>0.48882174747589036</c:v>
                </c:pt>
                <c:pt idx="47">
                  <c:v>0.45944759972084515</c:v>
                </c:pt>
                <c:pt idx="48">
                  <c:v>0.43086593741574564</c:v>
                </c:pt>
                <c:pt idx="49">
                  <c:v>0.40309954121682873</c:v>
                </c:pt>
                <c:pt idx="50">
                  <c:v>0.37616966685583586</c:v>
                </c:pt>
                <c:pt idx="51">
                  <c:v>0.35009604514001386</c:v>
                </c:pt>
                <c:pt idx="52">
                  <c:v>0.32489688195211441</c:v>
                </c:pt>
                <c:pt idx="53">
                  <c:v>0.30058885825039389</c:v>
                </c:pt>
                <c:pt idx="54">
                  <c:v>0.2771871300686134</c:v>
                </c:pt>
                <c:pt idx="55">
                  <c:v>0.25470532851603928</c:v>
                </c:pt>
                <c:pt idx="56">
                  <c:v>0.23315555977744234</c:v>
                </c:pt>
                <c:pt idx="57">
                  <c:v>0.21254840511309853</c:v>
                </c:pt>
                <c:pt idx="58">
                  <c:v>0.19289292085878848</c:v>
                </c:pt>
                <c:pt idx="59">
                  <c:v>0.17419663842579799</c:v>
                </c:pt>
                <c:pt idx="60" formatCode="_(* #,##0.0_);_(* \(#,##0.0\);_(* &quot;-&quot;??_);_(@_)">
                  <c:v>0.15646556430091715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45-6F40-B431-14E28FEDFCEC}"/>
            </c:ext>
          </c:extLst>
        </c:ser>
        <c:ser>
          <c:idx val="9"/>
          <c:order val="9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Fig1_future_Kaya!$AV$4:$AV$35</c:f>
              <c:numCache>
                <c:formatCode>_(* #,##0.00_);_(* \(#,##0.00\);_(* "-"??_);_(@_)</c:formatCode>
                <c:ptCount val="32"/>
                <c:pt idx="0">
                  <c:v>0.92258622599999984</c:v>
                </c:pt>
                <c:pt idx="1">
                  <c:v>0.89355528520000005</c:v>
                </c:pt>
                <c:pt idx="2">
                  <c:v>0.89958193820000021</c:v>
                </c:pt>
                <c:pt idx="3">
                  <c:v>0.90717398179999997</c:v>
                </c:pt>
                <c:pt idx="4">
                  <c:v>0.94640303390000013</c:v>
                </c:pt>
                <c:pt idx="5">
                  <c:v>0.97030139420000006</c:v>
                </c:pt>
                <c:pt idx="6">
                  <c:v>1.0151061794000005</c:v>
                </c:pt>
                <c:pt idx="7">
                  <c:v>1.0475884211000004</c:v>
                </c:pt>
                <c:pt idx="8">
                  <c:v>1.0676154564</c:v>
                </c:pt>
                <c:pt idx="9">
                  <c:v>1.1035493593999999</c:v>
                </c:pt>
                <c:pt idx="10">
                  <c:v>1.1471120549</c:v>
                </c:pt>
                <c:pt idx="11">
                  <c:v>1.1209743288</c:v>
                </c:pt>
                <c:pt idx="12">
                  <c:v>1.1311977174000001</c:v>
                </c:pt>
                <c:pt idx="13">
                  <c:v>1.1241306032000002</c:v>
                </c:pt>
                <c:pt idx="14">
                  <c:v>1.1966825061999997</c:v>
                </c:pt>
                <c:pt idx="15">
                  <c:v>1.2444897735999996</c:v>
                </c:pt>
                <c:pt idx="16">
                  <c:v>1.2594886610999998</c:v>
                </c:pt>
                <c:pt idx="17">
                  <c:v>1.2916170086999998</c:v>
                </c:pt>
                <c:pt idx="18">
                  <c:v>1.2793649353000003</c:v>
                </c:pt>
                <c:pt idx="19">
                  <c:v>1.2105554803</c:v>
                </c:pt>
                <c:pt idx="20">
                  <c:v>1.2756639928</c:v>
                </c:pt>
                <c:pt idx="21">
                  <c:v>1.3110258322000001</c:v>
                </c:pt>
                <c:pt idx="22">
                  <c:v>1.3270094226000002</c:v>
                </c:pt>
                <c:pt idx="23">
                  <c:v>1.3598908260000002</c:v>
                </c:pt>
                <c:pt idx="24">
                  <c:v>1.4047606022000001</c:v>
                </c:pt>
                <c:pt idx="25">
                  <c:v>1.4822811818999999</c:v>
                </c:pt>
                <c:pt idx="26">
                  <c:v>1.5523634898000001</c:v>
                </c:pt>
                <c:pt idx="27">
                  <c:v>1.6500563340999999</c:v>
                </c:pt>
                <c:pt idx="28">
                  <c:v>1.7129458757</c:v>
                </c:pt>
                <c:pt idx="29" formatCode="_(* #,##0.0_);_(* \(#,##0.0\);_(* &quot;-&quot;??_);_(@_)">
                  <c:v>1.7458999999999998</c:v>
                </c:pt>
                <c:pt idx="30">
                  <c:v>1.0302</c:v>
                </c:pt>
                <c:pt idx="31">
                  <c:v>1.2346993507628472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45-6F40-B431-14E28FEDF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684704"/>
        <c:axId val="1095302255"/>
      </c:lineChart>
      <c:catAx>
        <c:axId val="16016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02255"/>
        <c:crosses val="autoZero"/>
        <c:auto val="1"/>
        <c:lblAlgn val="ctr"/>
        <c:lblOffset val="100"/>
        <c:noMultiLvlLbl val="0"/>
      </c:catAx>
      <c:valAx>
        <c:axId val="1095302255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3</xdr:row>
      <xdr:rowOff>139700</xdr:rowOff>
    </xdr:from>
    <xdr:to>
      <xdr:col>2</xdr:col>
      <xdr:colOff>3124200</xdr:colOff>
      <xdr:row>35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A3AD36-2F06-8353-893A-5191543B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838200"/>
          <a:ext cx="6388100" cy="6375400"/>
        </a:xfrm>
        <a:prstGeom prst="rect">
          <a:avLst/>
        </a:prstGeom>
      </xdr:spPr>
    </xdr:pic>
    <xdr:clientData/>
  </xdr:twoCellAnchor>
  <xdr:twoCellAnchor editAs="oneCell">
    <xdr:from>
      <xdr:col>3</xdr:col>
      <xdr:colOff>444500</xdr:colOff>
      <xdr:row>3</xdr:row>
      <xdr:rowOff>165100</xdr:rowOff>
    </xdr:from>
    <xdr:to>
      <xdr:col>4</xdr:col>
      <xdr:colOff>3302000</xdr:colOff>
      <xdr:row>35</xdr:row>
      <xdr:rowOff>173912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002111-6610-8F89-2FA8-806FB464A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1700" y="863600"/>
          <a:ext cx="6019800" cy="6511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939799</xdr:colOff>
      <xdr:row>66</xdr:row>
      <xdr:rowOff>76200</xdr:rowOff>
    </xdr:from>
    <xdr:to>
      <xdr:col>11</xdr:col>
      <xdr:colOff>1121832</xdr:colOff>
      <xdr:row>81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46EEB-443D-9E26-7CF6-E1DECEF10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469901</xdr:colOff>
      <xdr:row>66</xdr:row>
      <xdr:rowOff>25400</xdr:rowOff>
    </xdr:from>
    <xdr:to>
      <xdr:col>20</xdr:col>
      <xdr:colOff>190501</xdr:colOff>
      <xdr:row>81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57DBA-B68B-834E-B5EF-CB2D399DA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914401</xdr:colOff>
      <xdr:row>66</xdr:row>
      <xdr:rowOff>0</xdr:rowOff>
    </xdr:from>
    <xdr:to>
      <xdr:col>33</xdr:col>
      <xdr:colOff>609601</xdr:colOff>
      <xdr:row>81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A3BBC-4535-5C4A-81CD-25FCFAE22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666750</xdr:colOff>
      <xdr:row>66</xdr:row>
      <xdr:rowOff>25400</xdr:rowOff>
    </xdr:from>
    <xdr:to>
      <xdr:col>42</xdr:col>
      <xdr:colOff>88900</xdr:colOff>
      <xdr:row>86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662F3-FE2A-F6A3-E8F7-51359086D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924435</xdr:colOff>
      <xdr:row>82</xdr:row>
      <xdr:rowOff>53779</xdr:rowOff>
    </xdr:from>
    <xdr:to>
      <xdr:col>11</xdr:col>
      <xdr:colOff>1128889</xdr:colOff>
      <xdr:row>95</xdr:row>
      <xdr:rowOff>193479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15391D-D8AD-734C-A4D2-322D95F8A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952500</xdr:colOff>
      <xdr:row>82</xdr:row>
      <xdr:rowOff>12700</xdr:rowOff>
    </xdr:from>
    <xdr:to>
      <xdr:col>33</xdr:col>
      <xdr:colOff>647700</xdr:colOff>
      <xdr:row>97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266907-75A0-DA4D-B9B7-8D1F97F42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66</xdr:row>
      <xdr:rowOff>0</xdr:rowOff>
    </xdr:from>
    <xdr:to>
      <xdr:col>26</xdr:col>
      <xdr:colOff>495300</xdr:colOff>
      <xdr:row>81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3D177F-F6D9-8043-93C0-AF0DAD1C6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6350</xdr:colOff>
      <xdr:row>69</xdr:row>
      <xdr:rowOff>82550</xdr:rowOff>
    </xdr:from>
    <xdr:to>
      <xdr:col>15</xdr:col>
      <xdr:colOff>1009650</xdr:colOff>
      <xdr:row>84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5968C5B-210E-81A8-00EF-FD2D1D903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65</xdr:row>
      <xdr:rowOff>0</xdr:rowOff>
    </xdr:from>
    <xdr:to>
      <xdr:col>53</xdr:col>
      <xdr:colOff>749877</xdr:colOff>
      <xdr:row>85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4694E4-62EA-B549-9FB6-D0BAD7F26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306914</xdr:colOff>
      <xdr:row>1</xdr:row>
      <xdr:rowOff>105833</xdr:rowOff>
    </xdr:from>
    <xdr:to>
      <xdr:col>65</xdr:col>
      <xdr:colOff>695475</xdr:colOff>
      <xdr:row>28</xdr:row>
      <xdr:rowOff>154517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06331C-C3C2-52FA-6539-B772F018F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393095</xdr:colOff>
      <xdr:row>30</xdr:row>
      <xdr:rowOff>105833</xdr:rowOff>
    </xdr:from>
    <xdr:to>
      <xdr:col>65</xdr:col>
      <xdr:colOff>781656</xdr:colOff>
      <xdr:row>57</xdr:row>
      <xdr:rowOff>124278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5FFCB9-B802-3443-A34E-1CE265295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0</xdr:colOff>
      <xdr:row>60</xdr:row>
      <xdr:rowOff>0</xdr:rowOff>
    </xdr:from>
    <xdr:to>
      <xdr:col>66</xdr:col>
      <xdr:colOff>388561</xdr:colOff>
      <xdr:row>87</xdr:row>
      <xdr:rowOff>94645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1C8AB-90C1-0443-8410-6C8402E0F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742460</xdr:colOff>
      <xdr:row>2</xdr:row>
      <xdr:rowOff>181708</xdr:rowOff>
    </xdr:from>
    <xdr:to>
      <xdr:col>64</xdr:col>
      <xdr:colOff>214923</xdr:colOff>
      <xdr:row>14</xdr:row>
      <xdr:rowOff>78153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0038F8-6C8C-784D-8407-DD4754EF6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625231</xdr:colOff>
      <xdr:row>33</xdr:row>
      <xdr:rowOff>136769</xdr:rowOff>
    </xdr:from>
    <xdr:to>
      <xdr:col>62</xdr:col>
      <xdr:colOff>97694</xdr:colOff>
      <xdr:row>44</xdr:row>
      <xdr:rowOff>228599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590361-72DE-F54B-B8DA-C062FC836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644769</xdr:colOff>
      <xdr:row>63</xdr:row>
      <xdr:rowOff>19539</xdr:rowOff>
    </xdr:from>
    <xdr:to>
      <xdr:col>63</xdr:col>
      <xdr:colOff>117232</xdr:colOff>
      <xdr:row>74</xdr:row>
      <xdr:rowOff>130907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243576-51D5-E740-B79F-4DA99978D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0</xdr:colOff>
      <xdr:row>2</xdr:row>
      <xdr:rowOff>0</xdr:rowOff>
    </xdr:from>
    <xdr:to>
      <xdr:col>76</xdr:col>
      <xdr:colOff>388561</xdr:colOff>
      <xdr:row>29</xdr:row>
      <xdr:rowOff>68222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1F0927-1C23-CF4D-B1EA-A34B64B75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67</xdr:col>
      <xdr:colOff>0</xdr:colOff>
      <xdr:row>30</xdr:row>
      <xdr:rowOff>127000</xdr:rowOff>
    </xdr:from>
    <xdr:to>
      <xdr:col>76</xdr:col>
      <xdr:colOff>388561</xdr:colOff>
      <xdr:row>57</xdr:row>
      <xdr:rowOff>144422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F9590-4361-8049-9499-E4A306C84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67</xdr:col>
      <xdr:colOff>0</xdr:colOff>
      <xdr:row>61</xdr:row>
      <xdr:rowOff>0</xdr:rowOff>
    </xdr:from>
    <xdr:to>
      <xdr:col>76</xdr:col>
      <xdr:colOff>388561</xdr:colOff>
      <xdr:row>88</xdr:row>
      <xdr:rowOff>93622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87EB67-CA2D-574E-A297-F6549466F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67</xdr:col>
      <xdr:colOff>330200</xdr:colOff>
      <xdr:row>5</xdr:row>
      <xdr:rowOff>0</xdr:rowOff>
    </xdr:from>
    <xdr:to>
      <xdr:col>72</xdr:col>
      <xdr:colOff>640863</xdr:colOff>
      <xdr:row>16</xdr:row>
      <xdr:rowOff>125045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025578-E570-9E44-9F0A-38F6CFDE1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812800</xdr:colOff>
      <xdr:row>34</xdr:row>
      <xdr:rowOff>84666</xdr:rowOff>
    </xdr:from>
    <xdr:to>
      <xdr:col>73</xdr:col>
      <xdr:colOff>293730</xdr:colOff>
      <xdr:row>45</xdr:row>
      <xdr:rowOff>125696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7266333-BE21-0149-B141-D878D4A24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719667</xdr:colOff>
      <xdr:row>64</xdr:row>
      <xdr:rowOff>42333</xdr:rowOff>
    </xdr:from>
    <xdr:to>
      <xdr:col>73</xdr:col>
      <xdr:colOff>192130</xdr:colOff>
      <xdr:row>75</xdr:row>
      <xdr:rowOff>159563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363E12C-C949-1245-BAFD-769B0881D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749509</xdr:colOff>
      <xdr:row>18</xdr:row>
      <xdr:rowOff>77236</xdr:rowOff>
    </xdr:from>
    <xdr:to>
      <xdr:col>20</xdr:col>
      <xdr:colOff>728688</xdr:colOff>
      <xdr:row>51</xdr:row>
      <xdr:rowOff>39557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788632-858A-04C1-55C0-ACEAEF02C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9017" y="3824777"/>
          <a:ext cx="7474261" cy="68328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527050</xdr:colOff>
      <xdr:row>1</xdr:row>
      <xdr:rowOff>177800</xdr:rowOff>
    </xdr:from>
    <xdr:to>
      <xdr:col>28</xdr:col>
      <xdr:colOff>215900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8C01E-FFFA-6F82-E959-6C5705FA0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584200</xdr:colOff>
      <xdr:row>19</xdr:row>
      <xdr:rowOff>127000</xdr:rowOff>
    </xdr:from>
    <xdr:to>
      <xdr:col>28</xdr:col>
      <xdr:colOff>273050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00754-A55D-4949-B870-1223DF5FC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</xdr:colOff>
      <xdr:row>8</xdr:row>
      <xdr:rowOff>177800</xdr:rowOff>
    </xdr:from>
    <xdr:to>
      <xdr:col>16</xdr:col>
      <xdr:colOff>1143000</xdr:colOff>
      <xdr:row>8</xdr:row>
      <xdr:rowOff>177800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0CE442A-E265-C861-AE86-02A9FA1E663B}"/>
            </a:ext>
          </a:extLst>
        </xdr:cNvPr>
        <xdr:cNvCxnSpPr/>
      </xdr:nvCxnSpPr>
      <xdr:spPr>
        <a:xfrm>
          <a:off x="12979400" y="1968500"/>
          <a:ext cx="1917700" cy="0"/>
        </a:xfrm>
        <a:prstGeom prst="straightConnector1">
          <a:avLst/>
        </a:prstGeom>
        <a:ln w="317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139700</xdr:colOff>
      <xdr:row>42</xdr:row>
      <xdr:rowOff>165100</xdr:rowOff>
    </xdr:from>
    <xdr:to>
      <xdr:col>18</xdr:col>
      <xdr:colOff>406400</xdr:colOff>
      <xdr:row>42</xdr:row>
      <xdr:rowOff>165100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B5B0E20-F7F5-6C4F-9C5F-D566022C50D8}"/>
            </a:ext>
          </a:extLst>
        </xdr:cNvPr>
        <xdr:cNvCxnSpPr/>
      </xdr:nvCxnSpPr>
      <xdr:spPr>
        <a:xfrm>
          <a:off x="15265400" y="9271000"/>
          <a:ext cx="1917700" cy="0"/>
        </a:xfrm>
        <a:prstGeom prst="straightConnector1">
          <a:avLst/>
        </a:prstGeom>
        <a:ln w="317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641350</xdr:colOff>
      <xdr:row>1</xdr:row>
      <xdr:rowOff>406400</xdr:rowOff>
    </xdr:from>
    <xdr:to>
      <xdr:col>32</xdr:col>
      <xdr:colOff>260350</xdr:colOff>
      <xdr:row>16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0E788D-B5C6-6F5F-F00B-F404A0C55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368300</xdr:colOff>
      <xdr:row>1</xdr:row>
      <xdr:rowOff>381000</xdr:rowOff>
    </xdr:from>
    <xdr:to>
      <xdr:col>20</xdr:col>
      <xdr:colOff>812800</xdr:colOff>
      <xdr:row>17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935FE4-F68C-CBC5-1C4C-FB47BD71A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</xdr:row>
      <xdr:rowOff>406400</xdr:rowOff>
    </xdr:from>
    <xdr:to>
      <xdr:col>26</xdr:col>
      <xdr:colOff>596900</xdr:colOff>
      <xdr:row>17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F75A71-AE69-A3B5-86F1-4D7ABF349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298450</xdr:colOff>
      <xdr:row>21</xdr:row>
      <xdr:rowOff>184150</xdr:rowOff>
    </xdr:from>
    <xdr:to>
      <xdr:col>20</xdr:col>
      <xdr:colOff>742950</xdr:colOff>
      <xdr:row>36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87FEFE-74B1-9D76-640F-098C50650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76200</xdr:colOff>
      <xdr:row>21</xdr:row>
      <xdr:rowOff>196850</xdr:rowOff>
    </xdr:from>
    <xdr:to>
      <xdr:col>26</xdr:col>
      <xdr:colOff>520700</xdr:colOff>
      <xdr:row>36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56F7CE5-5043-E50E-BA05-4CAFBEB7C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698500</xdr:colOff>
      <xdr:row>21</xdr:row>
      <xdr:rowOff>209550</xdr:rowOff>
    </xdr:from>
    <xdr:to>
      <xdr:col>32</xdr:col>
      <xdr:colOff>317500</xdr:colOff>
      <xdr:row>36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358DE1-2FC2-C2F6-79C0-282DF860B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442384</xdr:colOff>
      <xdr:row>66</xdr:row>
      <xdr:rowOff>69850</xdr:rowOff>
    </xdr:from>
    <xdr:to>
      <xdr:col>20</xdr:col>
      <xdr:colOff>57150</xdr:colOff>
      <xdr:row>79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9EAAC1-E2F7-639F-A220-5F5D53840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118535</xdr:colOff>
      <xdr:row>0</xdr:row>
      <xdr:rowOff>0</xdr:rowOff>
    </xdr:from>
    <xdr:to>
      <xdr:col>19</xdr:col>
      <xdr:colOff>471642</xdr:colOff>
      <xdr:row>20</xdr:row>
      <xdr:rowOff>67734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69561D-99F3-024E-EA58-F168AFF2C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5068" y="0"/>
          <a:ext cx="5331507" cy="421640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742949</xdr:colOff>
      <xdr:row>0</xdr:row>
      <xdr:rowOff>203200</xdr:rowOff>
    </xdr:from>
    <xdr:to>
      <xdr:col>44</xdr:col>
      <xdr:colOff>404282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DC330-91C0-23AA-234D-01E07A9C1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698500</xdr:colOff>
      <xdr:row>20</xdr:row>
      <xdr:rowOff>25400</xdr:rowOff>
    </xdr:from>
    <xdr:to>
      <xdr:col>44</xdr:col>
      <xdr:colOff>359833</xdr:colOff>
      <xdr:row>38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9F7CC3-372E-7840-9AF6-6DBD9A098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48</xdr:col>
      <xdr:colOff>254000</xdr:colOff>
      <xdr:row>1</xdr:row>
      <xdr:rowOff>139700</xdr:rowOff>
    </xdr:from>
    <xdr:to>
      <xdr:col>57</xdr:col>
      <xdr:colOff>596900</xdr:colOff>
      <xdr:row>29</xdr:row>
      <xdr:rowOff>167977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A6E013-3603-9F9F-5EA1-A4DC199DF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89300" y="406400"/>
          <a:ext cx="7772400" cy="57178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My%20Drive/Education/2021%20(UCI)/Research/Aviation/Data/05.26.2022_analysis_netzero_aviation_calculations_biofu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Figure 1"/>
      <sheetName val="Figure 2"/>
      <sheetName val="Figure 2 v2"/>
      <sheetName val="1.hist_CO2_emissions"/>
      <sheetName val="carbon_monitor_emissions"/>
      <sheetName val="2.demandVSefficiency"/>
      <sheetName val="2.demand_passenger"/>
      <sheetName val="GDP"/>
      <sheetName val="2.KAYA_demand_passenger"/>
      <sheetName val="2.demand_freight"/>
      <sheetName val="freight_data_WB"/>
      <sheetName val="regional_data_WB"/>
      <sheetName val="regional_data_ICAO"/>
      <sheetName val="2.demand_combined"/>
      <sheetName val="2.KAYA_demand_combined"/>
      <sheetName val="3.energy_intensity_old"/>
      <sheetName val="3.energy_intensity_new"/>
      <sheetName val="3.KAYA_energy_intensity"/>
      <sheetName val="4.carbon_intensity"/>
      <sheetName val="4.fuel_consumption"/>
      <sheetName val="SAF_demand_all_scenarios"/>
      <sheetName val="SAF_land_expansion"/>
      <sheetName val="4.Figure 1c_carbon intensity"/>
      <sheetName val="4.KAYA_carbon_intensity"/>
      <sheetName val="4.sceario_HISTORICAL"/>
      <sheetName val="4.scenario_INDUSTRY"/>
      <sheetName val="4.scenario_BOLD"/>
      <sheetName val="OLD_4.historicalb_no_efficiency"/>
      <sheetName val="OLD_4.scenario_historical"/>
      <sheetName val="Sheet1"/>
      <sheetName val="OLD_4.scenario_bol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C4">
            <v>542.69777999999997</v>
          </cell>
        </row>
        <row r="5">
          <cell r="C5">
            <v>525.62075600000003</v>
          </cell>
        </row>
        <row r="6">
          <cell r="C6">
            <v>529.16584599999999</v>
          </cell>
        </row>
        <row r="7">
          <cell r="C7">
            <v>533.631754</v>
          </cell>
        </row>
        <row r="8">
          <cell r="C8">
            <v>556.70766700000013</v>
          </cell>
        </row>
        <row r="9">
          <cell r="C9">
            <v>570.76552600000002</v>
          </cell>
        </row>
        <row r="10">
          <cell r="C10">
            <v>597.12128200000018</v>
          </cell>
        </row>
        <row r="11">
          <cell r="C11">
            <v>616.2284830000001</v>
          </cell>
        </row>
        <row r="12">
          <cell r="C12">
            <v>628.00909200000001</v>
          </cell>
        </row>
        <row r="13">
          <cell r="C13">
            <v>649.14668200000006</v>
          </cell>
        </row>
        <row r="14">
          <cell r="C14">
            <v>674.77179700000011</v>
          </cell>
        </row>
        <row r="15">
          <cell r="C15">
            <v>659.39666399999999</v>
          </cell>
        </row>
        <row r="16">
          <cell r="C16">
            <v>665.41042200000004</v>
          </cell>
        </row>
        <row r="17">
          <cell r="C17">
            <v>661.25329600000009</v>
          </cell>
        </row>
        <row r="18">
          <cell r="C18">
            <v>703.9308860000001</v>
          </cell>
        </row>
        <row r="19">
          <cell r="C19">
            <v>732.05280799999991</v>
          </cell>
        </row>
        <row r="20">
          <cell r="C20">
            <v>740.87568299999998</v>
          </cell>
        </row>
        <row r="21">
          <cell r="C21">
            <v>759.77471099999991</v>
          </cell>
        </row>
        <row r="22">
          <cell r="C22">
            <v>752.56760900000006</v>
          </cell>
        </row>
        <row r="23">
          <cell r="C23">
            <v>712.09145899999999</v>
          </cell>
        </row>
        <row r="24">
          <cell r="C24">
            <v>750.39058399999999</v>
          </cell>
        </row>
        <row r="25">
          <cell r="C25">
            <v>771.19166600000005</v>
          </cell>
        </row>
        <row r="26">
          <cell r="C26">
            <v>780.59377800000004</v>
          </cell>
        </row>
        <row r="27">
          <cell r="C27">
            <v>799.93578000000002</v>
          </cell>
        </row>
        <row r="28">
          <cell r="C28">
            <v>826.32976600000006</v>
          </cell>
        </row>
        <row r="29">
          <cell r="C29">
            <v>871.93010700000002</v>
          </cell>
        </row>
        <row r="30">
          <cell r="C30">
            <v>913.1549940000001</v>
          </cell>
        </row>
        <row r="31">
          <cell r="C31">
            <v>970.62137300000006</v>
          </cell>
        </row>
        <row r="32">
          <cell r="C32">
            <v>1007.615221</v>
          </cell>
        </row>
        <row r="33">
          <cell r="C33">
            <v>1027</v>
          </cell>
        </row>
        <row r="34">
          <cell r="C34">
            <v>606</v>
          </cell>
        </row>
        <row r="35">
          <cell r="C35">
            <v>726.29373574285114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cao.int/publications/Documents/9921_en.pdf" TargetMode="External"/><Relationship Id="rId2" Type="http://schemas.openxmlformats.org/officeDocument/2006/relationships/hyperlink" Target="https://www.icao.int/publications/Documents/9916_en.pdf" TargetMode="External"/><Relationship Id="rId1" Type="http://schemas.openxmlformats.org/officeDocument/2006/relationships/hyperlink" Target="https://www.icao.int/publications/Documents/9898_en.pdf" TargetMode="External"/><Relationship Id="rId4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nature.com/articles/srep2252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ds.iea.org/wds/pdf/WORLDBES_Documentation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ren21.net/gsr-2018/pages/units/units/" TargetMode="External"/><Relationship Id="rId1" Type="http://schemas.openxmlformats.org/officeDocument/2006/relationships/hyperlink" Target="https://www.iea.org/data-and-statistics/charts/global-biofuel-production-in-2019-and-forecast-to-202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ingentaconnect.com/content/asp/jbmb/2016/00000010/00000001/art00005;jsessionid=18j9o9jd0s73u.x-ic-live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6C92-9416-4A4C-BB0E-2B998608F955}">
  <dimension ref="A1:E57"/>
  <sheetViews>
    <sheetView tabSelected="1" workbookViewId="0">
      <selection activeCell="I28" sqref="I28"/>
    </sheetView>
  </sheetViews>
  <sheetFormatPr baseColWidth="10" defaultRowHeight="16"/>
  <cols>
    <col min="2" max="2" width="34.1640625" customWidth="1"/>
    <col min="3" max="3" width="44.33203125" customWidth="1"/>
    <col min="4" max="4" width="41.5" customWidth="1"/>
    <col min="5" max="5" width="46.1640625" customWidth="1"/>
  </cols>
  <sheetData>
    <row r="1" spans="1:1" ht="21">
      <c r="A1" s="420" t="s">
        <v>440</v>
      </c>
    </row>
    <row r="2" spans="1:1" ht="18">
      <c r="A2" s="421" t="s">
        <v>441</v>
      </c>
    </row>
    <row r="4" spans="1:1">
      <c r="A4" s="422"/>
    </row>
    <row r="5" spans="1:1">
      <c r="A5" s="422"/>
    </row>
    <row r="39" spans="1:5" ht="17" thickBot="1"/>
    <row r="40" spans="1:5" ht="20" thickBot="1">
      <c r="A40" s="309"/>
      <c r="B40" s="215" t="s">
        <v>341</v>
      </c>
      <c r="C40" s="215" t="s">
        <v>342</v>
      </c>
      <c r="D40" s="215" t="s">
        <v>343</v>
      </c>
      <c r="E40" s="215" t="s">
        <v>344</v>
      </c>
    </row>
    <row r="41" spans="1:5" ht="20" thickBot="1">
      <c r="A41" s="310"/>
      <c r="B41" s="216" t="s">
        <v>345</v>
      </c>
      <c r="C41" s="216" t="s">
        <v>333</v>
      </c>
      <c r="D41" s="216" t="s">
        <v>334</v>
      </c>
      <c r="E41" s="216" t="s">
        <v>346</v>
      </c>
    </row>
    <row r="42" spans="1:5" ht="58" customHeight="1">
      <c r="A42" s="311" t="s">
        <v>335</v>
      </c>
      <c r="B42" s="314" t="s">
        <v>347</v>
      </c>
      <c r="C42" s="217" t="s">
        <v>348</v>
      </c>
      <c r="D42" s="314" t="s">
        <v>349</v>
      </c>
      <c r="E42" s="314" t="s">
        <v>426</v>
      </c>
    </row>
    <row r="43" spans="1:5" ht="72" customHeight="1">
      <c r="A43" s="312"/>
      <c r="B43" s="315"/>
      <c r="C43" s="217" t="s">
        <v>350</v>
      </c>
      <c r="D43" s="315"/>
      <c r="E43" s="315"/>
    </row>
    <row r="44" spans="1:5" ht="71" thickBot="1">
      <c r="A44" s="313"/>
      <c r="B44" s="316"/>
      <c r="C44" s="218" t="s">
        <v>351</v>
      </c>
      <c r="D44" s="316"/>
      <c r="E44" s="316"/>
    </row>
    <row r="45" spans="1:5" ht="46" customHeight="1">
      <c r="A45" s="311" t="s">
        <v>336</v>
      </c>
      <c r="B45" s="314" t="s">
        <v>337</v>
      </c>
      <c r="C45" s="217" t="s">
        <v>338</v>
      </c>
      <c r="D45" s="217" t="s">
        <v>339</v>
      </c>
      <c r="E45" s="217" t="s">
        <v>340</v>
      </c>
    </row>
    <row r="46" spans="1:5">
      <c r="A46" s="312"/>
      <c r="B46" s="315"/>
      <c r="C46" s="315" t="s">
        <v>352</v>
      </c>
      <c r="D46" s="315" t="s">
        <v>353</v>
      </c>
      <c r="E46" s="315" t="s">
        <v>354</v>
      </c>
    </row>
    <row r="47" spans="1:5" ht="64" customHeight="1">
      <c r="A47" s="312"/>
      <c r="B47" s="315"/>
      <c r="C47" s="315"/>
      <c r="D47" s="315"/>
      <c r="E47" s="315"/>
    </row>
    <row r="48" spans="1:5" ht="121">
      <c r="A48" s="312"/>
      <c r="B48" s="315"/>
      <c r="C48" s="217" t="s">
        <v>355</v>
      </c>
      <c r="D48" s="217" t="s">
        <v>356</v>
      </c>
      <c r="E48" s="217" t="s">
        <v>357</v>
      </c>
    </row>
    <row r="49" spans="1:5" ht="103" thickBot="1">
      <c r="A49" s="313"/>
      <c r="B49" s="316"/>
      <c r="C49" s="218" t="s">
        <v>358</v>
      </c>
      <c r="D49" s="218" t="s">
        <v>359</v>
      </c>
      <c r="E49" s="218" t="s">
        <v>360</v>
      </c>
    </row>
    <row r="52" spans="1:5">
      <c r="A52" s="423" t="s">
        <v>442</v>
      </c>
    </row>
    <row r="53" spans="1:5">
      <c r="A53" s="423" t="s">
        <v>443</v>
      </c>
    </row>
    <row r="54" spans="1:5">
      <c r="A54" s="423" t="s">
        <v>444</v>
      </c>
    </row>
    <row r="55" spans="1:5">
      <c r="A55" s="423" t="s">
        <v>445</v>
      </c>
    </row>
    <row r="56" spans="1:5">
      <c r="A56" s="423" t="s">
        <v>446</v>
      </c>
    </row>
    <row r="57" spans="1:5">
      <c r="A57" s="423" t="s">
        <v>447</v>
      </c>
    </row>
  </sheetData>
  <mergeCells count="10">
    <mergeCell ref="A45:A49"/>
    <mergeCell ref="B45:B49"/>
    <mergeCell ref="C46:C47"/>
    <mergeCell ref="D46:D47"/>
    <mergeCell ref="E46:E47"/>
    <mergeCell ref="A40:A41"/>
    <mergeCell ref="A42:A44"/>
    <mergeCell ref="B42:B44"/>
    <mergeCell ref="D42:D44"/>
    <mergeCell ref="E42:E4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C3CA-2DEC-AA46-A44D-894ABB021798}">
  <dimension ref="A1:O101"/>
  <sheetViews>
    <sheetView topLeftCell="B1" zoomScale="75" workbookViewId="0">
      <selection activeCell="N82" sqref="N82"/>
    </sheetView>
  </sheetViews>
  <sheetFormatPr baseColWidth="10" defaultRowHeight="16"/>
  <sheetData>
    <row r="1" spans="1:15" ht="21">
      <c r="A1" s="18" t="s">
        <v>20</v>
      </c>
    </row>
    <row r="2" spans="1:15" s="7" customFormat="1" ht="85"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I2" s="7" t="s">
        <v>27</v>
      </c>
      <c r="J2" s="7" t="str">
        <f t="shared" ref="J2:O2" si="0">B2</f>
        <v>Europe</v>
      </c>
      <c r="K2" s="7" t="str">
        <f t="shared" si="0"/>
        <v>Africa</v>
      </c>
      <c r="L2" s="7" t="str">
        <f t="shared" si="0"/>
        <v>Middle East</v>
      </c>
      <c r="M2" s="7" t="str">
        <f t="shared" si="0"/>
        <v>Asia and Pacific</v>
      </c>
      <c r="N2" s="7" t="str">
        <f t="shared" si="0"/>
        <v>North America</v>
      </c>
      <c r="O2" s="7" t="str">
        <f t="shared" si="0"/>
        <v>Latin America and Caribbean</v>
      </c>
    </row>
    <row r="3" spans="1:15" s="7" customFormat="1">
      <c r="A3">
        <v>2007</v>
      </c>
      <c r="B3" s="1">
        <v>27.6</v>
      </c>
      <c r="C3" s="1">
        <v>2.4</v>
      </c>
      <c r="D3" s="1">
        <v>5.3</v>
      </c>
      <c r="E3" s="1">
        <v>26.8</v>
      </c>
      <c r="F3" s="1">
        <v>33.799999999999997</v>
      </c>
      <c r="G3" s="1">
        <v>4.0999999999999996</v>
      </c>
      <c r="H3"/>
      <c r="I3" s="9">
        <f>Fig1_historical_Kaya!C21</f>
        <v>4414.8</v>
      </c>
      <c r="J3">
        <f t="shared" ref="J3:J16" si="1">(B3*$I3)/100</f>
        <v>1218.4848000000002</v>
      </c>
      <c r="K3">
        <f t="shared" ref="K3:K16" si="2">(C3*$I3)/100</f>
        <v>105.9552</v>
      </c>
      <c r="L3">
        <f t="shared" ref="L3:L16" si="3">(D3*$I3)/100</f>
        <v>233.98439999999999</v>
      </c>
      <c r="M3">
        <f t="shared" ref="M3:M16" si="4">(E3*$I3)/100</f>
        <v>1183.1664000000001</v>
      </c>
      <c r="N3">
        <f t="shared" ref="N3:N16" si="5">(F3*$I3)/100</f>
        <v>1492.2023999999999</v>
      </c>
      <c r="O3">
        <f t="shared" ref="O3:O16" si="6">(G3*$I3)/100</f>
        <v>181.0068</v>
      </c>
    </row>
    <row r="4" spans="1:15" s="7" customFormat="1">
      <c r="A4">
        <v>2008</v>
      </c>
      <c r="B4" s="1">
        <v>28.5</v>
      </c>
      <c r="C4" s="1">
        <v>2.4</v>
      </c>
      <c r="D4" s="1">
        <v>5.5</v>
      </c>
      <c r="E4" s="1">
        <v>26.8</v>
      </c>
      <c r="F4" s="1">
        <v>32.4</v>
      </c>
      <c r="G4" s="1">
        <v>4.4000000000000004</v>
      </c>
      <c r="H4"/>
      <c r="I4" s="9">
        <f>Fig1_historical_Kaya!C22</f>
        <v>4476.3999999999996</v>
      </c>
      <c r="J4">
        <f t="shared" si="1"/>
        <v>1275.7739999999999</v>
      </c>
      <c r="K4">
        <f t="shared" si="2"/>
        <v>107.43359999999998</v>
      </c>
      <c r="L4">
        <f t="shared" si="3"/>
        <v>246.20199999999997</v>
      </c>
      <c r="M4">
        <f t="shared" si="4"/>
        <v>1199.6751999999999</v>
      </c>
      <c r="N4">
        <f t="shared" si="5"/>
        <v>1450.3535999999999</v>
      </c>
      <c r="O4">
        <f t="shared" si="6"/>
        <v>196.9616</v>
      </c>
    </row>
    <row r="5" spans="1:15" s="7" customFormat="1">
      <c r="A5">
        <v>2009</v>
      </c>
      <c r="B5" s="1">
        <v>28.1</v>
      </c>
      <c r="C5" s="6">
        <v>2.2999999999999998</v>
      </c>
      <c r="D5" s="6">
        <v>6.7</v>
      </c>
      <c r="E5" s="6">
        <v>27.1</v>
      </c>
      <c r="F5" s="6">
        <v>31.4</v>
      </c>
      <c r="G5" s="6">
        <v>4.5</v>
      </c>
      <c r="H5"/>
      <c r="I5" s="9">
        <f>Fig1_historical_Kaya!C23</f>
        <v>4492.3</v>
      </c>
      <c r="J5">
        <f t="shared" si="1"/>
        <v>1262.3362999999999</v>
      </c>
      <c r="K5">
        <f t="shared" si="2"/>
        <v>103.32289999999999</v>
      </c>
      <c r="L5">
        <f t="shared" si="3"/>
        <v>300.98410000000001</v>
      </c>
      <c r="M5">
        <f t="shared" si="4"/>
        <v>1217.4133000000002</v>
      </c>
      <c r="N5">
        <f t="shared" si="5"/>
        <v>1410.5822000000001</v>
      </c>
      <c r="O5">
        <f t="shared" si="6"/>
        <v>202.15350000000001</v>
      </c>
    </row>
    <row r="6" spans="1:15" s="7" customFormat="1">
      <c r="A6">
        <v>2010</v>
      </c>
      <c r="B6" s="1">
        <v>27.9</v>
      </c>
      <c r="C6" s="1">
        <v>2.6</v>
      </c>
      <c r="D6" s="1">
        <v>7.4</v>
      </c>
      <c r="E6" s="1">
        <v>27.4</v>
      </c>
      <c r="F6" s="1">
        <v>30.1</v>
      </c>
      <c r="G6" s="1">
        <v>4.5</v>
      </c>
      <c r="H6"/>
      <c r="I6" s="9">
        <f>Fig1_historical_Kaya!C24</f>
        <v>4922.634</v>
      </c>
      <c r="J6">
        <f t="shared" si="1"/>
        <v>1373.4148859999998</v>
      </c>
      <c r="K6">
        <f t="shared" si="2"/>
        <v>127.98848400000001</v>
      </c>
      <c r="L6">
        <f t="shared" si="3"/>
        <v>364.27491600000002</v>
      </c>
      <c r="M6">
        <f t="shared" si="4"/>
        <v>1348.8017159999999</v>
      </c>
      <c r="N6">
        <f t="shared" si="5"/>
        <v>1481.7128340000002</v>
      </c>
      <c r="O6">
        <f t="shared" si="6"/>
        <v>221.51853</v>
      </c>
    </row>
    <row r="7" spans="1:15">
      <c r="A7">
        <v>2011</v>
      </c>
      <c r="B7" s="1">
        <v>27.4</v>
      </c>
      <c r="C7" s="1">
        <v>2.2999999999999998</v>
      </c>
      <c r="D7" s="1">
        <v>7.6</v>
      </c>
      <c r="E7" s="1">
        <v>29.6</v>
      </c>
      <c r="F7" s="1">
        <v>28.3</v>
      </c>
      <c r="G7" s="1">
        <v>4.9000000000000004</v>
      </c>
      <c r="I7" s="9">
        <f>Fig1_historical_Kaya!C25</f>
        <v>5246.44</v>
      </c>
      <c r="J7">
        <f t="shared" si="1"/>
        <v>1437.5245599999998</v>
      </c>
      <c r="K7">
        <f t="shared" si="2"/>
        <v>120.66811999999999</v>
      </c>
      <c r="L7">
        <f t="shared" si="3"/>
        <v>398.72943999999995</v>
      </c>
      <c r="M7">
        <f t="shared" si="4"/>
        <v>1552.9462399999998</v>
      </c>
      <c r="N7">
        <f t="shared" si="5"/>
        <v>1484.7425199999998</v>
      </c>
      <c r="O7">
        <f t="shared" si="6"/>
        <v>257.07556</v>
      </c>
    </row>
    <row r="8" spans="1:15">
      <c r="A8">
        <v>2012</v>
      </c>
      <c r="B8" s="1">
        <v>27.2</v>
      </c>
      <c r="C8" s="1">
        <v>2.2999999999999998</v>
      </c>
      <c r="D8" s="1">
        <v>8.1999999999999993</v>
      </c>
      <c r="E8" s="1">
        <v>30.2</v>
      </c>
      <c r="F8" s="1">
        <v>26.9</v>
      </c>
      <c r="G8" s="1">
        <v>5.2</v>
      </c>
      <c r="I8" s="9">
        <f>Fig1_historical_Kaya!C26</f>
        <v>5527.0889999999999</v>
      </c>
      <c r="J8">
        <f t="shared" si="1"/>
        <v>1503.3682079999999</v>
      </c>
      <c r="K8">
        <f t="shared" si="2"/>
        <v>127.12304699999999</v>
      </c>
      <c r="L8">
        <f t="shared" si="3"/>
        <v>453.22129799999993</v>
      </c>
      <c r="M8">
        <f t="shared" si="4"/>
        <v>1669.1808780000001</v>
      </c>
      <c r="N8">
        <f t="shared" si="5"/>
        <v>1486.7869409999998</v>
      </c>
      <c r="O8">
        <f t="shared" si="6"/>
        <v>287.40862799999996</v>
      </c>
    </row>
    <row r="9" spans="1:15">
      <c r="A9">
        <v>2013</v>
      </c>
      <c r="B9" s="1">
        <v>26.9</v>
      </c>
      <c r="C9" s="1">
        <v>2.2999999999999998</v>
      </c>
      <c r="D9" s="1">
        <v>8.6999999999999993</v>
      </c>
      <c r="E9" s="1">
        <v>30.9</v>
      </c>
      <c r="F9" s="1">
        <v>26</v>
      </c>
      <c r="G9" s="1">
        <v>5.2</v>
      </c>
      <c r="I9" s="9">
        <f>Fig1_historical_Kaya!C27</f>
        <v>5830.6750000000002</v>
      </c>
      <c r="J9">
        <f t="shared" si="1"/>
        <v>1568.451575</v>
      </c>
      <c r="K9">
        <f t="shared" si="2"/>
        <v>134.105525</v>
      </c>
      <c r="L9">
        <f t="shared" si="3"/>
        <v>507.26872499999996</v>
      </c>
      <c r="M9">
        <f t="shared" si="4"/>
        <v>1801.6785749999999</v>
      </c>
      <c r="N9">
        <f t="shared" si="5"/>
        <v>1515.9755000000002</v>
      </c>
      <c r="O9">
        <f t="shared" si="6"/>
        <v>303.19510000000002</v>
      </c>
    </row>
    <row r="10" spans="1:15">
      <c r="A10">
        <v>2014</v>
      </c>
      <c r="B10" s="1">
        <v>27</v>
      </c>
      <c r="C10" s="1">
        <v>2.2999999999999998</v>
      </c>
      <c r="D10" s="1">
        <v>8.9</v>
      </c>
      <c r="E10" s="1">
        <v>31.4</v>
      </c>
      <c r="F10" s="1">
        <v>25.2</v>
      </c>
      <c r="G10" s="1">
        <v>5.2</v>
      </c>
      <c r="I10" s="9">
        <f>Fig1_historical_Kaya!C28</f>
        <v>6179.1750000000002</v>
      </c>
      <c r="J10">
        <f t="shared" si="1"/>
        <v>1668.37725</v>
      </c>
      <c r="K10">
        <f t="shared" si="2"/>
        <v>142.121025</v>
      </c>
      <c r="L10">
        <f t="shared" si="3"/>
        <v>549.94657500000005</v>
      </c>
      <c r="M10">
        <f t="shared" si="4"/>
        <v>1940.2609500000001</v>
      </c>
      <c r="N10">
        <f t="shared" si="5"/>
        <v>1557.1521</v>
      </c>
      <c r="O10">
        <f t="shared" si="6"/>
        <v>321.31710000000004</v>
      </c>
    </row>
    <row r="11" spans="1:15">
      <c r="A11">
        <v>2015</v>
      </c>
      <c r="B11" s="1">
        <v>26.7</v>
      </c>
      <c r="C11" s="1">
        <v>2.2000000000000002</v>
      </c>
      <c r="D11" s="1">
        <v>9.1999999999999993</v>
      </c>
      <c r="E11" s="1">
        <v>31.9</v>
      </c>
      <c r="F11" s="1">
        <v>24.7</v>
      </c>
      <c r="G11" s="1">
        <v>5.3</v>
      </c>
      <c r="I11" s="9">
        <f>Fig1_historical_Kaya!C29</f>
        <v>6642.5140000000001</v>
      </c>
      <c r="J11">
        <f t="shared" si="1"/>
        <v>1773.551238</v>
      </c>
      <c r="K11">
        <f t="shared" si="2"/>
        <v>146.13530800000001</v>
      </c>
      <c r="L11">
        <f t="shared" si="3"/>
        <v>611.11128799999994</v>
      </c>
      <c r="M11">
        <f t="shared" si="4"/>
        <v>2118.9619659999998</v>
      </c>
      <c r="N11">
        <f t="shared" si="5"/>
        <v>1640.7009580000001</v>
      </c>
      <c r="O11">
        <f t="shared" si="6"/>
        <v>352.05324200000001</v>
      </c>
    </row>
    <row r="12" spans="1:15">
      <c r="A12">
        <v>2016</v>
      </c>
      <c r="B12" s="1">
        <v>26.5</v>
      </c>
      <c r="C12" s="1">
        <v>2.1</v>
      </c>
      <c r="D12" s="1">
        <v>9.5</v>
      </c>
      <c r="E12" s="1">
        <v>32.9</v>
      </c>
      <c r="F12" s="1">
        <v>23.8</v>
      </c>
      <c r="G12" s="1">
        <v>5.2</v>
      </c>
      <c r="I12" s="9">
        <f>Fig1_historical_Kaya!C30</f>
        <v>7133.4610000000002</v>
      </c>
      <c r="J12">
        <f t="shared" si="1"/>
        <v>1890.3671650000001</v>
      </c>
      <c r="K12">
        <f t="shared" si="2"/>
        <v>149.80268100000001</v>
      </c>
      <c r="L12">
        <f t="shared" si="3"/>
        <v>677.67879499999992</v>
      </c>
      <c r="M12">
        <f t="shared" si="4"/>
        <v>2346.9086689999999</v>
      </c>
      <c r="N12">
        <f t="shared" si="5"/>
        <v>1697.7637180000002</v>
      </c>
      <c r="O12">
        <f t="shared" si="6"/>
        <v>370.93997200000007</v>
      </c>
    </row>
    <row r="13" spans="1:15">
      <c r="A13">
        <v>2017</v>
      </c>
      <c r="B13" s="1">
        <v>26.5</v>
      </c>
      <c r="C13" s="1">
        <v>2.1</v>
      </c>
      <c r="D13" s="1">
        <v>9.4</v>
      </c>
      <c r="E13" s="1">
        <v>33.9</v>
      </c>
      <c r="F13" s="1">
        <v>23</v>
      </c>
      <c r="G13" s="1">
        <v>5.0999999999999996</v>
      </c>
      <c r="I13" s="9">
        <f>Fig1_historical_Kaya!C31</f>
        <v>7699.42</v>
      </c>
      <c r="J13">
        <f t="shared" si="1"/>
        <v>2040.3463000000002</v>
      </c>
      <c r="K13">
        <f t="shared" si="2"/>
        <v>161.68782000000002</v>
      </c>
      <c r="L13">
        <f t="shared" si="3"/>
        <v>723.74548000000004</v>
      </c>
      <c r="M13">
        <f t="shared" si="4"/>
        <v>2610.10338</v>
      </c>
      <c r="N13">
        <f t="shared" si="5"/>
        <v>1770.8666000000001</v>
      </c>
      <c r="O13">
        <f t="shared" si="6"/>
        <v>392.67041999999992</v>
      </c>
    </row>
    <row r="14" spans="1:15">
      <c r="A14">
        <v>2018</v>
      </c>
      <c r="B14" s="1">
        <v>26.3</v>
      </c>
      <c r="C14" s="1">
        <v>2.1</v>
      </c>
      <c r="D14" s="1">
        <v>9.1999999999999993</v>
      </c>
      <c r="E14" s="1">
        <v>34.799999999999997</v>
      </c>
      <c r="F14" s="1">
        <v>22.4</v>
      </c>
      <c r="G14" s="1">
        <v>5.0999999999999996</v>
      </c>
      <c r="I14" s="9">
        <f>Fig1_historical_Kaya!C32</f>
        <v>8148.1362783487639</v>
      </c>
      <c r="J14">
        <f t="shared" si="1"/>
        <v>2142.9598412057253</v>
      </c>
      <c r="K14">
        <f t="shared" si="2"/>
        <v>171.11086184532402</v>
      </c>
      <c r="L14">
        <f t="shared" si="3"/>
        <v>749.62853760808616</v>
      </c>
      <c r="M14">
        <f t="shared" si="4"/>
        <v>2835.5514248653694</v>
      </c>
      <c r="N14">
        <f t="shared" si="5"/>
        <v>1825.182526350123</v>
      </c>
      <c r="O14">
        <f t="shared" si="6"/>
        <v>415.55495019578694</v>
      </c>
    </row>
    <row r="15" spans="1:15">
      <c r="A15">
        <v>2019</v>
      </c>
      <c r="B15" s="1">
        <v>26.8</v>
      </c>
      <c r="C15" s="1">
        <v>2.1</v>
      </c>
      <c r="D15" s="1">
        <v>9.1</v>
      </c>
      <c r="E15" s="1">
        <v>34.700000000000003</v>
      </c>
      <c r="F15" s="1">
        <v>22.2</v>
      </c>
      <c r="G15" s="1">
        <v>5.0999999999999996</v>
      </c>
      <c r="I15" s="9">
        <f>Fig1_historical_Kaya!C33</f>
        <v>8596.8525566975295</v>
      </c>
      <c r="J15">
        <f t="shared" si="1"/>
        <v>2303.9564851949381</v>
      </c>
      <c r="K15">
        <f t="shared" si="2"/>
        <v>180.53390369064812</v>
      </c>
      <c r="L15">
        <f t="shared" si="3"/>
        <v>782.31358265947517</v>
      </c>
      <c r="M15">
        <f t="shared" si="4"/>
        <v>2983.1078371740427</v>
      </c>
      <c r="N15">
        <f t="shared" si="5"/>
        <v>1908.5012675868516</v>
      </c>
      <c r="O15">
        <f t="shared" si="6"/>
        <v>438.43948039157397</v>
      </c>
    </row>
    <row r="16" spans="1:15">
      <c r="A16">
        <v>2020</v>
      </c>
      <c r="B16" s="13">
        <v>23.5</v>
      </c>
      <c r="C16" s="13">
        <v>2</v>
      </c>
      <c r="D16" s="13">
        <v>8.6</v>
      </c>
      <c r="E16" s="13">
        <v>38</v>
      </c>
      <c r="F16" s="13">
        <v>22.5</v>
      </c>
      <c r="G16" s="13">
        <v>5.4</v>
      </c>
      <c r="I16" s="9">
        <f>Fig1_historical_Kaya!C34</f>
        <v>2990.002</v>
      </c>
      <c r="J16">
        <f t="shared" si="1"/>
        <v>702.65047000000004</v>
      </c>
      <c r="K16">
        <f t="shared" si="2"/>
        <v>59.800039999999996</v>
      </c>
      <c r="L16" s="9">
        <f t="shared" si="3"/>
        <v>257.14017200000001</v>
      </c>
      <c r="M16">
        <f t="shared" si="4"/>
        <v>1136.2007599999999</v>
      </c>
      <c r="N16">
        <f t="shared" si="5"/>
        <v>672.75045</v>
      </c>
      <c r="O16">
        <f t="shared" si="6"/>
        <v>161.46010799999999</v>
      </c>
    </row>
    <row r="18" spans="1:15">
      <c r="A18" t="s">
        <v>42</v>
      </c>
      <c r="B18" s="14">
        <f>(B15-B3)/B3</f>
        <v>-2.8985507246376836E-2</v>
      </c>
      <c r="C18" s="14">
        <f t="shared" ref="C18:F18" si="7">(C15-C3)/C3</f>
        <v>-0.12499999999999993</v>
      </c>
      <c r="D18" s="14">
        <f t="shared" si="7"/>
        <v>0.71698113207547165</v>
      </c>
      <c r="E18" s="14">
        <f>(E15-E3)/E3</f>
        <v>0.29477611940298515</v>
      </c>
      <c r="F18" s="14">
        <f t="shared" si="7"/>
        <v>-0.34319526627218933</v>
      </c>
      <c r="G18" s="14">
        <f>(G15-G3)/G3</f>
        <v>0.24390243902439027</v>
      </c>
      <c r="I18" s="14">
        <f>(I15-I3)/I3</f>
        <v>0.94728018408478964</v>
      </c>
      <c r="J18" s="14">
        <f t="shared" ref="J18:N18" si="8">(J15-J3)/J3</f>
        <v>0.89083728019827391</v>
      </c>
      <c r="K18" s="14">
        <f>(K15-K3)/K3</f>
        <v>0.70387016107419087</v>
      </c>
      <c r="L18" s="14">
        <f>(L15-L3)/L3</f>
        <v>2.3434433349380352</v>
      </c>
      <c r="M18" s="14">
        <f>(M15-M3)/M3</f>
        <v>1.5212918801396342</v>
      </c>
      <c r="N18" s="14">
        <f t="shared" si="8"/>
        <v>0.27898284280125246</v>
      </c>
      <c r="O18" s="14">
        <f>(O15-O3)/O3</f>
        <v>1.4222265704469332</v>
      </c>
    </row>
    <row r="19" spans="1:15">
      <c r="B19" s="14"/>
      <c r="C19" s="14"/>
      <c r="D19" s="14"/>
      <c r="E19" s="14"/>
      <c r="F19" s="14"/>
      <c r="G19" s="14"/>
      <c r="I19" s="14"/>
      <c r="J19" s="14"/>
      <c r="K19" s="14"/>
      <c r="L19" s="14"/>
      <c r="M19" s="14"/>
      <c r="N19" s="14"/>
      <c r="O19" s="14"/>
    </row>
    <row r="21" spans="1:15" ht="21">
      <c r="A21" s="18" t="s">
        <v>43</v>
      </c>
    </row>
    <row r="22" spans="1:15" ht="85">
      <c r="A22" s="7"/>
      <c r="B22" s="7" t="s">
        <v>21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I22" s="7" t="s">
        <v>44</v>
      </c>
      <c r="J22" s="15" t="str">
        <f t="shared" ref="J22:O22" si="9">B22</f>
        <v>Europe</v>
      </c>
      <c r="K22" s="15" t="str">
        <f t="shared" si="9"/>
        <v>Africa</v>
      </c>
      <c r="L22" s="15" t="str">
        <f t="shared" si="9"/>
        <v>Middle East</v>
      </c>
      <c r="M22" s="15" t="str">
        <f t="shared" si="9"/>
        <v>Asia and Pacific</v>
      </c>
      <c r="N22" s="15" t="str">
        <f t="shared" si="9"/>
        <v>North America</v>
      </c>
      <c r="O22" s="15" t="str">
        <f t="shared" si="9"/>
        <v>Latin America and Caribbean</v>
      </c>
    </row>
    <row r="23" spans="1:15">
      <c r="A23">
        <v>2007</v>
      </c>
      <c r="B23" s="16">
        <v>25.3</v>
      </c>
      <c r="C23" s="16">
        <v>1.4</v>
      </c>
      <c r="D23" s="16">
        <v>6.8</v>
      </c>
      <c r="E23" s="16">
        <v>36.9</v>
      </c>
      <c r="F23" s="16">
        <v>26.5</v>
      </c>
      <c r="G23" s="16">
        <v>3</v>
      </c>
      <c r="I23" s="9">
        <f>Fig1_historical_Kaya!E21/10^3</f>
        <v>158.20594599999998</v>
      </c>
      <c r="J23">
        <f t="shared" ref="J23:J36" si="10">(B23*$I23)/100</f>
        <v>40.026104337999996</v>
      </c>
      <c r="K23">
        <f t="shared" ref="K23:K36" si="11">(C23*$I23)/100</f>
        <v>2.2148832439999997</v>
      </c>
      <c r="L23">
        <f t="shared" ref="L23:L36" si="12">(D23*$I23)/100</f>
        <v>10.758004328</v>
      </c>
      <c r="M23">
        <f t="shared" ref="M23:M36" si="13">(E23*$I23)/100</f>
        <v>58.377994073999986</v>
      </c>
      <c r="N23">
        <f t="shared" ref="N23:N36" si="14">(F23*$I23)/100</f>
        <v>41.92457568999999</v>
      </c>
      <c r="O23">
        <f t="shared" ref="O23:O36" si="15">(G23*$I23)/100</f>
        <v>4.7461783799999999</v>
      </c>
    </row>
    <row r="24" spans="1:15">
      <c r="A24">
        <v>2008</v>
      </c>
      <c r="B24" s="1">
        <v>26.3</v>
      </c>
      <c r="C24" s="1">
        <v>1.4</v>
      </c>
      <c r="D24" s="1">
        <v>7.1</v>
      </c>
      <c r="E24" s="1">
        <v>35.799999999999997</v>
      </c>
      <c r="F24" s="1">
        <v>26</v>
      </c>
      <c r="G24" s="1">
        <v>3.4</v>
      </c>
      <c r="I24" s="9">
        <f>Fig1_historical_Kaya!E22/10^3</f>
        <v>158.48787400000001</v>
      </c>
      <c r="J24">
        <f t="shared" si="10"/>
        <v>41.682310862000001</v>
      </c>
      <c r="K24">
        <f t="shared" si="11"/>
        <v>2.2188302360000001</v>
      </c>
      <c r="L24">
        <f t="shared" si="12"/>
        <v>11.252639053999999</v>
      </c>
      <c r="M24">
        <f t="shared" si="13"/>
        <v>56.738658891999997</v>
      </c>
      <c r="N24">
        <f t="shared" si="14"/>
        <v>41.206847239999995</v>
      </c>
      <c r="O24">
        <f t="shared" si="15"/>
        <v>5.388587716</v>
      </c>
    </row>
    <row r="25" spans="1:15">
      <c r="A25">
        <v>2009</v>
      </c>
      <c r="B25" s="1">
        <v>24.4</v>
      </c>
      <c r="C25" s="6">
        <v>1.4</v>
      </c>
      <c r="D25" s="6">
        <v>8.8000000000000007</v>
      </c>
      <c r="E25" s="6">
        <v>36.1</v>
      </c>
      <c r="F25" s="6">
        <v>25.9</v>
      </c>
      <c r="G25" s="6">
        <v>3.5</v>
      </c>
      <c r="I25" s="9">
        <f>Fig1_historical_Kaya!E23/10^3</f>
        <v>175.50934365439602</v>
      </c>
      <c r="J25">
        <f t="shared" si="10"/>
        <v>42.824279851672628</v>
      </c>
      <c r="K25">
        <f t="shared" si="11"/>
        <v>2.457130811161544</v>
      </c>
      <c r="L25">
        <f t="shared" si="12"/>
        <v>15.44482224158685</v>
      </c>
      <c r="M25">
        <f t="shared" si="13"/>
        <v>63.35887305923697</v>
      </c>
      <c r="N25">
        <f t="shared" si="14"/>
        <v>45.456920006488559</v>
      </c>
      <c r="O25">
        <f t="shared" si="15"/>
        <v>6.142827027903861</v>
      </c>
    </row>
    <row r="26" spans="1:15">
      <c r="A26">
        <v>2010</v>
      </c>
      <c r="B26" s="1">
        <v>25.9</v>
      </c>
      <c r="C26" s="1">
        <v>1.3</v>
      </c>
      <c r="D26" s="1">
        <v>9.4</v>
      </c>
      <c r="E26" s="1">
        <v>36.5</v>
      </c>
      <c r="F26" s="1">
        <v>23.7</v>
      </c>
      <c r="G26" s="1">
        <v>3.2</v>
      </c>
      <c r="I26" s="9">
        <f>Fig1_historical_Kaya!E24/10^3</f>
        <v>182.02562707797</v>
      </c>
      <c r="J26">
        <f t="shared" si="10"/>
        <v>47.144637413194225</v>
      </c>
      <c r="K26">
        <f t="shared" si="11"/>
        <v>2.3663331520136102</v>
      </c>
      <c r="L26">
        <f t="shared" si="12"/>
        <v>17.110408945329183</v>
      </c>
      <c r="M26">
        <f t="shared" si="13"/>
        <v>66.439353883459049</v>
      </c>
      <c r="N26">
        <f t="shared" si="14"/>
        <v>43.14007361747889</v>
      </c>
      <c r="O26">
        <f t="shared" si="15"/>
        <v>5.8248200664950396</v>
      </c>
    </row>
    <row r="27" spans="1:15">
      <c r="A27">
        <v>2011</v>
      </c>
      <c r="B27" s="1">
        <v>22.1</v>
      </c>
      <c r="C27" s="1">
        <v>1.5</v>
      </c>
      <c r="D27" s="1">
        <v>9.6</v>
      </c>
      <c r="E27" s="1">
        <v>41.1</v>
      </c>
      <c r="F27" s="1">
        <v>22.9</v>
      </c>
      <c r="G27" s="1">
        <v>2.8</v>
      </c>
      <c r="I27" s="9">
        <f>Fig1_historical_Kaya!E25/10^3</f>
        <v>183.03723005902299</v>
      </c>
      <c r="J27">
        <f t="shared" si="10"/>
        <v>40.451227843044087</v>
      </c>
      <c r="K27">
        <f t="shared" si="11"/>
        <v>2.745558450885345</v>
      </c>
      <c r="L27">
        <f t="shared" si="12"/>
        <v>17.571574085666207</v>
      </c>
      <c r="M27">
        <f t="shared" si="13"/>
        <v>75.228301554258451</v>
      </c>
      <c r="N27">
        <f t="shared" si="14"/>
        <v>41.915525683516265</v>
      </c>
      <c r="O27">
        <f t="shared" si="15"/>
        <v>5.1250424416526439</v>
      </c>
    </row>
    <row r="28" spans="1:15">
      <c r="A28">
        <v>2012</v>
      </c>
      <c r="B28" s="1">
        <v>22.7</v>
      </c>
      <c r="C28" s="1">
        <v>1.7</v>
      </c>
      <c r="D28" s="1">
        <v>10.9</v>
      </c>
      <c r="E28" s="1">
        <v>39.4</v>
      </c>
      <c r="F28" s="1">
        <v>22.5</v>
      </c>
      <c r="G28" s="1">
        <v>2.8</v>
      </c>
      <c r="I28" s="9">
        <f>Fig1_historical_Kaya!E26/10^3</f>
        <v>175.05134224884299</v>
      </c>
      <c r="J28">
        <f t="shared" si="10"/>
        <v>39.736654690487356</v>
      </c>
      <c r="K28">
        <f t="shared" si="11"/>
        <v>2.9758728182303309</v>
      </c>
      <c r="L28">
        <f t="shared" si="12"/>
        <v>19.080596305123887</v>
      </c>
      <c r="M28">
        <f t="shared" si="13"/>
        <v>68.970228846044137</v>
      </c>
      <c r="N28">
        <f t="shared" si="14"/>
        <v>39.386552005989671</v>
      </c>
      <c r="O28">
        <f t="shared" si="15"/>
        <v>4.9014375829676036</v>
      </c>
    </row>
    <row r="29" spans="1:15">
      <c r="A29">
        <v>2013</v>
      </c>
      <c r="B29" s="1">
        <v>22.4</v>
      </c>
      <c r="C29" s="1">
        <v>1.7</v>
      </c>
      <c r="D29" s="1">
        <v>12.2</v>
      </c>
      <c r="E29" s="1">
        <v>39.9</v>
      </c>
      <c r="F29" s="1">
        <v>21</v>
      </c>
      <c r="G29" s="1">
        <v>2.9</v>
      </c>
      <c r="I29" s="9">
        <f>Fig1_historical_Kaya!E27/10^3</f>
        <v>175.82955781354798</v>
      </c>
      <c r="J29">
        <f t="shared" si="10"/>
        <v>39.385820950234745</v>
      </c>
      <c r="K29">
        <f t="shared" si="11"/>
        <v>2.9891024828303152</v>
      </c>
      <c r="L29">
        <f t="shared" si="12"/>
        <v>21.451206053252854</v>
      </c>
      <c r="M29">
        <f t="shared" si="13"/>
        <v>70.155993567605634</v>
      </c>
      <c r="N29">
        <f t="shared" si="14"/>
        <v>36.924207140845077</v>
      </c>
      <c r="O29">
        <f t="shared" si="15"/>
        <v>5.0990571765928907</v>
      </c>
    </row>
    <row r="30" spans="1:15">
      <c r="A30">
        <v>2014</v>
      </c>
      <c r="B30" s="1">
        <v>22.3</v>
      </c>
      <c r="C30" s="1">
        <v>1.7</v>
      </c>
      <c r="D30" s="1">
        <v>13.1</v>
      </c>
      <c r="E30" s="1">
        <v>39.4</v>
      </c>
      <c r="F30" s="1">
        <v>20.8</v>
      </c>
      <c r="G30" s="1">
        <v>2.8</v>
      </c>
      <c r="I30" s="9">
        <f>Fig1_historical_Kaya!E28/10^3</f>
        <v>184.831109461419</v>
      </c>
      <c r="J30">
        <f t="shared" si="10"/>
        <v>41.217337409896437</v>
      </c>
      <c r="K30">
        <f t="shared" si="11"/>
        <v>3.1421288608441227</v>
      </c>
      <c r="L30">
        <f t="shared" si="12"/>
        <v>24.21287533944589</v>
      </c>
      <c r="M30">
        <f t="shared" si="13"/>
        <v>72.823457127799088</v>
      </c>
      <c r="N30">
        <f t="shared" si="14"/>
        <v>38.444870767975154</v>
      </c>
      <c r="O30">
        <f t="shared" si="15"/>
        <v>5.1752710649197322</v>
      </c>
    </row>
    <row r="31" spans="1:15">
      <c r="A31">
        <v>2015</v>
      </c>
      <c r="B31" s="1">
        <v>21.8</v>
      </c>
      <c r="C31" s="1">
        <v>1.7</v>
      </c>
      <c r="D31" s="1">
        <v>14.2</v>
      </c>
      <c r="E31" s="1">
        <v>39.5</v>
      </c>
      <c r="F31" s="1">
        <v>19.899999999999999</v>
      </c>
      <c r="G31" s="1">
        <v>2.9</v>
      </c>
      <c r="I31" s="9">
        <f>Fig1_historical_Kaya!E29/10^3</f>
        <v>187.76941631234502</v>
      </c>
      <c r="J31">
        <f t="shared" si="10"/>
        <v>40.93373275609121</v>
      </c>
      <c r="K31">
        <f t="shared" si="11"/>
        <v>3.1920800773098654</v>
      </c>
      <c r="L31">
        <f t="shared" si="12"/>
        <v>26.663257116352995</v>
      </c>
      <c r="M31">
        <f t="shared" si="13"/>
        <v>74.168919443376282</v>
      </c>
      <c r="N31">
        <f t="shared" si="14"/>
        <v>37.366113846156651</v>
      </c>
      <c r="O31">
        <f t="shared" si="15"/>
        <v>5.4453130730580055</v>
      </c>
    </row>
    <row r="32" spans="1:15">
      <c r="A32">
        <v>2016</v>
      </c>
      <c r="B32" s="1">
        <v>22.7</v>
      </c>
      <c r="C32" s="1">
        <v>1.6</v>
      </c>
      <c r="D32" s="1">
        <v>14.1</v>
      </c>
      <c r="E32" s="1">
        <v>39.200000000000003</v>
      </c>
      <c r="F32" s="1">
        <v>19.600000000000001</v>
      </c>
      <c r="G32" s="1">
        <v>2.8</v>
      </c>
      <c r="I32" s="9">
        <f>Fig1_historical_Kaya!E30/10^3</f>
        <v>194.89827509403401</v>
      </c>
      <c r="J32">
        <f t="shared" si="10"/>
        <v>44.241908446345718</v>
      </c>
      <c r="K32">
        <f t="shared" si="11"/>
        <v>3.1183724015045442</v>
      </c>
      <c r="L32">
        <f t="shared" si="12"/>
        <v>27.480656788258795</v>
      </c>
      <c r="M32">
        <f t="shared" si="13"/>
        <v>76.40012383686134</v>
      </c>
      <c r="N32">
        <f t="shared" si="14"/>
        <v>38.20006191843067</v>
      </c>
      <c r="O32">
        <f t="shared" si="15"/>
        <v>5.4571517026329515</v>
      </c>
    </row>
    <row r="33" spans="1:15">
      <c r="A33">
        <v>2017</v>
      </c>
      <c r="B33" s="1">
        <v>23.1</v>
      </c>
      <c r="C33" s="1">
        <v>1.9</v>
      </c>
      <c r="D33" s="1">
        <v>13.8</v>
      </c>
      <c r="E33" s="1">
        <v>38.799999999999997</v>
      </c>
      <c r="F33" s="1">
        <v>19.899999999999999</v>
      </c>
      <c r="G33" s="1">
        <v>2.7</v>
      </c>
      <c r="I33" s="9">
        <f>Fig1_historical_Kaya!E31/10^3</f>
        <v>212.86664717206199</v>
      </c>
      <c r="J33">
        <f t="shared" si="10"/>
        <v>49.172195496746326</v>
      </c>
      <c r="K33">
        <f t="shared" si="11"/>
        <v>4.0444662962691771</v>
      </c>
      <c r="L33">
        <f t="shared" si="12"/>
        <v>29.375597309744556</v>
      </c>
      <c r="M33">
        <f t="shared" si="13"/>
        <v>82.592259102760053</v>
      </c>
      <c r="N33">
        <f t="shared" si="14"/>
        <v>42.36046278724033</v>
      </c>
      <c r="O33">
        <f t="shared" si="15"/>
        <v>5.7473994736456744</v>
      </c>
    </row>
    <row r="34" spans="1:15">
      <c r="A34">
        <v>2018</v>
      </c>
      <c r="B34" s="1">
        <v>23.2</v>
      </c>
      <c r="C34" s="1">
        <v>1.8</v>
      </c>
      <c r="D34" s="1">
        <v>14.1</v>
      </c>
      <c r="E34" s="1">
        <v>38</v>
      </c>
      <c r="F34" s="1">
        <v>20.100000000000001</v>
      </c>
      <c r="G34" s="1">
        <v>2.8</v>
      </c>
      <c r="I34" s="9">
        <f>Fig1_historical_Kaya!E32/10^3</f>
        <v>221.165700779335</v>
      </c>
      <c r="J34">
        <f t="shared" si="10"/>
        <v>51.31044258080572</v>
      </c>
      <c r="K34">
        <f t="shared" si="11"/>
        <v>3.9809826140280302</v>
      </c>
      <c r="L34">
        <f t="shared" si="12"/>
        <v>31.184363809886236</v>
      </c>
      <c r="M34">
        <f t="shared" si="13"/>
        <v>84.042966296147299</v>
      </c>
      <c r="N34">
        <f t="shared" si="14"/>
        <v>44.454305856646336</v>
      </c>
      <c r="O34">
        <f t="shared" si="15"/>
        <v>6.1926396218213791</v>
      </c>
    </row>
    <row r="35" spans="1:15">
      <c r="A35">
        <v>2019</v>
      </c>
      <c r="B35" s="1">
        <v>23.9</v>
      </c>
      <c r="C35" s="1">
        <v>1.9</v>
      </c>
      <c r="D35" s="1">
        <v>13.8</v>
      </c>
      <c r="E35" s="1">
        <v>37.700000000000003</v>
      </c>
      <c r="F35" s="1">
        <v>20</v>
      </c>
      <c r="G35" s="1">
        <v>2.8</v>
      </c>
      <c r="I35" s="9">
        <f>Fig1_historical_Kaya!E33/10^3</f>
        <v>221.49575918843601</v>
      </c>
      <c r="J35">
        <f t="shared" si="10"/>
        <v>52.937486446036203</v>
      </c>
      <c r="K35">
        <f t="shared" si="11"/>
        <v>4.208419424580284</v>
      </c>
      <c r="L35">
        <f t="shared" si="12"/>
        <v>30.566414768004169</v>
      </c>
      <c r="M35">
        <f t="shared" si="13"/>
        <v>83.503901214040383</v>
      </c>
      <c r="N35">
        <f t="shared" si="14"/>
        <v>44.299151837687205</v>
      </c>
      <c r="O35">
        <f t="shared" si="15"/>
        <v>6.2018812572762076</v>
      </c>
    </row>
    <row r="36" spans="1:15">
      <c r="A36">
        <v>2020</v>
      </c>
      <c r="B36" s="1">
        <v>22.4</v>
      </c>
      <c r="C36" s="1">
        <v>2</v>
      </c>
      <c r="D36" s="1">
        <v>14.6</v>
      </c>
      <c r="E36" s="1">
        <v>35.5</v>
      </c>
      <c r="F36" s="1">
        <v>22.7</v>
      </c>
      <c r="G36" s="1">
        <v>2.8</v>
      </c>
      <c r="I36" s="9">
        <f>Fig1_historical_Kaya!E34/10^3</f>
        <v>180.53079650355201</v>
      </c>
      <c r="J36">
        <f t="shared" si="10"/>
        <v>40.438898416795645</v>
      </c>
      <c r="K36">
        <f t="shared" si="11"/>
        <v>3.6106159300710403</v>
      </c>
      <c r="L36">
        <f t="shared" si="12"/>
        <v>26.357496289518593</v>
      </c>
      <c r="M36">
        <f t="shared" si="13"/>
        <v>64.088432758760959</v>
      </c>
      <c r="N36">
        <f t="shared" si="14"/>
        <v>40.980490806306307</v>
      </c>
      <c r="O36">
        <f t="shared" si="15"/>
        <v>5.0548623020994556</v>
      </c>
    </row>
    <row r="38" spans="1:15">
      <c r="I38" s="14">
        <f>(I35-I23)/I23</f>
        <v>0.40004699436793628</v>
      </c>
      <c r="J38" s="14">
        <f t="shared" ref="J38:N38" si="16">(J35-J23)/J23</f>
        <v>0.32257403815785279</v>
      </c>
      <c r="K38" s="14">
        <f>(K35-K23)/K23</f>
        <v>0.90006377807077065</v>
      </c>
      <c r="L38" s="14">
        <f>(L35-L23)/L23</f>
        <v>1.8412718415113996</v>
      </c>
      <c r="M38" s="14">
        <f>(M35-M23)/M23</f>
        <v>0.43040031673905715</v>
      </c>
      <c r="N38" s="14">
        <f t="shared" si="16"/>
        <v>5.6639241032404954E-2</v>
      </c>
      <c r="O38" s="14">
        <f>(O35-O23)/O23</f>
        <v>0.30671052807674032</v>
      </c>
    </row>
    <row r="40" spans="1:15">
      <c r="A40" s="321" t="s">
        <v>2</v>
      </c>
      <c r="B40">
        <v>2007</v>
      </c>
      <c r="C40" s="11" t="s">
        <v>28</v>
      </c>
    </row>
    <row r="41" spans="1:15">
      <c r="A41" s="321"/>
      <c r="B41">
        <v>2008</v>
      </c>
      <c r="C41" s="11" t="s">
        <v>29</v>
      </c>
    </row>
    <row r="42" spans="1:15">
      <c r="A42" s="321"/>
      <c r="B42">
        <v>2009</v>
      </c>
      <c r="C42" s="11" t="s">
        <v>30</v>
      </c>
    </row>
    <row r="43" spans="1:15">
      <c r="A43" s="321"/>
      <c r="B43">
        <v>2010</v>
      </c>
      <c r="C43" s="12" t="s">
        <v>31</v>
      </c>
    </row>
    <row r="44" spans="1:15">
      <c r="A44" s="321"/>
      <c r="B44">
        <v>2011</v>
      </c>
      <c r="C44" s="12" t="s">
        <v>32</v>
      </c>
    </row>
    <row r="45" spans="1:15">
      <c r="A45" s="321"/>
      <c r="B45">
        <v>2012</v>
      </c>
      <c r="C45" s="12" t="s">
        <v>33</v>
      </c>
    </row>
    <row r="46" spans="1:15">
      <c r="A46" s="321"/>
      <c r="B46">
        <v>2013</v>
      </c>
      <c r="C46" s="12" t="s">
        <v>34</v>
      </c>
    </row>
    <row r="47" spans="1:15">
      <c r="A47" s="321"/>
      <c r="B47">
        <v>2014</v>
      </c>
      <c r="C47" t="s">
        <v>35</v>
      </c>
    </row>
    <row r="48" spans="1:15">
      <c r="A48" s="321"/>
      <c r="B48">
        <v>2015</v>
      </c>
      <c r="C48" t="s">
        <v>36</v>
      </c>
    </row>
    <row r="49" spans="1:14">
      <c r="A49" s="321"/>
      <c r="B49">
        <v>2016</v>
      </c>
      <c r="C49" t="s">
        <v>37</v>
      </c>
    </row>
    <row r="50" spans="1:14">
      <c r="A50" s="321"/>
      <c r="B50">
        <v>2017</v>
      </c>
      <c r="C50" t="s">
        <v>38</v>
      </c>
    </row>
    <row r="51" spans="1:14">
      <c r="A51" s="321"/>
      <c r="B51">
        <v>2018</v>
      </c>
      <c r="C51" t="s">
        <v>39</v>
      </c>
    </row>
    <row r="52" spans="1:14">
      <c r="A52" s="321"/>
      <c r="B52">
        <v>2019</v>
      </c>
      <c r="C52" t="s">
        <v>40</v>
      </c>
    </row>
    <row r="53" spans="1:14">
      <c r="A53" s="321"/>
      <c r="B53">
        <v>2020</v>
      </c>
      <c r="C53" t="s">
        <v>41</v>
      </c>
    </row>
    <row r="58" spans="1:14">
      <c r="A58" s="10" t="s">
        <v>316</v>
      </c>
    </row>
    <row r="59" spans="1:14">
      <c r="A59" t="s">
        <v>295</v>
      </c>
      <c r="B59" t="s">
        <v>296</v>
      </c>
      <c r="C59" t="s">
        <v>297</v>
      </c>
      <c r="D59" t="s">
        <v>298</v>
      </c>
      <c r="F59" t="s">
        <v>295</v>
      </c>
      <c r="G59" t="s">
        <v>296</v>
      </c>
      <c r="H59" t="s">
        <v>297</v>
      </c>
      <c r="I59" t="s">
        <v>298</v>
      </c>
      <c r="K59" t="s">
        <v>295</v>
      </c>
      <c r="L59" t="s">
        <v>296</v>
      </c>
      <c r="M59" t="s">
        <v>297</v>
      </c>
      <c r="N59" t="s">
        <v>298</v>
      </c>
    </row>
    <row r="60" spans="1:14">
      <c r="A60" s="204" t="s">
        <v>299</v>
      </c>
      <c r="B60" s="204">
        <v>2019</v>
      </c>
      <c r="C60" s="204" t="s">
        <v>300</v>
      </c>
      <c r="D60" s="204">
        <v>10.080266200000001</v>
      </c>
      <c r="E60" s="204"/>
      <c r="F60" s="204" t="s">
        <v>299</v>
      </c>
      <c r="G60" s="204">
        <v>2020</v>
      </c>
      <c r="H60" s="204" t="s">
        <v>300</v>
      </c>
      <c r="I60" s="204">
        <v>6.0733891</v>
      </c>
      <c r="K60" s="204" t="s">
        <v>299</v>
      </c>
      <c r="L60" s="204">
        <v>2021</v>
      </c>
      <c r="M60" s="204" t="s">
        <v>300</v>
      </c>
      <c r="N60" s="204">
        <v>8.6502563000000006</v>
      </c>
    </row>
    <row r="61" spans="1:14">
      <c r="A61" s="204" t="s">
        <v>301</v>
      </c>
      <c r="B61" s="204">
        <v>2019</v>
      </c>
      <c r="C61" s="204" t="s">
        <v>300</v>
      </c>
      <c r="D61" s="204">
        <v>62.458510400000002</v>
      </c>
      <c r="E61" s="204"/>
      <c r="F61" s="204" t="s">
        <v>301</v>
      </c>
      <c r="G61" s="204">
        <v>2020</v>
      </c>
      <c r="H61" s="204" t="s">
        <v>300</v>
      </c>
      <c r="I61" s="204">
        <v>51.552415799999999</v>
      </c>
      <c r="K61" s="204" t="s">
        <v>301</v>
      </c>
      <c r="L61" s="204">
        <v>2021</v>
      </c>
      <c r="M61" s="204" t="s">
        <v>300</v>
      </c>
      <c r="N61" s="204">
        <v>57.839920900000003</v>
      </c>
    </row>
    <row r="62" spans="1:14">
      <c r="A62" s="204" t="s">
        <v>302</v>
      </c>
      <c r="B62" s="204">
        <v>2019</v>
      </c>
      <c r="C62" s="204" t="s">
        <v>300</v>
      </c>
      <c r="D62" s="204">
        <v>16.515054899999999</v>
      </c>
      <c r="E62" s="204"/>
      <c r="F62" s="204" t="s">
        <v>302</v>
      </c>
      <c r="G62" s="204">
        <v>2020</v>
      </c>
      <c r="H62" s="204" t="s">
        <v>300</v>
      </c>
      <c r="I62" s="204">
        <v>8.5946780999999994</v>
      </c>
      <c r="K62" s="204" t="s">
        <v>302</v>
      </c>
      <c r="L62" s="204">
        <v>2021</v>
      </c>
      <c r="M62" s="204" t="s">
        <v>300</v>
      </c>
      <c r="N62" s="204">
        <v>11.2660927</v>
      </c>
    </row>
    <row r="63" spans="1:14">
      <c r="A63" s="204" t="s">
        <v>303</v>
      </c>
      <c r="B63" s="204">
        <v>2019</v>
      </c>
      <c r="C63" s="204" t="s">
        <v>300</v>
      </c>
      <c r="D63" s="204">
        <v>2.3268966999999998</v>
      </c>
      <c r="E63" s="204"/>
      <c r="F63" s="204" t="s">
        <v>303</v>
      </c>
      <c r="G63" s="204">
        <v>2020</v>
      </c>
      <c r="H63" s="204" t="s">
        <v>300</v>
      </c>
      <c r="I63" s="204">
        <v>1.2929021999999999</v>
      </c>
      <c r="K63" s="204" t="s">
        <v>303</v>
      </c>
      <c r="L63" s="204">
        <v>2021</v>
      </c>
      <c r="M63" s="204" t="s">
        <v>300</v>
      </c>
      <c r="N63" s="204">
        <v>1.7246494000000001</v>
      </c>
    </row>
    <row r="64" spans="1:14">
      <c r="A64" s="204" t="s">
        <v>304</v>
      </c>
      <c r="B64" s="204">
        <v>2019</v>
      </c>
      <c r="C64" s="204" t="s">
        <v>300</v>
      </c>
      <c r="D64" s="204">
        <v>2.1240948999999998</v>
      </c>
      <c r="E64" s="204"/>
      <c r="F64" s="204" t="s">
        <v>304</v>
      </c>
      <c r="G64" s="204">
        <v>2020</v>
      </c>
      <c r="H64" s="204" t="s">
        <v>300</v>
      </c>
      <c r="I64" s="204">
        <v>1.0187774000000001</v>
      </c>
      <c r="K64" s="204" t="s">
        <v>304</v>
      </c>
      <c r="L64" s="204">
        <v>2021</v>
      </c>
      <c r="M64" s="204" t="s">
        <v>300</v>
      </c>
      <c r="N64" s="204">
        <v>0.91722409999999999</v>
      </c>
    </row>
    <row r="65" spans="1:14">
      <c r="A65" s="204" t="s">
        <v>305</v>
      </c>
      <c r="B65" s="204">
        <v>2019</v>
      </c>
      <c r="C65" s="204" t="s">
        <v>300</v>
      </c>
      <c r="D65" s="204">
        <v>7.1957490999999996</v>
      </c>
      <c r="F65" s="204" t="s">
        <v>305</v>
      </c>
      <c r="G65" s="204">
        <v>2020</v>
      </c>
      <c r="H65" s="204" t="s">
        <v>300</v>
      </c>
      <c r="I65" s="204">
        <v>3.9076653000000001</v>
      </c>
      <c r="K65" s="204" t="s">
        <v>305</v>
      </c>
      <c r="L65" s="204">
        <v>2021</v>
      </c>
      <c r="M65" s="204" t="s">
        <v>300</v>
      </c>
      <c r="N65" s="204">
        <v>5.1797265000000001</v>
      </c>
    </row>
    <row r="66" spans="1:14">
      <c r="A66" s="204" t="s">
        <v>306</v>
      </c>
      <c r="B66" s="204">
        <v>2019</v>
      </c>
      <c r="C66" s="204" t="s">
        <v>300</v>
      </c>
      <c r="D66" s="204">
        <v>1.8872308</v>
      </c>
      <c r="F66" s="204" t="s">
        <v>306</v>
      </c>
      <c r="G66" s="204">
        <v>2020</v>
      </c>
      <c r="H66" s="204" t="s">
        <v>300</v>
      </c>
      <c r="I66" s="204">
        <v>1.0020477000000001</v>
      </c>
      <c r="K66" s="204" t="s">
        <v>306</v>
      </c>
      <c r="L66" s="204">
        <v>2021</v>
      </c>
      <c r="M66" s="204" t="s">
        <v>300</v>
      </c>
      <c r="N66" s="204">
        <v>1.4691258</v>
      </c>
    </row>
    <row r="67" spans="1:14">
      <c r="A67" s="204" t="s">
        <v>307</v>
      </c>
      <c r="B67" s="204">
        <v>2019</v>
      </c>
      <c r="C67" s="204" t="s">
        <v>300</v>
      </c>
      <c r="D67" s="204">
        <v>9.0139375000000008</v>
      </c>
      <c r="F67" s="204" t="s">
        <v>307</v>
      </c>
      <c r="G67" s="204">
        <v>2020</v>
      </c>
      <c r="H67" s="204" t="s">
        <v>300</v>
      </c>
      <c r="I67" s="204">
        <v>6.5078695</v>
      </c>
      <c r="K67" s="204" t="s">
        <v>307</v>
      </c>
      <c r="L67" s="204">
        <v>2021</v>
      </c>
      <c r="M67" s="204" t="s">
        <v>300</v>
      </c>
      <c r="N67" s="204">
        <v>6.5471981000000001</v>
      </c>
    </row>
    <row r="68" spans="1:14">
      <c r="A68" s="204" t="s">
        <v>308</v>
      </c>
      <c r="B68" s="204">
        <v>2019</v>
      </c>
      <c r="C68" s="204" t="s">
        <v>300</v>
      </c>
      <c r="D68" s="204">
        <v>69.290614000000005</v>
      </c>
      <c r="F68" s="204" t="s">
        <v>308</v>
      </c>
      <c r="G68" s="204">
        <v>2020</v>
      </c>
      <c r="H68" s="204" t="s">
        <v>300</v>
      </c>
      <c r="I68" s="204">
        <v>40.647760499999997</v>
      </c>
      <c r="K68" s="204" t="s">
        <v>308</v>
      </c>
      <c r="L68" s="204">
        <v>2021</v>
      </c>
      <c r="M68" s="204" t="s">
        <v>300</v>
      </c>
      <c r="N68" s="204">
        <v>49.042492299999999</v>
      </c>
    </row>
    <row r="69" spans="1:14">
      <c r="A69" s="204" t="s">
        <v>309</v>
      </c>
      <c r="B69" s="204">
        <v>2019</v>
      </c>
      <c r="C69" s="204" t="s">
        <v>300</v>
      </c>
      <c r="D69" s="204">
        <v>15.4215102</v>
      </c>
      <c r="F69" s="204" t="s">
        <v>309</v>
      </c>
      <c r="G69" s="204">
        <v>2020</v>
      </c>
      <c r="H69" s="204" t="s">
        <v>300</v>
      </c>
      <c r="I69" s="204">
        <v>13.4161851</v>
      </c>
      <c r="K69" s="204" t="s">
        <v>309</v>
      </c>
      <c r="L69" s="204">
        <v>2021</v>
      </c>
      <c r="M69" s="204" t="s">
        <v>300</v>
      </c>
      <c r="N69" s="204">
        <v>18.5671246</v>
      </c>
    </row>
    <row r="70" spans="1:14">
      <c r="A70" s="204" t="s">
        <v>310</v>
      </c>
      <c r="B70" s="204">
        <v>2019</v>
      </c>
      <c r="C70" s="204" t="s">
        <v>300</v>
      </c>
      <c r="D70" s="204">
        <v>5.6352393999999997</v>
      </c>
      <c r="F70" s="204" t="s">
        <v>310</v>
      </c>
      <c r="G70" s="204">
        <v>2020</v>
      </c>
      <c r="H70" s="204" t="s">
        <v>300</v>
      </c>
      <c r="I70" s="204">
        <v>3.0131272999999998</v>
      </c>
      <c r="K70" s="204" t="s">
        <v>310</v>
      </c>
      <c r="L70" s="204">
        <v>2021</v>
      </c>
      <c r="M70" s="204" t="s">
        <v>300</v>
      </c>
      <c r="N70" s="204">
        <v>4.3669662999999996</v>
      </c>
    </row>
    <row r="71" spans="1:14">
      <c r="A71" s="204" t="s">
        <v>311</v>
      </c>
      <c r="B71" s="204">
        <v>2019</v>
      </c>
      <c r="C71" s="204" t="s">
        <v>300</v>
      </c>
      <c r="D71" s="204">
        <v>2.4118094999999999</v>
      </c>
      <c r="F71" s="204" t="s">
        <v>311</v>
      </c>
      <c r="G71" s="204">
        <v>2020</v>
      </c>
      <c r="H71" s="204" t="s">
        <v>300</v>
      </c>
      <c r="I71" s="204">
        <v>1.0386716</v>
      </c>
      <c r="K71" s="204" t="s">
        <v>311</v>
      </c>
      <c r="L71" s="204">
        <v>2021</v>
      </c>
      <c r="M71" s="204" t="s">
        <v>300</v>
      </c>
      <c r="N71" s="204">
        <v>1.2732296999999999</v>
      </c>
    </row>
    <row r="72" spans="1:14">
      <c r="A72" s="204" t="s">
        <v>312</v>
      </c>
      <c r="B72" s="204">
        <v>2019</v>
      </c>
      <c r="C72" s="204" t="s">
        <v>300</v>
      </c>
      <c r="D72" s="204">
        <v>173.72666899999999</v>
      </c>
      <c r="F72" s="204" t="s">
        <v>312</v>
      </c>
      <c r="G72" s="204">
        <v>2020</v>
      </c>
      <c r="H72" s="204" t="s">
        <v>300</v>
      </c>
      <c r="I72" s="204">
        <v>120.984351</v>
      </c>
      <c r="K72" s="204" t="s">
        <v>312</v>
      </c>
      <c r="L72" s="204">
        <v>2021</v>
      </c>
      <c r="M72" s="204" t="s">
        <v>300</v>
      </c>
      <c r="N72" s="204">
        <v>158.89645200000001</v>
      </c>
    </row>
    <row r="73" spans="1:14">
      <c r="A73" s="204" t="s">
        <v>299</v>
      </c>
      <c r="B73" s="204">
        <v>2019</v>
      </c>
      <c r="C73" s="204" t="s">
        <v>313</v>
      </c>
      <c r="D73" s="204">
        <v>6.6142732000000004</v>
      </c>
      <c r="E73" s="204"/>
      <c r="F73" s="204" t="s">
        <v>299</v>
      </c>
      <c r="G73" s="204">
        <v>2020</v>
      </c>
      <c r="H73" s="204" t="s">
        <v>313</v>
      </c>
      <c r="I73" s="204">
        <v>2.7982608</v>
      </c>
      <c r="K73" s="204" t="s">
        <v>299</v>
      </c>
      <c r="L73" s="204">
        <v>2021</v>
      </c>
      <c r="M73" s="204" t="s">
        <v>313</v>
      </c>
      <c r="N73" s="204">
        <v>2.9841704</v>
      </c>
    </row>
    <row r="74" spans="1:14">
      <c r="A74" s="204" t="s">
        <v>301</v>
      </c>
      <c r="B74" s="204">
        <v>2019</v>
      </c>
      <c r="C74" s="204" t="s">
        <v>313</v>
      </c>
      <c r="D74" s="204">
        <v>31.438998600000001</v>
      </c>
      <c r="E74" s="204"/>
      <c r="F74" s="204" t="s">
        <v>301</v>
      </c>
      <c r="G74" s="204">
        <v>2020</v>
      </c>
      <c r="H74" s="204" t="s">
        <v>313</v>
      </c>
      <c r="I74" s="204">
        <v>12.7527682</v>
      </c>
      <c r="K74" s="204" t="s">
        <v>301</v>
      </c>
      <c r="L74" s="204">
        <v>2021</v>
      </c>
      <c r="M74" s="204" t="s">
        <v>313</v>
      </c>
      <c r="N74" s="204">
        <v>10.995729499999999</v>
      </c>
    </row>
    <row r="75" spans="1:14">
      <c r="A75" s="204" t="s">
        <v>302</v>
      </c>
      <c r="B75" s="204">
        <v>2019</v>
      </c>
      <c r="C75" s="204" t="s">
        <v>313</v>
      </c>
      <c r="D75" s="204">
        <v>190.89697799999999</v>
      </c>
      <c r="E75" s="204"/>
      <c r="F75" s="204" t="s">
        <v>302</v>
      </c>
      <c r="G75" s="204">
        <v>2020</v>
      </c>
      <c r="H75" s="204" t="s">
        <v>313</v>
      </c>
      <c r="I75" s="204">
        <v>78.630282699999995</v>
      </c>
      <c r="K75" s="204" t="s">
        <v>302</v>
      </c>
      <c r="L75" s="204">
        <v>2021</v>
      </c>
      <c r="M75" s="204" t="s">
        <v>313</v>
      </c>
      <c r="N75" s="204">
        <v>98.659176000000002</v>
      </c>
    </row>
    <row r="76" spans="1:14">
      <c r="A76" s="204" t="s">
        <v>303</v>
      </c>
      <c r="B76" s="204">
        <v>2019</v>
      </c>
      <c r="C76" s="204" t="s">
        <v>313</v>
      </c>
      <c r="D76" s="204">
        <v>20.113888800000002</v>
      </c>
      <c r="E76" s="204"/>
      <c r="F76" s="204" t="s">
        <v>303</v>
      </c>
      <c r="G76" s="204">
        <v>2020</v>
      </c>
      <c r="H76" s="204" t="s">
        <v>313</v>
      </c>
      <c r="I76" s="204">
        <v>8.8362253000000006</v>
      </c>
      <c r="K76" s="204" t="s">
        <v>303</v>
      </c>
      <c r="L76" s="204">
        <v>2021</v>
      </c>
      <c r="M76" s="204" t="s">
        <v>313</v>
      </c>
      <c r="N76" s="204">
        <v>11.5033434</v>
      </c>
    </row>
    <row r="77" spans="1:14">
      <c r="A77" s="204" t="s">
        <v>304</v>
      </c>
      <c r="B77" s="204">
        <v>2019</v>
      </c>
      <c r="C77" s="204" t="s">
        <v>313</v>
      </c>
      <c r="D77" s="204">
        <v>28.792267899999999</v>
      </c>
      <c r="E77" s="204"/>
      <c r="F77" s="204" t="s">
        <v>304</v>
      </c>
      <c r="G77" s="204">
        <v>2020</v>
      </c>
      <c r="H77" s="204" t="s">
        <v>313</v>
      </c>
      <c r="I77" s="204">
        <v>13.1032385</v>
      </c>
      <c r="K77" s="204" t="s">
        <v>304</v>
      </c>
      <c r="L77" s="204">
        <v>2021</v>
      </c>
      <c r="M77" s="204" t="s">
        <v>313</v>
      </c>
      <c r="N77" s="204">
        <v>16.513773700000002</v>
      </c>
    </row>
    <row r="78" spans="1:14">
      <c r="A78" s="204" t="s">
        <v>305</v>
      </c>
      <c r="B78" s="204">
        <v>2019</v>
      </c>
      <c r="C78" s="204" t="s">
        <v>313</v>
      </c>
      <c r="D78" s="204">
        <v>12.0438273</v>
      </c>
      <c r="F78" s="204" t="s">
        <v>305</v>
      </c>
      <c r="G78" s="204">
        <v>2020</v>
      </c>
      <c r="H78" s="204" t="s">
        <v>313</v>
      </c>
      <c r="I78" s="204">
        <v>5.5717732</v>
      </c>
      <c r="K78" s="204" t="s">
        <v>305</v>
      </c>
      <c r="L78" s="204">
        <v>2021</v>
      </c>
      <c r="M78" s="204" t="s">
        <v>313</v>
      </c>
      <c r="N78" s="204">
        <v>6.0434143999999996</v>
      </c>
    </row>
    <row r="79" spans="1:14">
      <c r="A79" s="204" t="s">
        <v>306</v>
      </c>
      <c r="B79" s="204">
        <v>2019</v>
      </c>
      <c r="C79" s="204" t="s">
        <v>313</v>
      </c>
      <c r="D79" s="204">
        <v>14.985894699999999</v>
      </c>
      <c r="F79" s="204" t="s">
        <v>306</v>
      </c>
      <c r="G79" s="204">
        <v>2020</v>
      </c>
      <c r="H79" s="204" t="s">
        <v>313</v>
      </c>
      <c r="I79" s="204">
        <v>4.8482713000000004</v>
      </c>
      <c r="K79" s="204" t="s">
        <v>306</v>
      </c>
      <c r="L79" s="204">
        <v>2021</v>
      </c>
      <c r="M79" s="204" t="s">
        <v>313</v>
      </c>
      <c r="N79" s="204">
        <v>6.4677768999999996</v>
      </c>
    </row>
    <row r="80" spans="1:14">
      <c r="A80" s="204" t="s">
        <v>307</v>
      </c>
      <c r="B80" s="204">
        <v>2019</v>
      </c>
      <c r="C80" s="204" t="s">
        <v>313</v>
      </c>
      <c r="D80" s="204">
        <v>19.5749107</v>
      </c>
      <c r="F80" s="204" t="s">
        <v>307</v>
      </c>
      <c r="G80" s="204">
        <v>2020</v>
      </c>
      <c r="H80" s="204" t="s">
        <v>313</v>
      </c>
      <c r="I80" s="204">
        <v>8.7328385999999991</v>
      </c>
      <c r="K80" s="204" t="s">
        <v>307</v>
      </c>
      <c r="L80" s="204">
        <v>2021</v>
      </c>
      <c r="M80" s="204" t="s">
        <v>313</v>
      </c>
      <c r="N80" s="204">
        <v>8.3641498999999992</v>
      </c>
    </row>
    <row r="81" spans="1:14">
      <c r="A81" s="204" t="s">
        <v>308</v>
      </c>
      <c r="B81" s="204">
        <v>2019</v>
      </c>
      <c r="C81" s="204" t="s">
        <v>313</v>
      </c>
      <c r="D81" s="204">
        <v>277.16821399999998</v>
      </c>
      <c r="F81" s="204" t="s">
        <v>308</v>
      </c>
      <c r="G81" s="204">
        <v>2020</v>
      </c>
      <c r="H81" s="204" t="s">
        <v>313</v>
      </c>
      <c r="I81" s="204">
        <v>120.1527907</v>
      </c>
      <c r="K81" s="204" t="s">
        <v>308</v>
      </c>
      <c r="L81" s="204">
        <v>2021</v>
      </c>
      <c r="M81" s="204" t="s">
        <v>313</v>
      </c>
      <c r="N81" s="204">
        <v>139.346326</v>
      </c>
    </row>
    <row r="82" spans="1:14">
      <c r="A82" s="204" t="s">
        <v>309</v>
      </c>
      <c r="B82" s="204">
        <v>2019</v>
      </c>
      <c r="C82" s="204" t="s">
        <v>313</v>
      </c>
      <c r="D82" s="204">
        <v>13.277577900000001</v>
      </c>
      <c r="F82" s="204" t="s">
        <v>309</v>
      </c>
      <c r="G82" s="204">
        <v>2020</v>
      </c>
      <c r="H82" s="204" t="s">
        <v>313</v>
      </c>
      <c r="I82" s="204">
        <v>5.2717708999999999</v>
      </c>
      <c r="K82" s="204" t="s">
        <v>309</v>
      </c>
      <c r="L82" s="204">
        <v>2021</v>
      </c>
      <c r="M82" s="204" t="s">
        <v>313</v>
      </c>
      <c r="N82" s="204">
        <v>7.1012684999999998</v>
      </c>
    </row>
    <row r="83" spans="1:14">
      <c r="A83" s="204" t="s">
        <v>310</v>
      </c>
      <c r="B83" s="204">
        <v>2019</v>
      </c>
      <c r="C83" s="204" t="s">
        <v>313</v>
      </c>
      <c r="D83" s="204">
        <v>24.254668899999999</v>
      </c>
      <c r="F83" s="204" t="s">
        <v>310</v>
      </c>
      <c r="G83" s="204">
        <v>2020</v>
      </c>
      <c r="H83" s="204" t="s">
        <v>313</v>
      </c>
      <c r="I83" s="204">
        <v>8.4508057999999995</v>
      </c>
      <c r="K83" s="204" t="s">
        <v>310</v>
      </c>
      <c r="L83" s="204">
        <v>2021</v>
      </c>
      <c r="M83" s="204" t="s">
        <v>313</v>
      </c>
      <c r="N83" s="204">
        <v>12.015781</v>
      </c>
    </row>
    <row r="84" spans="1:14">
      <c r="A84" s="204" t="s">
        <v>311</v>
      </c>
      <c r="B84" s="204">
        <v>2019</v>
      </c>
      <c r="C84" s="204" t="s">
        <v>313</v>
      </c>
      <c r="D84" s="204">
        <v>36.135554399999997</v>
      </c>
      <c r="F84" s="204" t="s">
        <v>311</v>
      </c>
      <c r="G84" s="204">
        <v>2020</v>
      </c>
      <c r="H84" s="204" t="s">
        <v>313</v>
      </c>
      <c r="I84" s="204">
        <v>14.8274708</v>
      </c>
      <c r="K84" s="204" t="s">
        <v>311</v>
      </c>
      <c r="L84" s="204">
        <v>2021</v>
      </c>
      <c r="M84" s="204" t="s">
        <v>313</v>
      </c>
      <c r="N84" s="204">
        <v>14.5182065</v>
      </c>
    </row>
    <row r="85" spans="1:14">
      <c r="A85" s="204" t="s">
        <v>312</v>
      </c>
      <c r="B85" s="204">
        <v>2019</v>
      </c>
      <c r="C85" s="204" t="s">
        <v>313</v>
      </c>
      <c r="D85" s="204">
        <v>81.642572999999999</v>
      </c>
      <c r="F85" s="204" t="s">
        <v>312</v>
      </c>
      <c r="G85" s="204">
        <v>2020</v>
      </c>
      <c r="H85" s="204" t="s">
        <v>313</v>
      </c>
      <c r="I85" s="204">
        <v>44.213349100000002</v>
      </c>
      <c r="K85" s="204" t="s">
        <v>312</v>
      </c>
      <c r="L85" s="204">
        <v>2021</v>
      </c>
      <c r="M85" s="204" t="s">
        <v>313</v>
      </c>
      <c r="N85" s="204">
        <v>53.928408400000002</v>
      </c>
    </row>
    <row r="87" spans="1:14">
      <c r="A87" s="204" t="s">
        <v>314</v>
      </c>
      <c r="B87" s="204">
        <v>2019</v>
      </c>
      <c r="C87" s="204" t="s">
        <v>300</v>
      </c>
      <c r="D87" s="204">
        <v>363.70231899999999</v>
      </c>
      <c r="E87" s="204"/>
      <c r="F87" s="204" t="s">
        <v>314</v>
      </c>
      <c r="G87" s="204">
        <v>2020</v>
      </c>
      <c r="H87" s="204" t="s">
        <v>300</v>
      </c>
      <c r="I87" s="204">
        <v>251.68432899999999</v>
      </c>
      <c r="K87" s="204" t="s">
        <v>314</v>
      </c>
      <c r="L87" s="204">
        <v>2021</v>
      </c>
      <c r="M87" s="204" t="s">
        <v>300</v>
      </c>
      <c r="N87" s="204">
        <v>315.98923200000002</v>
      </c>
    </row>
    <row r="88" spans="1:14">
      <c r="A88" s="204" t="s">
        <v>314</v>
      </c>
      <c r="B88" s="204">
        <v>2019</v>
      </c>
      <c r="C88" s="204" t="s">
        <v>313</v>
      </c>
      <c r="D88" s="204">
        <v>632.65733999999998</v>
      </c>
      <c r="E88" s="204"/>
      <c r="F88" s="204" t="s">
        <v>314</v>
      </c>
      <c r="G88" s="204">
        <v>2020</v>
      </c>
      <c r="H88" s="204" t="s">
        <v>313</v>
      </c>
      <c r="I88" s="204">
        <v>278.12384600000001</v>
      </c>
      <c r="K88" s="204" t="s">
        <v>314</v>
      </c>
      <c r="L88" s="204">
        <v>2021</v>
      </c>
      <c r="M88" s="204" t="s">
        <v>313</v>
      </c>
      <c r="N88" s="204">
        <v>327.422574</v>
      </c>
    </row>
    <row r="90" spans="1:14">
      <c r="A90" s="10"/>
      <c r="B90" s="205" t="s">
        <v>299</v>
      </c>
      <c r="C90" s="205" t="s">
        <v>301</v>
      </c>
      <c r="D90" s="205" t="s">
        <v>303</v>
      </c>
      <c r="E90" s="205" t="s">
        <v>304</v>
      </c>
      <c r="F90" s="205" t="s">
        <v>305</v>
      </c>
      <c r="G90" s="205" t="s">
        <v>306</v>
      </c>
      <c r="H90" s="205" t="s">
        <v>307</v>
      </c>
      <c r="I90" s="205" t="s">
        <v>308</v>
      </c>
      <c r="J90" s="205" t="s">
        <v>309</v>
      </c>
      <c r="K90" s="205" t="s">
        <v>310</v>
      </c>
      <c r="L90" s="205" t="s">
        <v>311</v>
      </c>
      <c r="M90" s="205" t="s">
        <v>312</v>
      </c>
      <c r="N90" s="205" t="s">
        <v>154</v>
      </c>
    </row>
    <row r="91" spans="1:14">
      <c r="A91">
        <v>2019</v>
      </c>
      <c r="B91">
        <f>D60+D73</f>
        <v>16.6945394</v>
      </c>
      <c r="C91">
        <f>D61+D74</f>
        <v>93.897508999999999</v>
      </c>
      <c r="D91">
        <f>D63+D76</f>
        <v>22.4407855</v>
      </c>
      <c r="E91">
        <f>D64+D77</f>
        <v>30.916362799999998</v>
      </c>
      <c r="F91">
        <f>D65+D78</f>
        <v>19.239576400000001</v>
      </c>
      <c r="G91">
        <f>D66+D79</f>
        <v>16.8731255</v>
      </c>
      <c r="H91">
        <f>D67+D80</f>
        <v>28.588848200000001</v>
      </c>
      <c r="I91">
        <f>D68+D81</f>
        <v>346.45882799999998</v>
      </c>
      <c r="J91">
        <f>D69+D82</f>
        <v>28.699088100000001</v>
      </c>
      <c r="K91">
        <f>D70+D83</f>
        <v>29.889908299999998</v>
      </c>
      <c r="L91">
        <f>D71+D84</f>
        <v>38.547363899999993</v>
      </c>
      <c r="M91">
        <f>D72+D85</f>
        <v>255.36924199999999</v>
      </c>
      <c r="N91">
        <f>SUM(B91:M91)</f>
        <v>927.61517709999998</v>
      </c>
    </row>
    <row r="92" spans="1:14">
      <c r="A92">
        <v>2020</v>
      </c>
      <c r="B92">
        <f>I60+I73</f>
        <v>8.8716498999999995</v>
      </c>
      <c r="C92">
        <f>I61+I74</f>
        <v>64.305183999999997</v>
      </c>
      <c r="D92">
        <f>I63+I76</f>
        <v>10.129127500000001</v>
      </c>
      <c r="E92">
        <f>I64+I77</f>
        <v>14.122015899999999</v>
      </c>
      <c r="F92">
        <f>I65+I78</f>
        <v>9.4794385000000005</v>
      </c>
      <c r="G92">
        <f>I66+I79</f>
        <v>5.8503190000000007</v>
      </c>
      <c r="H92">
        <f>I67+I80</f>
        <v>15.240708099999999</v>
      </c>
      <c r="I92">
        <f>I68+I81</f>
        <v>160.8005512</v>
      </c>
      <c r="J92">
        <f>I69+I82</f>
        <v>18.687956</v>
      </c>
      <c r="K92">
        <f>I70+I83</f>
        <v>11.463933099999998</v>
      </c>
      <c r="L92">
        <f>I71+I84</f>
        <v>15.866142400000001</v>
      </c>
      <c r="M92">
        <f>I72+I85</f>
        <v>165.19770010000002</v>
      </c>
      <c r="N92">
        <f t="shared" ref="N92:N93" si="17">SUM(B92:M92)</f>
        <v>500.01472569999999</v>
      </c>
    </row>
    <row r="93" spans="1:14">
      <c r="A93">
        <v>2021</v>
      </c>
      <c r="B93">
        <f>N60+N73</f>
        <v>11.634426700000001</v>
      </c>
      <c r="C93">
        <f>N61+N74</f>
        <v>68.835650400000006</v>
      </c>
      <c r="D93">
        <f>N63+N76</f>
        <v>13.227992800000001</v>
      </c>
      <c r="E93">
        <f>N64+N77</f>
        <v>17.4309978</v>
      </c>
      <c r="F93">
        <f>N65+N78</f>
        <v>11.223140900000001</v>
      </c>
      <c r="G93">
        <f>N66+N79</f>
        <v>7.9369026999999992</v>
      </c>
      <c r="H93">
        <f>N67+N80</f>
        <v>14.911348</v>
      </c>
      <c r="I93">
        <f>N68+N81</f>
        <v>188.3888183</v>
      </c>
      <c r="J93">
        <f>N69+N82</f>
        <v>25.668393099999999</v>
      </c>
      <c r="K93">
        <f>N70+N83</f>
        <v>16.382747299999998</v>
      </c>
      <c r="L93">
        <f>N71+N84</f>
        <v>15.7914362</v>
      </c>
      <c r="M93">
        <f>N72+N85</f>
        <v>212.82486040000001</v>
      </c>
      <c r="N93">
        <f t="shared" si="17"/>
        <v>604.25671460000001</v>
      </c>
    </row>
    <row r="95" spans="1:14">
      <c r="A95" t="s">
        <v>315</v>
      </c>
    </row>
    <row r="96" spans="1:14">
      <c r="A96" s="10"/>
      <c r="B96" s="205" t="s">
        <v>299</v>
      </c>
      <c r="C96" s="205" t="s">
        <v>301</v>
      </c>
      <c r="D96" s="205" t="s">
        <v>303</v>
      </c>
      <c r="E96" s="205" t="s">
        <v>304</v>
      </c>
      <c r="F96" s="205" t="s">
        <v>305</v>
      </c>
      <c r="G96" s="205" t="s">
        <v>306</v>
      </c>
      <c r="H96" s="205" t="s">
        <v>307</v>
      </c>
      <c r="I96" s="205" t="s">
        <v>308</v>
      </c>
      <c r="J96" s="205" t="s">
        <v>309</v>
      </c>
      <c r="K96" s="205" t="s">
        <v>310</v>
      </c>
      <c r="L96" s="205" t="s">
        <v>311</v>
      </c>
      <c r="M96" s="205" t="s">
        <v>312</v>
      </c>
      <c r="N96" s="205" t="s">
        <v>154</v>
      </c>
    </row>
    <row r="97" spans="1:14">
      <c r="A97">
        <v>2019</v>
      </c>
      <c r="B97" s="206">
        <f>B91/$N91</f>
        <v>1.7997268492514405E-2</v>
      </c>
      <c r="C97" s="206">
        <f t="shared" ref="C97:N97" si="18">C91/$N91</f>
        <v>0.10122463637728681</v>
      </c>
      <c r="D97" s="206">
        <f t="shared" si="18"/>
        <v>2.4191912825484968E-2</v>
      </c>
      <c r="E97" s="206">
        <f t="shared" si="18"/>
        <v>3.3328866930200207E-2</v>
      </c>
      <c r="F97" s="206">
        <f t="shared" si="18"/>
        <v>2.0740902989695165E-2</v>
      </c>
      <c r="G97" s="206">
        <f t="shared" si="18"/>
        <v>1.8189790245509343E-2</v>
      </c>
      <c r="H97" s="206">
        <f t="shared" si="18"/>
        <v>3.0819728811873493E-2</v>
      </c>
      <c r="I97" s="206">
        <f t="shared" si="18"/>
        <v>0.37349413480181831</v>
      </c>
      <c r="J97" s="206">
        <f t="shared" si="18"/>
        <v>3.0938571089060722E-2</v>
      </c>
      <c r="K97" s="206">
        <f t="shared" si="18"/>
        <v>3.2222314854145347E-2</v>
      </c>
      <c r="L97" s="206">
        <f t="shared" si="18"/>
        <v>4.1555339812906551E-2</v>
      </c>
      <c r="M97" s="206">
        <f t="shared" si="18"/>
        <v>0.27529653276950461</v>
      </c>
      <c r="N97" s="14">
        <f t="shared" si="18"/>
        <v>1</v>
      </c>
    </row>
    <row r="98" spans="1:14">
      <c r="A98">
        <v>2020</v>
      </c>
      <c r="B98" s="206">
        <f t="shared" ref="B98:N99" si="19">B92/$N92</f>
        <v>1.7742777250370087E-2</v>
      </c>
      <c r="C98" s="206">
        <f t="shared" si="19"/>
        <v>0.12860658035615929</v>
      </c>
      <c r="D98" s="206">
        <f t="shared" si="19"/>
        <v>2.0257658383599882E-2</v>
      </c>
      <c r="E98" s="206">
        <f t="shared" si="19"/>
        <v>2.8243199998219573E-2</v>
      </c>
      <c r="F98" s="206">
        <f t="shared" si="19"/>
        <v>1.8958318650974085E-2</v>
      </c>
      <c r="G98" s="206">
        <f t="shared" si="19"/>
        <v>1.1700293409978668E-2</v>
      </c>
      <c r="H98" s="206">
        <f t="shared" si="19"/>
        <v>3.0480518506057271E-2</v>
      </c>
      <c r="I98" s="206">
        <f t="shared" si="19"/>
        <v>0.32159163107623651</v>
      </c>
      <c r="J98" s="206">
        <f t="shared" si="19"/>
        <v>3.7374811259483671E-2</v>
      </c>
      <c r="K98" s="206">
        <f t="shared" si="19"/>
        <v>2.2927190962128096E-2</v>
      </c>
      <c r="L98" s="206">
        <f t="shared" si="19"/>
        <v>3.1731350267310741E-2</v>
      </c>
      <c r="M98" s="206">
        <f t="shared" si="19"/>
        <v>0.33038566987948215</v>
      </c>
      <c r="N98" s="14">
        <f t="shared" si="19"/>
        <v>1</v>
      </c>
    </row>
    <row r="99" spans="1:14">
      <c r="A99">
        <v>2021</v>
      </c>
      <c r="B99" s="206">
        <f>B93/$N93</f>
        <v>1.9254112397744137E-2</v>
      </c>
      <c r="C99" s="206">
        <f t="shared" si="19"/>
        <v>0.11391789075205752</v>
      </c>
      <c r="D99" s="206">
        <f t="shared" si="19"/>
        <v>2.1891345979922688E-2</v>
      </c>
      <c r="E99" s="206">
        <f t="shared" si="19"/>
        <v>2.8847007205437182E-2</v>
      </c>
      <c r="F99" s="206">
        <f t="shared" si="19"/>
        <v>1.8573464934401908E-2</v>
      </c>
      <c r="G99" s="206">
        <f t="shared" si="19"/>
        <v>1.3134984698107977E-2</v>
      </c>
      <c r="H99" s="206">
        <f t="shared" si="19"/>
        <v>2.4677173856265493E-2</v>
      </c>
      <c r="I99" s="206">
        <f t="shared" si="19"/>
        <v>0.3117695074761524</v>
      </c>
      <c r="J99" s="206">
        <f t="shared" si="19"/>
        <v>4.2479284846659443E-2</v>
      </c>
      <c r="K99" s="206">
        <f t="shared" si="19"/>
        <v>2.7112230454641933E-2</v>
      </c>
      <c r="L99" s="206">
        <f t="shared" si="19"/>
        <v>2.6133654485665851E-2</v>
      </c>
      <c r="M99" s="206">
        <f t="shared" si="19"/>
        <v>0.35220934291294342</v>
      </c>
      <c r="N99" s="14">
        <f t="shared" si="19"/>
        <v>1</v>
      </c>
    </row>
    <row r="101" spans="1:14">
      <c r="A101" s="79" t="s">
        <v>2</v>
      </c>
      <c r="B101" t="s">
        <v>317</v>
      </c>
    </row>
  </sheetData>
  <mergeCells count="1">
    <mergeCell ref="A40:A53"/>
  </mergeCells>
  <hyperlinks>
    <hyperlink ref="C40" r:id="rId1" xr:uid="{BC0F5EC3-7807-EA4B-BA5E-CF67EDA1FD07}"/>
    <hyperlink ref="C41" r:id="rId2" xr:uid="{2FDB5009-E6F4-AF44-A5D9-10F32FC25D6F}"/>
    <hyperlink ref="C42" r:id="rId3" xr:uid="{416E86F3-073B-1042-ACEE-AB41A27B11C7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7DDB-E2A7-D443-AB0A-75CF9604A5E8}">
  <dimension ref="A1:AB60"/>
  <sheetViews>
    <sheetView zoomScale="75" workbookViewId="0">
      <selection activeCell="AK36" sqref="AK36"/>
    </sheetView>
  </sheetViews>
  <sheetFormatPr baseColWidth="10" defaultRowHeight="16"/>
  <sheetData>
    <row r="1" spans="1:10">
      <c r="A1" s="41"/>
      <c r="B1" s="94"/>
      <c r="C1" s="404" t="s">
        <v>330</v>
      </c>
      <c r="D1" s="404"/>
      <c r="E1" s="404"/>
      <c r="F1" s="404"/>
      <c r="G1" s="404"/>
      <c r="H1" s="404"/>
      <c r="I1" s="404"/>
      <c r="J1" s="405"/>
    </row>
    <row r="2" spans="1:10">
      <c r="A2" s="43"/>
      <c r="B2" s="105"/>
      <c r="C2" s="213">
        <v>0</v>
      </c>
      <c r="D2" s="36">
        <v>50</v>
      </c>
      <c r="E2" s="36">
        <v>100</v>
      </c>
      <c r="F2" s="36">
        <v>150</v>
      </c>
      <c r="G2" s="36">
        <v>200</v>
      </c>
      <c r="H2" s="36">
        <v>250</v>
      </c>
      <c r="I2" s="36">
        <v>300</v>
      </c>
      <c r="J2" s="108">
        <v>350</v>
      </c>
    </row>
    <row r="3" spans="1:10">
      <c r="A3" s="402" t="s">
        <v>331</v>
      </c>
      <c r="B3" s="105">
        <v>0</v>
      </c>
      <c r="C3" s="68">
        <f>(($B3*10^9)*C$2)/10^12</f>
        <v>0</v>
      </c>
      <c r="D3" s="68">
        <f t="shared" ref="D3:J3" si="0">(($B3*10^9)*D$2)/10^12</f>
        <v>0</v>
      </c>
      <c r="E3" s="68">
        <f t="shared" si="0"/>
        <v>0</v>
      </c>
      <c r="F3" s="68">
        <f t="shared" si="0"/>
        <v>0</v>
      </c>
      <c r="G3" s="68">
        <f t="shared" si="0"/>
        <v>0</v>
      </c>
      <c r="H3" s="68">
        <f t="shared" si="0"/>
        <v>0</v>
      </c>
      <c r="I3" s="68">
        <f t="shared" si="0"/>
        <v>0</v>
      </c>
      <c r="J3" s="214">
        <f t="shared" si="0"/>
        <v>0</v>
      </c>
    </row>
    <row r="4" spans="1:10">
      <c r="A4" s="402"/>
      <c r="B4" s="105">
        <v>0.5</v>
      </c>
      <c r="C4" s="68">
        <f t="shared" ref="C4:J11" si="1">(($B4*10^9)*C$2)/10^12</f>
        <v>0</v>
      </c>
      <c r="D4" s="68">
        <f t="shared" si="1"/>
        <v>2.5000000000000001E-2</v>
      </c>
      <c r="E4" s="68">
        <f t="shared" si="1"/>
        <v>0.05</v>
      </c>
      <c r="F4" s="68">
        <f t="shared" si="1"/>
        <v>7.4999999999999997E-2</v>
      </c>
      <c r="G4" s="68">
        <f t="shared" si="1"/>
        <v>0.1</v>
      </c>
      <c r="H4" s="68">
        <f t="shared" si="1"/>
        <v>0.125</v>
      </c>
      <c r="I4" s="68">
        <f t="shared" si="1"/>
        <v>0.15</v>
      </c>
      <c r="J4" s="214">
        <f t="shared" si="1"/>
        <v>0.17499999999999999</v>
      </c>
    </row>
    <row r="5" spans="1:10">
      <c r="A5" s="402"/>
      <c r="B5" s="105">
        <v>1</v>
      </c>
      <c r="C5" s="68">
        <f t="shared" si="1"/>
        <v>0</v>
      </c>
      <c r="D5" s="68">
        <f t="shared" si="1"/>
        <v>0.05</v>
      </c>
      <c r="E5" s="68">
        <f t="shared" si="1"/>
        <v>0.1</v>
      </c>
      <c r="F5" s="68">
        <f t="shared" si="1"/>
        <v>0.15</v>
      </c>
      <c r="G5" s="68">
        <f t="shared" si="1"/>
        <v>0.2</v>
      </c>
      <c r="H5" s="68">
        <f t="shared" si="1"/>
        <v>0.25</v>
      </c>
      <c r="I5" s="68">
        <f t="shared" si="1"/>
        <v>0.3</v>
      </c>
      <c r="J5" s="214">
        <f t="shared" si="1"/>
        <v>0.35</v>
      </c>
    </row>
    <row r="6" spans="1:10">
      <c r="A6" s="402"/>
      <c r="B6" s="105">
        <v>1.5</v>
      </c>
      <c r="C6" s="68">
        <f t="shared" si="1"/>
        <v>0</v>
      </c>
      <c r="D6" s="68">
        <f t="shared" si="1"/>
        <v>7.4999999999999997E-2</v>
      </c>
      <c r="E6" s="68">
        <f t="shared" si="1"/>
        <v>0.15</v>
      </c>
      <c r="F6" s="68">
        <f t="shared" si="1"/>
        <v>0.22500000000000001</v>
      </c>
      <c r="G6" s="68">
        <f t="shared" si="1"/>
        <v>0.3</v>
      </c>
      <c r="H6" s="68">
        <f t="shared" si="1"/>
        <v>0.375</v>
      </c>
      <c r="I6" s="68">
        <f t="shared" si="1"/>
        <v>0.45</v>
      </c>
      <c r="J6" s="214">
        <f t="shared" si="1"/>
        <v>0.52500000000000002</v>
      </c>
    </row>
    <row r="7" spans="1:10">
      <c r="A7" s="402"/>
      <c r="B7" s="105">
        <v>2</v>
      </c>
      <c r="C7" s="68">
        <f t="shared" si="1"/>
        <v>0</v>
      </c>
      <c r="D7" s="68">
        <f t="shared" si="1"/>
        <v>0.1</v>
      </c>
      <c r="E7" s="68">
        <f t="shared" si="1"/>
        <v>0.2</v>
      </c>
      <c r="F7" s="68">
        <f t="shared" si="1"/>
        <v>0.3</v>
      </c>
      <c r="G7" s="68">
        <f t="shared" si="1"/>
        <v>0.4</v>
      </c>
      <c r="H7" s="68">
        <f t="shared" si="1"/>
        <v>0.5</v>
      </c>
      <c r="I7" s="68">
        <f t="shared" si="1"/>
        <v>0.6</v>
      </c>
      <c r="J7" s="214">
        <f t="shared" si="1"/>
        <v>0.7</v>
      </c>
    </row>
    <row r="8" spans="1:10">
      <c r="A8" s="402"/>
      <c r="B8" s="105">
        <v>2.5</v>
      </c>
      <c r="C8" s="68">
        <f t="shared" si="1"/>
        <v>0</v>
      </c>
      <c r="D8" s="68">
        <f t="shared" si="1"/>
        <v>0.125</v>
      </c>
      <c r="E8" s="68">
        <f t="shared" si="1"/>
        <v>0.25</v>
      </c>
      <c r="F8" s="68">
        <f t="shared" si="1"/>
        <v>0.375</v>
      </c>
      <c r="G8" s="68">
        <f t="shared" si="1"/>
        <v>0.5</v>
      </c>
      <c r="H8" s="68">
        <f t="shared" si="1"/>
        <v>0.625</v>
      </c>
      <c r="I8" s="68">
        <f t="shared" si="1"/>
        <v>0.75</v>
      </c>
      <c r="J8" s="214">
        <f t="shared" si="1"/>
        <v>0.875</v>
      </c>
    </row>
    <row r="9" spans="1:10">
      <c r="A9" s="402"/>
      <c r="B9" s="105">
        <v>3</v>
      </c>
      <c r="C9" s="68">
        <f t="shared" si="1"/>
        <v>0</v>
      </c>
      <c r="D9" s="68">
        <f t="shared" si="1"/>
        <v>0.15</v>
      </c>
      <c r="E9" s="68">
        <f t="shared" si="1"/>
        <v>0.3</v>
      </c>
      <c r="F9" s="68">
        <f t="shared" si="1"/>
        <v>0.45</v>
      </c>
      <c r="G9" s="68">
        <f t="shared" si="1"/>
        <v>0.6</v>
      </c>
      <c r="H9" s="68">
        <f t="shared" si="1"/>
        <v>0.75</v>
      </c>
      <c r="I9" s="68">
        <f t="shared" si="1"/>
        <v>0.9</v>
      </c>
      <c r="J9" s="214">
        <f t="shared" si="1"/>
        <v>1.05</v>
      </c>
    </row>
    <row r="10" spans="1:10">
      <c r="A10" s="402"/>
      <c r="B10" s="105">
        <v>3.5</v>
      </c>
      <c r="C10" s="68">
        <f t="shared" si="1"/>
        <v>0</v>
      </c>
      <c r="D10" s="68">
        <f t="shared" si="1"/>
        <v>0.17499999999999999</v>
      </c>
      <c r="E10" s="68">
        <f t="shared" si="1"/>
        <v>0.35</v>
      </c>
      <c r="F10" s="68">
        <f t="shared" si="1"/>
        <v>0.52500000000000002</v>
      </c>
      <c r="G10" s="68">
        <f t="shared" si="1"/>
        <v>0.7</v>
      </c>
      <c r="H10" s="68">
        <f t="shared" si="1"/>
        <v>0.875</v>
      </c>
      <c r="I10" s="68">
        <f t="shared" si="1"/>
        <v>1.05</v>
      </c>
      <c r="J10" s="214">
        <f t="shared" si="1"/>
        <v>1.2250000000000001</v>
      </c>
    </row>
    <row r="11" spans="1:10" ht="17" thickBot="1">
      <c r="A11" s="403"/>
      <c r="B11" s="96">
        <v>4</v>
      </c>
      <c r="C11" s="45">
        <f t="shared" si="1"/>
        <v>0</v>
      </c>
      <c r="D11" s="45">
        <f t="shared" si="1"/>
        <v>0.2</v>
      </c>
      <c r="E11" s="45">
        <f t="shared" si="1"/>
        <v>0.4</v>
      </c>
      <c r="F11" s="45">
        <f t="shared" si="1"/>
        <v>0.6</v>
      </c>
      <c r="G11" s="45">
        <f t="shared" si="1"/>
        <v>0.8</v>
      </c>
      <c r="H11" s="45">
        <f t="shared" si="1"/>
        <v>1</v>
      </c>
      <c r="I11" s="45">
        <f t="shared" si="1"/>
        <v>1.2</v>
      </c>
      <c r="J11" s="97">
        <f t="shared" si="1"/>
        <v>1.4</v>
      </c>
    </row>
    <row r="12" spans="1:10">
      <c r="C12" t="s">
        <v>332</v>
      </c>
    </row>
    <row r="17" spans="1:28" ht="21">
      <c r="A17" s="219" t="s">
        <v>378</v>
      </c>
      <c r="B17" s="87"/>
      <c r="C17" s="87"/>
      <c r="D17" s="87"/>
      <c r="E17" s="87"/>
      <c r="F17" s="87"/>
      <c r="G17" s="87"/>
      <c r="H17" s="87"/>
    </row>
    <row r="18" spans="1:28">
      <c r="A18" t="s">
        <v>367</v>
      </c>
      <c r="B18" t="s">
        <v>366</v>
      </c>
      <c r="C18" s="105" t="s">
        <v>368</v>
      </c>
      <c r="D18" t="s">
        <v>384</v>
      </c>
      <c r="E18" t="s">
        <v>373</v>
      </c>
      <c r="F18" t="s">
        <v>374</v>
      </c>
      <c r="G18" t="s">
        <v>379</v>
      </c>
      <c r="I18" t="s">
        <v>385</v>
      </c>
      <c r="J18" t="s">
        <v>388</v>
      </c>
    </row>
    <row r="19" spans="1:28">
      <c r="A19" s="9">
        <f>Fig1_historical_Kaya!H33*10^6</f>
        <v>11057916547680.15</v>
      </c>
      <c r="B19">
        <f>Fig1_historical_Kaya!I33</f>
        <v>13978924066446.346</v>
      </c>
      <c r="C19" s="58">
        <f>B19/A19</f>
        <v>1.264155323127212</v>
      </c>
      <c r="D19" s="30">
        <f>C19/A45</f>
        <v>2.9061041910970392E-2</v>
      </c>
      <c r="E19" s="30">
        <f>A49*D19</f>
        <v>9.183289243866645E-2</v>
      </c>
      <c r="F19" s="30">
        <f>(E19*A50)-E19</f>
        <v>6.4283024707066524E-2</v>
      </c>
      <c r="G19" s="30">
        <f>SUM(E19:F19)</f>
        <v>0.15611591714573297</v>
      </c>
      <c r="I19" s="30">
        <f>C19/A46</f>
        <v>3.3267245345452945E-2</v>
      </c>
      <c r="J19" s="30">
        <f>I19/A51</f>
        <v>3.7803687892560167E-2</v>
      </c>
    </row>
    <row r="20" spans="1:28">
      <c r="C20" s="105"/>
    </row>
    <row r="21" spans="1:28">
      <c r="A21" t="s">
        <v>375</v>
      </c>
      <c r="B21" t="s">
        <v>376</v>
      </c>
      <c r="C21" s="105" t="s">
        <v>377</v>
      </c>
      <c r="D21" t="s">
        <v>396</v>
      </c>
      <c r="E21" t="s">
        <v>373</v>
      </c>
      <c r="F21" t="s">
        <v>374</v>
      </c>
      <c r="G21" t="s">
        <v>379</v>
      </c>
      <c r="I21" t="s">
        <v>389</v>
      </c>
      <c r="J21" t="s">
        <v>390</v>
      </c>
    </row>
    <row r="22" spans="1:28" ht="17" thickBot="1">
      <c r="A22" s="9">
        <f>Fig1_historical_Kaya!G33*10^6</f>
        <v>995212489291.21362</v>
      </c>
      <c r="B22">
        <f>Fig1_historical_Kaya!I33</f>
        <v>13978924066446.346</v>
      </c>
      <c r="C22" s="226">
        <f>B22/A22</f>
        <v>14.046170256969022</v>
      </c>
      <c r="D22" s="9">
        <f>C22/A45</f>
        <v>0.32290046567744879</v>
      </c>
      <c r="E22" s="9">
        <f>D22*A49</f>
        <v>1.0203654715407382</v>
      </c>
      <c r="F22" s="9">
        <f>(E22*A50)-E22</f>
        <v>0.71425583007851667</v>
      </c>
      <c r="G22" s="30">
        <f>SUM(E22:F22)</f>
        <v>1.7346213016192549</v>
      </c>
      <c r="I22" s="9">
        <f>C22/A46</f>
        <v>0.36963605939392163</v>
      </c>
      <c r="J22" s="9">
        <f>I22/A51</f>
        <v>0.42004097658400186</v>
      </c>
      <c r="L22" s="90" t="s">
        <v>406</v>
      </c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</row>
    <row r="23" spans="1:28" ht="17" thickBot="1">
      <c r="A23" s="9"/>
      <c r="C23" s="9"/>
      <c r="D23" s="9"/>
      <c r="E23" s="9"/>
      <c r="F23" s="9"/>
      <c r="G23" s="30"/>
      <c r="L23" s="41"/>
      <c r="M23" s="94"/>
      <c r="N23" s="404" t="s">
        <v>321</v>
      </c>
      <c r="O23" s="404"/>
      <c r="P23" s="404"/>
      <c r="Q23" s="404"/>
      <c r="R23" s="404"/>
      <c r="S23" s="404"/>
      <c r="T23" s="404"/>
      <c r="U23" s="404"/>
      <c r="V23" s="404"/>
      <c r="W23" s="404"/>
      <c r="X23" s="404"/>
      <c r="Y23" s="404"/>
      <c r="Z23" s="404"/>
      <c r="AA23" s="404"/>
      <c r="AB23" s="405"/>
    </row>
    <row r="24" spans="1:28">
      <c r="A24" s="231"/>
      <c r="B24" s="94"/>
      <c r="C24" s="414" t="s">
        <v>380</v>
      </c>
      <c r="D24" s="415"/>
      <c r="E24" s="9"/>
      <c r="F24" s="9"/>
      <c r="G24" s="231"/>
      <c r="H24" s="94"/>
      <c r="I24" s="414" t="s">
        <v>391</v>
      </c>
      <c r="J24" s="415"/>
      <c r="L24" s="106"/>
      <c r="M24" s="107"/>
      <c r="N24" s="243">
        <v>0</v>
      </c>
      <c r="O24" s="243">
        <f t="shared" ref="O24:AA24" si="2">N24+$H$42</f>
        <v>0.21428571428571427</v>
      </c>
      <c r="P24" s="243">
        <f t="shared" si="2"/>
        <v>0.42857142857142855</v>
      </c>
      <c r="Q24" s="243">
        <f t="shared" si="2"/>
        <v>0.64285714285714279</v>
      </c>
      <c r="R24" s="243">
        <f t="shared" si="2"/>
        <v>0.8571428571428571</v>
      </c>
      <c r="S24" s="243">
        <f t="shared" si="2"/>
        <v>1.0714285714285714</v>
      </c>
      <c r="T24" s="243">
        <f t="shared" si="2"/>
        <v>1.2857142857142856</v>
      </c>
      <c r="U24" s="243">
        <f t="shared" si="2"/>
        <v>1.4999999999999998</v>
      </c>
      <c r="V24" s="243">
        <f t="shared" si="2"/>
        <v>1.714285714285714</v>
      </c>
      <c r="W24" s="243">
        <f t="shared" si="2"/>
        <v>1.9285714285714282</v>
      </c>
      <c r="X24" s="243">
        <f t="shared" si="2"/>
        <v>2.1428571428571423</v>
      </c>
      <c r="Y24" s="243">
        <f t="shared" si="2"/>
        <v>2.3571428571428568</v>
      </c>
      <c r="Z24" s="243">
        <f t="shared" si="2"/>
        <v>2.5714285714285712</v>
      </c>
      <c r="AA24" s="243">
        <f t="shared" si="2"/>
        <v>2.7857142857142856</v>
      </c>
      <c r="AB24" s="244">
        <v>3</v>
      </c>
    </row>
    <row r="25" spans="1:28">
      <c r="A25" s="235"/>
      <c r="B25" s="105"/>
      <c r="C25" s="236" t="s">
        <v>392</v>
      </c>
      <c r="D25" s="237" t="s">
        <v>393</v>
      </c>
      <c r="E25" s="9"/>
      <c r="F25" s="9"/>
      <c r="G25" s="235"/>
      <c r="H25" s="105"/>
      <c r="I25" s="236" t="s">
        <v>392</v>
      </c>
      <c r="J25" s="237" t="s">
        <v>393</v>
      </c>
      <c r="L25" s="408" t="s">
        <v>322</v>
      </c>
      <c r="M25" s="105">
        <f t="shared" ref="M25:M39" si="3">B27</f>
        <v>0</v>
      </c>
      <c r="N25" s="101">
        <f t="shared" ref="N25:AB39" si="4">($G$19*($M25/1000))-($J$19*N$24)</f>
        <v>0</v>
      </c>
      <c r="O25" s="101">
        <f t="shared" si="4"/>
        <v>-8.1007902626914641E-3</v>
      </c>
      <c r="P25" s="101">
        <f t="shared" si="4"/>
        <v>-1.6201580525382928E-2</v>
      </c>
      <c r="Q25" s="101">
        <f t="shared" si="4"/>
        <v>-2.4302370788074391E-2</v>
      </c>
      <c r="R25" s="101">
        <f t="shared" si="4"/>
        <v>-3.2403161050765857E-2</v>
      </c>
      <c r="S25" s="101">
        <f t="shared" si="4"/>
        <v>-4.0503951313457319E-2</v>
      </c>
      <c r="T25" s="101">
        <f t="shared" si="4"/>
        <v>-4.8604741576148781E-2</v>
      </c>
      <c r="U25" s="101">
        <f t="shared" si="4"/>
        <v>-5.6705531838840244E-2</v>
      </c>
      <c r="V25" s="101">
        <f t="shared" si="4"/>
        <v>-6.4806322101531699E-2</v>
      </c>
      <c r="W25" s="101">
        <f t="shared" si="4"/>
        <v>-7.2907112364223162E-2</v>
      </c>
      <c r="X25" s="101">
        <f t="shared" si="4"/>
        <v>-8.1007902626914624E-2</v>
      </c>
      <c r="Y25" s="101">
        <f t="shared" si="4"/>
        <v>-8.91086928896061E-2</v>
      </c>
      <c r="Z25" s="101">
        <f t="shared" si="4"/>
        <v>-9.7209483152297563E-2</v>
      </c>
      <c r="AA25" s="101">
        <f t="shared" si="4"/>
        <v>-0.10531027341498904</v>
      </c>
      <c r="AB25" s="103">
        <f t="shared" si="4"/>
        <v>-0.1134110636776805</v>
      </c>
    </row>
    <row r="26" spans="1:28">
      <c r="A26" s="106"/>
      <c r="B26" s="107"/>
      <c r="C26" s="233">
        <f>G19</f>
        <v>0.15611591714573297</v>
      </c>
      <c r="D26" s="234">
        <f>G22</f>
        <v>1.7346213016192549</v>
      </c>
      <c r="G26" s="106"/>
      <c r="H26" s="107"/>
      <c r="I26" s="233">
        <f>J19</f>
        <v>3.7803687892560167E-2</v>
      </c>
      <c r="J26" s="234">
        <f>J22</f>
        <v>0.42004097658400186</v>
      </c>
      <c r="L26" s="408"/>
      <c r="M26" s="105">
        <f t="shared" si="3"/>
        <v>50</v>
      </c>
      <c r="N26" s="101">
        <f t="shared" si="4"/>
        <v>7.8057958572866487E-3</v>
      </c>
      <c r="O26" s="101">
        <f t="shared" si="4"/>
        <v>-2.9499440540481543E-4</v>
      </c>
      <c r="P26" s="101">
        <f t="shared" si="4"/>
        <v>-8.3957846680962796E-3</v>
      </c>
      <c r="Q26" s="101">
        <f t="shared" si="4"/>
        <v>-1.6496574930787742E-2</v>
      </c>
      <c r="R26" s="101">
        <f t="shared" si="4"/>
        <v>-2.4597365193479208E-2</v>
      </c>
      <c r="S26" s="101">
        <f t="shared" si="4"/>
        <v>-3.269815545617067E-2</v>
      </c>
      <c r="T26" s="101">
        <f t="shared" si="4"/>
        <v>-4.0798945718862133E-2</v>
      </c>
      <c r="U26" s="101">
        <f t="shared" si="4"/>
        <v>-4.8899735981553595E-2</v>
      </c>
      <c r="V26" s="101">
        <f t="shared" si="4"/>
        <v>-5.7000526244245051E-2</v>
      </c>
      <c r="W26" s="101">
        <f t="shared" si="4"/>
        <v>-6.5101316506936513E-2</v>
      </c>
      <c r="X26" s="101">
        <f t="shared" si="4"/>
        <v>-7.3202106769627975E-2</v>
      </c>
      <c r="Y26" s="101">
        <f t="shared" si="4"/>
        <v>-8.1302897032319452E-2</v>
      </c>
      <c r="Z26" s="101">
        <f t="shared" si="4"/>
        <v>-8.9403687295010914E-2</v>
      </c>
      <c r="AA26" s="101">
        <f t="shared" si="4"/>
        <v>-9.750447755770239E-2</v>
      </c>
      <c r="AB26" s="103">
        <f t="shared" si="4"/>
        <v>-0.10560526782039385</v>
      </c>
    </row>
    <row r="27" spans="1:28" ht="16" customHeight="1">
      <c r="A27" s="416" t="s">
        <v>322</v>
      </c>
      <c r="B27" s="232">
        <v>0</v>
      </c>
      <c r="C27" s="101">
        <f t="shared" ref="C27:D41" si="5">($B27/1000)*C$26</f>
        <v>0</v>
      </c>
      <c r="D27" s="103">
        <f t="shared" si="5"/>
        <v>0</v>
      </c>
      <c r="G27" s="416" t="s">
        <v>321</v>
      </c>
      <c r="H27" s="241">
        <v>0</v>
      </c>
      <c r="I27" s="101">
        <f t="shared" ref="I27:J41" si="6">($H27)*I$26</f>
        <v>0</v>
      </c>
      <c r="J27" s="103">
        <f t="shared" si="6"/>
        <v>0</v>
      </c>
      <c r="L27" s="408"/>
      <c r="M27" s="105">
        <f t="shared" si="3"/>
        <v>100</v>
      </c>
      <c r="N27" s="101">
        <f t="shared" si="4"/>
        <v>1.5611591714573297E-2</v>
      </c>
      <c r="O27" s="101">
        <f t="shared" si="4"/>
        <v>7.5108014518818333E-3</v>
      </c>
      <c r="P27" s="101">
        <f t="shared" si="4"/>
        <v>-5.8998881080963086E-4</v>
      </c>
      <c r="Q27" s="101">
        <f t="shared" si="4"/>
        <v>-8.6907790735010933E-3</v>
      </c>
      <c r="R27" s="101">
        <f t="shared" si="4"/>
        <v>-1.6791569336192559E-2</v>
      </c>
      <c r="S27" s="101">
        <f t="shared" si="4"/>
        <v>-2.4892359598884022E-2</v>
      </c>
      <c r="T27" s="101">
        <f t="shared" si="4"/>
        <v>-3.2993149861575484E-2</v>
      </c>
      <c r="U27" s="101">
        <f t="shared" si="4"/>
        <v>-4.1093940124266946E-2</v>
      </c>
      <c r="V27" s="101">
        <f t="shared" si="4"/>
        <v>-4.9194730386958402E-2</v>
      </c>
      <c r="W27" s="101">
        <f t="shared" si="4"/>
        <v>-5.7295520649649864E-2</v>
      </c>
      <c r="X27" s="101">
        <f t="shared" si="4"/>
        <v>-6.5396310912341327E-2</v>
      </c>
      <c r="Y27" s="101">
        <f t="shared" si="4"/>
        <v>-7.3497101175032803E-2</v>
      </c>
      <c r="Z27" s="101">
        <f t="shared" si="4"/>
        <v>-8.1597891437724265E-2</v>
      </c>
      <c r="AA27" s="101">
        <f t="shared" si="4"/>
        <v>-8.9698681700415742E-2</v>
      </c>
      <c r="AB27" s="103">
        <f t="shared" si="4"/>
        <v>-9.7799471963107204E-2</v>
      </c>
    </row>
    <row r="28" spans="1:28">
      <c r="A28" s="408"/>
      <c r="B28" s="232">
        <v>50</v>
      </c>
      <c r="C28" s="101">
        <f t="shared" si="5"/>
        <v>7.8057958572866487E-3</v>
      </c>
      <c r="D28" s="103">
        <f t="shared" si="5"/>
        <v>8.6731065080962746E-2</v>
      </c>
      <c r="G28" s="408"/>
      <c r="H28" s="130">
        <f t="shared" ref="H28:H40" si="7">H27+$H$42</f>
        <v>0.21428571428571427</v>
      </c>
      <c r="I28" s="101">
        <f t="shared" si="6"/>
        <v>8.1007902626914641E-3</v>
      </c>
      <c r="J28" s="103">
        <f t="shared" si="6"/>
        <v>9.0008780696571825E-2</v>
      </c>
      <c r="L28" s="408"/>
      <c r="M28" s="105">
        <f t="shared" si="3"/>
        <v>150</v>
      </c>
      <c r="N28" s="101">
        <f t="shared" si="4"/>
        <v>2.3417387571859946E-2</v>
      </c>
      <c r="O28" s="101">
        <f t="shared" si="4"/>
        <v>1.5316597309168482E-2</v>
      </c>
      <c r="P28" s="101">
        <f t="shared" si="4"/>
        <v>7.2158070464770178E-3</v>
      </c>
      <c r="Q28" s="101">
        <f t="shared" si="4"/>
        <v>-8.8498321621444456E-4</v>
      </c>
      <c r="R28" s="101">
        <f t="shared" si="4"/>
        <v>-8.9857734789059104E-3</v>
      </c>
      <c r="S28" s="101">
        <f t="shared" si="4"/>
        <v>-1.7086563741597373E-2</v>
      </c>
      <c r="T28" s="101">
        <f t="shared" si="4"/>
        <v>-2.5187354004288835E-2</v>
      </c>
      <c r="U28" s="101">
        <f t="shared" si="4"/>
        <v>-3.3288144266980298E-2</v>
      </c>
      <c r="V28" s="101">
        <f t="shared" si="4"/>
        <v>-4.1388934529671753E-2</v>
      </c>
      <c r="W28" s="101">
        <f t="shared" si="4"/>
        <v>-4.9489724792363216E-2</v>
      </c>
      <c r="X28" s="101">
        <f t="shared" si="4"/>
        <v>-5.7590515055054678E-2</v>
      </c>
      <c r="Y28" s="101">
        <f t="shared" si="4"/>
        <v>-6.5691305317746154E-2</v>
      </c>
      <c r="Z28" s="101">
        <f t="shared" si="4"/>
        <v>-7.3792095580437617E-2</v>
      </c>
      <c r="AA28" s="101">
        <f t="shared" si="4"/>
        <v>-8.1892885843129093E-2</v>
      </c>
      <c r="AB28" s="103">
        <f t="shared" si="4"/>
        <v>-8.9993676105820555E-2</v>
      </c>
    </row>
    <row r="29" spans="1:28">
      <c r="A29" s="408"/>
      <c r="B29" s="232">
        <v>100</v>
      </c>
      <c r="C29" s="101">
        <f t="shared" si="5"/>
        <v>1.5611591714573297E-2</v>
      </c>
      <c r="D29" s="103">
        <f t="shared" si="5"/>
        <v>0.17346213016192549</v>
      </c>
      <c r="G29" s="408"/>
      <c r="H29" s="130">
        <f t="shared" si="7"/>
        <v>0.42857142857142855</v>
      </c>
      <c r="I29" s="101">
        <f t="shared" si="6"/>
        <v>1.6201580525382928E-2</v>
      </c>
      <c r="J29" s="103">
        <f t="shared" si="6"/>
        <v>0.18001756139314365</v>
      </c>
      <c r="L29" s="408"/>
      <c r="M29" s="105">
        <f t="shared" si="3"/>
        <v>200</v>
      </c>
      <c r="N29" s="101">
        <f t="shared" si="4"/>
        <v>3.1223183429146595E-2</v>
      </c>
      <c r="O29" s="101">
        <f t="shared" si="4"/>
        <v>2.3122393166455132E-2</v>
      </c>
      <c r="P29" s="101">
        <f t="shared" si="4"/>
        <v>1.5021602903763667E-2</v>
      </c>
      <c r="Q29" s="101">
        <f t="shared" si="4"/>
        <v>6.9208126410722041E-3</v>
      </c>
      <c r="R29" s="101">
        <f t="shared" si="4"/>
        <v>-1.1799776216192617E-3</v>
      </c>
      <c r="S29" s="101">
        <f t="shared" si="4"/>
        <v>-9.2807678843107241E-3</v>
      </c>
      <c r="T29" s="101">
        <f t="shared" si="4"/>
        <v>-1.7381558147002187E-2</v>
      </c>
      <c r="U29" s="101">
        <f t="shared" si="4"/>
        <v>-2.5482348409693649E-2</v>
      </c>
      <c r="V29" s="101">
        <f t="shared" si="4"/>
        <v>-3.3583138672385104E-2</v>
      </c>
      <c r="W29" s="101">
        <f t="shared" si="4"/>
        <v>-4.1683928935076567E-2</v>
      </c>
      <c r="X29" s="101">
        <f t="shared" si="4"/>
        <v>-4.9784719197768029E-2</v>
      </c>
      <c r="Y29" s="101">
        <f t="shared" si="4"/>
        <v>-5.7885509460459506E-2</v>
      </c>
      <c r="Z29" s="101">
        <f t="shared" si="4"/>
        <v>-6.5986299723150968E-2</v>
      </c>
      <c r="AA29" s="101">
        <f t="shared" si="4"/>
        <v>-7.4087089985842444E-2</v>
      </c>
      <c r="AB29" s="103">
        <f t="shared" si="4"/>
        <v>-8.2187880248533907E-2</v>
      </c>
    </row>
    <row r="30" spans="1:28">
      <c r="A30" s="408"/>
      <c r="B30" s="232">
        <v>150</v>
      </c>
      <c r="C30" s="101">
        <f t="shared" si="5"/>
        <v>2.3417387571859946E-2</v>
      </c>
      <c r="D30" s="103">
        <f t="shared" si="5"/>
        <v>0.2601931952428882</v>
      </c>
      <c r="G30" s="408"/>
      <c r="H30" s="130">
        <f t="shared" si="7"/>
        <v>0.64285714285714279</v>
      </c>
      <c r="I30" s="101">
        <f t="shared" si="6"/>
        <v>2.4302370788074391E-2</v>
      </c>
      <c r="J30" s="103">
        <f t="shared" si="6"/>
        <v>0.27002634208971543</v>
      </c>
      <c r="L30" s="408"/>
      <c r="M30" s="105">
        <f t="shared" si="3"/>
        <v>250</v>
      </c>
      <c r="N30" s="101">
        <f t="shared" si="4"/>
        <v>3.9028979286433244E-2</v>
      </c>
      <c r="O30" s="101">
        <f t="shared" si="4"/>
        <v>3.0928189023741781E-2</v>
      </c>
      <c r="P30" s="101">
        <f t="shared" si="4"/>
        <v>2.2827398761050315E-2</v>
      </c>
      <c r="Q30" s="101">
        <f t="shared" si="4"/>
        <v>1.4726608498358853E-2</v>
      </c>
      <c r="R30" s="101">
        <f t="shared" si="4"/>
        <v>6.625818235667387E-3</v>
      </c>
      <c r="S30" s="101">
        <f t="shared" si="4"/>
        <v>-1.4749720270240754E-3</v>
      </c>
      <c r="T30" s="101">
        <f t="shared" si="4"/>
        <v>-9.5757622897155378E-3</v>
      </c>
      <c r="U30" s="101">
        <f t="shared" si="4"/>
        <v>-1.7676552552407E-2</v>
      </c>
      <c r="V30" s="101">
        <f t="shared" si="4"/>
        <v>-2.5777342815098456E-2</v>
      </c>
      <c r="W30" s="101">
        <f t="shared" si="4"/>
        <v>-3.3878133077789918E-2</v>
      </c>
      <c r="X30" s="101">
        <f t="shared" si="4"/>
        <v>-4.1978923340481381E-2</v>
      </c>
      <c r="Y30" s="101">
        <f t="shared" si="4"/>
        <v>-5.0079713603172857E-2</v>
      </c>
      <c r="Z30" s="101">
        <f t="shared" si="4"/>
        <v>-5.8180503865864319E-2</v>
      </c>
      <c r="AA30" s="101">
        <f t="shared" si="4"/>
        <v>-6.6281294128555795E-2</v>
      </c>
      <c r="AB30" s="103">
        <f t="shared" si="4"/>
        <v>-7.4382084391247258E-2</v>
      </c>
    </row>
    <row r="31" spans="1:28">
      <c r="A31" s="408"/>
      <c r="B31" s="232">
        <v>200</v>
      </c>
      <c r="C31" s="101">
        <f t="shared" si="5"/>
        <v>3.1223183429146595E-2</v>
      </c>
      <c r="D31" s="103">
        <f t="shared" si="5"/>
        <v>0.34692426032385099</v>
      </c>
      <c r="G31" s="408"/>
      <c r="H31" s="130">
        <f t="shared" si="7"/>
        <v>0.8571428571428571</v>
      </c>
      <c r="I31" s="101">
        <f t="shared" si="6"/>
        <v>3.2403161050765857E-2</v>
      </c>
      <c r="J31" s="103">
        <f t="shared" si="6"/>
        <v>0.3600351227862873</v>
      </c>
      <c r="L31" s="408"/>
      <c r="M31" s="105">
        <f t="shared" si="3"/>
        <v>300</v>
      </c>
      <c r="N31" s="101">
        <f t="shared" si="4"/>
        <v>4.6834775143719892E-2</v>
      </c>
      <c r="O31" s="101">
        <f t="shared" si="4"/>
        <v>3.873398488102843E-2</v>
      </c>
      <c r="P31" s="101">
        <f t="shared" si="4"/>
        <v>3.0633194618336964E-2</v>
      </c>
      <c r="Q31" s="101">
        <f t="shared" si="4"/>
        <v>2.2532404355645502E-2</v>
      </c>
      <c r="R31" s="101">
        <f t="shared" si="4"/>
        <v>1.4431614092954036E-2</v>
      </c>
      <c r="S31" s="101">
        <f t="shared" si="4"/>
        <v>6.3308238302625733E-3</v>
      </c>
      <c r="T31" s="101">
        <f t="shared" si="4"/>
        <v>-1.7699664324288891E-3</v>
      </c>
      <c r="U31" s="101">
        <f t="shared" si="4"/>
        <v>-9.8707566951203515E-3</v>
      </c>
      <c r="V31" s="101">
        <f t="shared" si="4"/>
        <v>-1.7971546957811807E-2</v>
      </c>
      <c r="W31" s="101">
        <f t="shared" si="4"/>
        <v>-2.6072337220503269E-2</v>
      </c>
      <c r="X31" s="101">
        <f t="shared" si="4"/>
        <v>-3.4173127483194732E-2</v>
      </c>
      <c r="Y31" s="101">
        <f t="shared" si="4"/>
        <v>-4.2273917745886208E-2</v>
      </c>
      <c r="Z31" s="101">
        <f t="shared" si="4"/>
        <v>-5.0374708008577671E-2</v>
      </c>
      <c r="AA31" s="101">
        <f t="shared" si="4"/>
        <v>-5.8475498271269147E-2</v>
      </c>
      <c r="AB31" s="103">
        <f t="shared" si="4"/>
        <v>-6.6576288533960609E-2</v>
      </c>
    </row>
    <row r="32" spans="1:28">
      <c r="A32" s="408"/>
      <c r="B32" s="232">
        <v>250</v>
      </c>
      <c r="C32" s="101">
        <f t="shared" si="5"/>
        <v>3.9028979286433244E-2</v>
      </c>
      <c r="D32" s="103">
        <f t="shared" si="5"/>
        <v>0.43365532540481372</v>
      </c>
      <c r="G32" s="408"/>
      <c r="H32" s="130">
        <f t="shared" si="7"/>
        <v>1.0714285714285714</v>
      </c>
      <c r="I32" s="101">
        <f t="shared" si="6"/>
        <v>4.0503951313457319E-2</v>
      </c>
      <c r="J32" s="103">
        <f t="shared" si="6"/>
        <v>0.45004390348285911</v>
      </c>
      <c r="L32" s="408"/>
      <c r="M32" s="105">
        <f t="shared" si="3"/>
        <v>350</v>
      </c>
      <c r="N32" s="101">
        <f t="shared" si="4"/>
        <v>5.4640571001006541E-2</v>
      </c>
      <c r="O32" s="101">
        <f t="shared" si="4"/>
        <v>4.6539780738315079E-2</v>
      </c>
      <c r="P32" s="101">
        <f t="shared" si="4"/>
        <v>3.8438990475623616E-2</v>
      </c>
      <c r="Q32" s="101">
        <f t="shared" si="4"/>
        <v>3.033820021293215E-2</v>
      </c>
      <c r="R32" s="101">
        <f t="shared" si="4"/>
        <v>2.2237409950240684E-2</v>
      </c>
      <c r="S32" s="101">
        <f t="shared" si="4"/>
        <v>1.4136619687549222E-2</v>
      </c>
      <c r="T32" s="101">
        <f t="shared" si="4"/>
        <v>6.0358294248577596E-3</v>
      </c>
      <c r="U32" s="101">
        <f t="shared" si="4"/>
        <v>-2.0649608378337028E-3</v>
      </c>
      <c r="V32" s="101">
        <f t="shared" si="4"/>
        <v>-1.0165751100525158E-2</v>
      </c>
      <c r="W32" s="101">
        <f t="shared" si="4"/>
        <v>-1.8266541363216621E-2</v>
      </c>
      <c r="X32" s="101">
        <f t="shared" si="4"/>
        <v>-2.6367331625908083E-2</v>
      </c>
      <c r="Y32" s="101">
        <f t="shared" si="4"/>
        <v>-3.4468121888599559E-2</v>
      </c>
      <c r="Z32" s="101">
        <f t="shared" si="4"/>
        <v>-4.2568912151291022E-2</v>
      </c>
      <c r="AA32" s="101">
        <f t="shared" si="4"/>
        <v>-5.0669702413982498E-2</v>
      </c>
      <c r="AB32" s="103">
        <f t="shared" si="4"/>
        <v>-5.877049267667396E-2</v>
      </c>
    </row>
    <row r="33" spans="1:28">
      <c r="A33" s="408"/>
      <c r="B33" s="232">
        <v>300</v>
      </c>
      <c r="C33" s="101">
        <f t="shared" si="5"/>
        <v>4.6834775143719892E-2</v>
      </c>
      <c r="D33" s="103">
        <f t="shared" si="5"/>
        <v>0.5203863904857764</v>
      </c>
      <c r="G33" s="408"/>
      <c r="H33" s="130">
        <f t="shared" si="7"/>
        <v>1.2857142857142856</v>
      </c>
      <c r="I33" s="101">
        <f t="shared" si="6"/>
        <v>4.8604741576148781E-2</v>
      </c>
      <c r="J33" s="103">
        <f t="shared" si="6"/>
        <v>0.54005268417943086</v>
      </c>
      <c r="L33" s="408"/>
      <c r="M33" s="105">
        <f t="shared" si="3"/>
        <v>400</v>
      </c>
      <c r="N33" s="101">
        <f t="shared" si="4"/>
        <v>6.244636685829319E-2</v>
      </c>
      <c r="O33" s="101">
        <f t="shared" si="4"/>
        <v>5.4345576595601727E-2</v>
      </c>
      <c r="P33" s="101">
        <f t="shared" si="4"/>
        <v>4.6244786332910265E-2</v>
      </c>
      <c r="Q33" s="101">
        <f t="shared" si="4"/>
        <v>3.8143996070218802E-2</v>
      </c>
      <c r="R33" s="101">
        <f t="shared" si="4"/>
        <v>3.0043205807527333E-2</v>
      </c>
      <c r="S33" s="101">
        <f t="shared" si="4"/>
        <v>2.1942415544835871E-2</v>
      </c>
      <c r="T33" s="101">
        <f t="shared" si="4"/>
        <v>1.3841625282144408E-2</v>
      </c>
      <c r="U33" s="101">
        <f t="shared" si="4"/>
        <v>5.7408350194529459E-3</v>
      </c>
      <c r="V33" s="101">
        <f t="shared" si="4"/>
        <v>-2.3599552432385096E-3</v>
      </c>
      <c r="W33" s="101">
        <f t="shared" si="4"/>
        <v>-1.0460745505929972E-2</v>
      </c>
      <c r="X33" s="101">
        <f t="shared" si="4"/>
        <v>-1.8561535768621434E-2</v>
      </c>
      <c r="Y33" s="101">
        <f t="shared" si="4"/>
        <v>-2.6662326031312911E-2</v>
      </c>
      <c r="Z33" s="101">
        <f t="shared" si="4"/>
        <v>-3.4763116294004373E-2</v>
      </c>
      <c r="AA33" s="101">
        <f t="shared" si="4"/>
        <v>-4.2863906556695849E-2</v>
      </c>
      <c r="AB33" s="103">
        <f t="shared" si="4"/>
        <v>-5.0964696819387312E-2</v>
      </c>
    </row>
    <row r="34" spans="1:28">
      <c r="A34" s="408"/>
      <c r="B34" s="232">
        <v>350</v>
      </c>
      <c r="C34" s="101">
        <f t="shared" si="5"/>
        <v>5.4640571001006541E-2</v>
      </c>
      <c r="D34" s="103">
        <f t="shared" si="5"/>
        <v>0.60711745556673913</v>
      </c>
      <c r="G34" s="408"/>
      <c r="H34" s="130">
        <f t="shared" si="7"/>
        <v>1.4999999999999998</v>
      </c>
      <c r="I34" s="101">
        <f t="shared" si="6"/>
        <v>5.6705531838840244E-2</v>
      </c>
      <c r="J34" s="103">
        <f t="shared" si="6"/>
        <v>0.63006146487600267</v>
      </c>
      <c r="L34" s="408"/>
      <c r="M34" s="105">
        <f t="shared" si="3"/>
        <v>450</v>
      </c>
      <c r="N34" s="101">
        <f t="shared" si="4"/>
        <v>7.0252162715579838E-2</v>
      </c>
      <c r="O34" s="101">
        <f t="shared" si="4"/>
        <v>6.2151372452888376E-2</v>
      </c>
      <c r="P34" s="101">
        <f t="shared" si="4"/>
        <v>5.4050582190196914E-2</v>
      </c>
      <c r="Q34" s="101">
        <f t="shared" si="4"/>
        <v>4.5949791927505451E-2</v>
      </c>
      <c r="R34" s="101">
        <f t="shared" si="4"/>
        <v>3.7849001664813982E-2</v>
      </c>
      <c r="S34" s="101">
        <f t="shared" si="4"/>
        <v>2.9748211402122519E-2</v>
      </c>
      <c r="T34" s="101">
        <f t="shared" si="4"/>
        <v>2.1647421139431057E-2</v>
      </c>
      <c r="U34" s="101">
        <f t="shared" si="4"/>
        <v>1.3546630876739595E-2</v>
      </c>
      <c r="V34" s="101">
        <f t="shared" si="4"/>
        <v>5.4458406140481391E-3</v>
      </c>
      <c r="W34" s="101">
        <f t="shared" si="4"/>
        <v>-2.6549496486433233E-3</v>
      </c>
      <c r="X34" s="101">
        <f t="shared" si="4"/>
        <v>-1.0755739911334786E-2</v>
      </c>
      <c r="Y34" s="101">
        <f t="shared" si="4"/>
        <v>-1.8856530174026262E-2</v>
      </c>
      <c r="Z34" s="101">
        <f t="shared" si="4"/>
        <v>-2.6957320436717724E-2</v>
      </c>
      <c r="AA34" s="101">
        <f t="shared" si="4"/>
        <v>-3.5058110699409201E-2</v>
      </c>
      <c r="AB34" s="103">
        <f t="shared" si="4"/>
        <v>-4.3158900962100663E-2</v>
      </c>
    </row>
    <row r="35" spans="1:28">
      <c r="A35" s="408"/>
      <c r="B35" s="239">
        <v>400</v>
      </c>
      <c r="C35" s="113">
        <f t="shared" si="5"/>
        <v>6.244636685829319E-2</v>
      </c>
      <c r="D35" s="118">
        <f t="shared" si="5"/>
        <v>0.69384852064770197</v>
      </c>
      <c r="G35" s="408"/>
      <c r="H35" s="130">
        <f t="shared" si="7"/>
        <v>1.714285714285714</v>
      </c>
      <c r="I35" s="101">
        <f t="shared" si="6"/>
        <v>6.4806322101531699E-2</v>
      </c>
      <c r="J35" s="103">
        <f t="shared" si="6"/>
        <v>0.72007024557257449</v>
      </c>
      <c r="L35" s="408"/>
      <c r="M35" s="105">
        <f t="shared" si="3"/>
        <v>500</v>
      </c>
      <c r="N35" s="101">
        <f t="shared" si="4"/>
        <v>7.8057958572866487E-2</v>
      </c>
      <c r="O35" s="101">
        <f t="shared" si="4"/>
        <v>6.9957168310175025E-2</v>
      </c>
      <c r="P35" s="101">
        <f t="shared" si="4"/>
        <v>6.1856378047483562E-2</v>
      </c>
      <c r="Q35" s="101">
        <f t="shared" si="4"/>
        <v>5.37555877847921E-2</v>
      </c>
      <c r="R35" s="101">
        <f t="shared" si="4"/>
        <v>4.5654797522100631E-2</v>
      </c>
      <c r="S35" s="101">
        <f t="shared" si="4"/>
        <v>3.7554007259409168E-2</v>
      </c>
      <c r="T35" s="101">
        <f t="shared" si="4"/>
        <v>2.9453216996717706E-2</v>
      </c>
      <c r="U35" s="101">
        <f t="shared" si="4"/>
        <v>2.1352426734026243E-2</v>
      </c>
      <c r="V35" s="101">
        <f t="shared" si="4"/>
        <v>1.3251636471334788E-2</v>
      </c>
      <c r="W35" s="101">
        <f t="shared" si="4"/>
        <v>5.1508462086433254E-3</v>
      </c>
      <c r="X35" s="101">
        <f t="shared" si="4"/>
        <v>-2.949944054048137E-3</v>
      </c>
      <c r="Y35" s="101">
        <f t="shared" si="4"/>
        <v>-1.1050734316739613E-2</v>
      </c>
      <c r="Z35" s="101">
        <f t="shared" si="4"/>
        <v>-1.9151524579431076E-2</v>
      </c>
      <c r="AA35" s="101">
        <f t="shared" si="4"/>
        <v>-2.7252314842122552E-2</v>
      </c>
      <c r="AB35" s="103">
        <f t="shared" si="4"/>
        <v>-3.5353105104814014E-2</v>
      </c>
    </row>
    <row r="36" spans="1:28">
      <c r="A36" s="408"/>
      <c r="B36" s="239">
        <v>450</v>
      </c>
      <c r="C36" s="113">
        <f t="shared" si="5"/>
        <v>7.0252162715579838E-2</v>
      </c>
      <c r="D36" s="118">
        <f t="shared" si="5"/>
        <v>0.7805795857286647</v>
      </c>
      <c r="G36" s="408"/>
      <c r="H36" s="130">
        <f t="shared" si="7"/>
        <v>1.9285714285714282</v>
      </c>
      <c r="I36" s="101">
        <f t="shared" si="6"/>
        <v>7.2907112364223162E-2</v>
      </c>
      <c r="J36" s="103">
        <f t="shared" si="6"/>
        <v>0.8100790262691463</v>
      </c>
      <c r="L36" s="408"/>
      <c r="M36" s="105">
        <f t="shared" si="3"/>
        <v>550</v>
      </c>
      <c r="N36" s="101">
        <f t="shared" si="4"/>
        <v>8.5863754430153136E-2</v>
      </c>
      <c r="O36" s="101">
        <f t="shared" si="4"/>
        <v>7.7762964167461673E-2</v>
      </c>
      <c r="P36" s="101">
        <f t="shared" si="4"/>
        <v>6.9662173904770211E-2</v>
      </c>
      <c r="Q36" s="101">
        <f t="shared" si="4"/>
        <v>6.1561383642078749E-2</v>
      </c>
      <c r="R36" s="101">
        <f t="shared" si="4"/>
        <v>5.3460593379387279E-2</v>
      </c>
      <c r="S36" s="101">
        <f t="shared" si="4"/>
        <v>4.5359803116695817E-2</v>
      </c>
      <c r="T36" s="101">
        <f t="shared" si="4"/>
        <v>3.7259012854004354E-2</v>
      </c>
      <c r="U36" s="101">
        <f t="shared" si="4"/>
        <v>2.9158222591312892E-2</v>
      </c>
      <c r="V36" s="101">
        <f t="shared" si="4"/>
        <v>2.1057432328621437E-2</v>
      </c>
      <c r="W36" s="101">
        <f t="shared" si="4"/>
        <v>1.2956642065929974E-2</v>
      </c>
      <c r="X36" s="101">
        <f t="shared" si="4"/>
        <v>4.8558518032385117E-3</v>
      </c>
      <c r="Y36" s="101">
        <f t="shared" si="4"/>
        <v>-3.2449384594529646E-3</v>
      </c>
      <c r="Z36" s="101">
        <f t="shared" si="4"/>
        <v>-1.1345728722144427E-2</v>
      </c>
      <c r="AA36" s="101">
        <f t="shared" si="4"/>
        <v>-1.9446518984835903E-2</v>
      </c>
      <c r="AB36" s="103">
        <f t="shared" si="4"/>
        <v>-2.7547309247527366E-2</v>
      </c>
    </row>
    <row r="37" spans="1:28">
      <c r="A37" s="408"/>
      <c r="B37" s="239">
        <v>500</v>
      </c>
      <c r="C37" s="113">
        <f t="shared" si="5"/>
        <v>7.8057958572866487E-2</v>
      </c>
      <c r="D37" s="118">
        <f t="shared" si="5"/>
        <v>0.86731065080962744</v>
      </c>
      <c r="G37" s="408"/>
      <c r="H37" s="130">
        <f t="shared" si="7"/>
        <v>2.1428571428571423</v>
      </c>
      <c r="I37" s="101">
        <f t="shared" si="6"/>
        <v>8.1007902626914624E-2</v>
      </c>
      <c r="J37" s="103">
        <f t="shared" si="6"/>
        <v>0.90008780696571811</v>
      </c>
      <c r="L37" s="408"/>
      <c r="M37" s="105">
        <f t="shared" si="3"/>
        <v>600</v>
      </c>
      <c r="N37" s="101">
        <f t="shared" si="4"/>
        <v>9.3669550287439785E-2</v>
      </c>
      <c r="O37" s="101">
        <f t="shared" si="4"/>
        <v>8.5568760024748322E-2</v>
      </c>
      <c r="P37" s="101">
        <f t="shared" si="4"/>
        <v>7.746796976205686E-2</v>
      </c>
      <c r="Q37" s="101">
        <f t="shared" si="4"/>
        <v>6.9367179499365397E-2</v>
      </c>
      <c r="R37" s="101">
        <f t="shared" si="4"/>
        <v>6.1266389236673928E-2</v>
      </c>
      <c r="S37" s="101">
        <f t="shared" si="4"/>
        <v>5.3165598973982466E-2</v>
      </c>
      <c r="T37" s="101">
        <f t="shared" si="4"/>
        <v>4.5064808711291003E-2</v>
      </c>
      <c r="U37" s="101">
        <f t="shared" si="4"/>
        <v>3.6964018448599541E-2</v>
      </c>
      <c r="V37" s="101">
        <f t="shared" si="4"/>
        <v>2.8863228185908085E-2</v>
      </c>
      <c r="W37" s="101">
        <f t="shared" si="4"/>
        <v>2.0762437923216623E-2</v>
      </c>
      <c r="X37" s="101">
        <f t="shared" si="4"/>
        <v>1.266164766052516E-2</v>
      </c>
      <c r="Y37" s="101">
        <f t="shared" si="4"/>
        <v>4.5608573978336842E-3</v>
      </c>
      <c r="Z37" s="101">
        <f t="shared" si="4"/>
        <v>-3.5399328648577782E-3</v>
      </c>
      <c r="AA37" s="101">
        <f t="shared" si="4"/>
        <v>-1.1640723127549255E-2</v>
      </c>
      <c r="AB37" s="103">
        <f t="shared" si="4"/>
        <v>-1.9741513390240717E-2</v>
      </c>
    </row>
    <row r="38" spans="1:28">
      <c r="A38" s="408"/>
      <c r="B38" s="239">
        <v>550</v>
      </c>
      <c r="C38" s="113">
        <f t="shared" si="5"/>
        <v>8.5863754430153136E-2</v>
      </c>
      <c r="D38" s="118">
        <f t="shared" si="5"/>
        <v>0.95404171589059028</v>
      </c>
      <c r="G38" s="408"/>
      <c r="H38" s="130">
        <f t="shared" si="7"/>
        <v>2.3571428571428568</v>
      </c>
      <c r="I38" s="101">
        <f t="shared" si="6"/>
        <v>8.91086928896061E-2</v>
      </c>
      <c r="J38" s="103">
        <f t="shared" si="6"/>
        <v>0.99009658766228992</v>
      </c>
      <c r="L38" s="408"/>
      <c r="M38" s="105">
        <f t="shared" si="3"/>
        <v>650</v>
      </c>
      <c r="N38" s="101">
        <f t="shared" si="4"/>
        <v>0.10147534614472643</v>
      </c>
      <c r="O38" s="101">
        <f t="shared" si="4"/>
        <v>9.3374555882034971E-2</v>
      </c>
      <c r="P38" s="101">
        <f t="shared" si="4"/>
        <v>8.5273765619343508E-2</v>
      </c>
      <c r="Q38" s="101">
        <f t="shared" si="4"/>
        <v>7.7172975356652046E-2</v>
      </c>
      <c r="R38" s="101">
        <f t="shared" si="4"/>
        <v>6.907218509396057E-2</v>
      </c>
      <c r="S38" s="101">
        <f t="shared" si="4"/>
        <v>6.0971394831269114E-2</v>
      </c>
      <c r="T38" s="101">
        <f t="shared" si="4"/>
        <v>5.2870604568577652E-2</v>
      </c>
      <c r="U38" s="101">
        <f t="shared" si="4"/>
        <v>4.4769814305886189E-2</v>
      </c>
      <c r="V38" s="101">
        <f t="shared" si="4"/>
        <v>3.6669024043194734E-2</v>
      </c>
      <c r="W38" s="101">
        <f t="shared" si="4"/>
        <v>2.8568233780503272E-2</v>
      </c>
      <c r="X38" s="101">
        <f t="shared" si="4"/>
        <v>2.0467443517811809E-2</v>
      </c>
      <c r="Y38" s="101">
        <f t="shared" si="4"/>
        <v>1.2366653255120333E-2</v>
      </c>
      <c r="Z38" s="101">
        <f t="shared" si="4"/>
        <v>4.2658629924288705E-3</v>
      </c>
      <c r="AA38" s="101">
        <f t="shared" si="4"/>
        <v>-3.8349272702626058E-3</v>
      </c>
      <c r="AB38" s="103">
        <f t="shared" si="4"/>
        <v>-1.1935717532954068E-2</v>
      </c>
    </row>
    <row r="39" spans="1:28" ht="17" thickBot="1">
      <c r="A39" s="408"/>
      <c r="B39" s="239">
        <v>600</v>
      </c>
      <c r="C39" s="113">
        <f t="shared" si="5"/>
        <v>9.3669550287439785E-2</v>
      </c>
      <c r="D39" s="118">
        <f t="shared" si="5"/>
        <v>1.0407727809715528</v>
      </c>
      <c r="G39" s="408"/>
      <c r="H39" s="130">
        <f t="shared" si="7"/>
        <v>2.5714285714285712</v>
      </c>
      <c r="I39" s="101">
        <f t="shared" si="6"/>
        <v>9.7209483152297563E-2</v>
      </c>
      <c r="J39" s="103">
        <f t="shared" si="6"/>
        <v>1.0801053683588617</v>
      </c>
      <c r="L39" s="409"/>
      <c r="M39" s="96">
        <f t="shared" si="3"/>
        <v>700</v>
      </c>
      <c r="N39" s="98">
        <f t="shared" si="4"/>
        <v>0.10928114200201308</v>
      </c>
      <c r="O39" s="98">
        <f t="shared" si="4"/>
        <v>0.10118035173932162</v>
      </c>
      <c r="P39" s="98">
        <f t="shared" si="4"/>
        <v>9.3079561476630157E-2</v>
      </c>
      <c r="Q39" s="98">
        <f t="shared" si="4"/>
        <v>8.4978771213938695E-2</v>
      </c>
      <c r="R39" s="98">
        <f t="shared" si="4"/>
        <v>7.6877980951247232E-2</v>
      </c>
      <c r="S39" s="98">
        <f t="shared" si="4"/>
        <v>6.8777190688555756E-2</v>
      </c>
      <c r="T39" s="98">
        <f t="shared" si="4"/>
        <v>6.0676400425864301E-2</v>
      </c>
      <c r="U39" s="98">
        <f t="shared" si="4"/>
        <v>5.2575610163172838E-2</v>
      </c>
      <c r="V39" s="98">
        <f t="shared" si="4"/>
        <v>4.4474819900481383E-2</v>
      </c>
      <c r="W39" s="98">
        <f t="shared" si="4"/>
        <v>3.637402963778992E-2</v>
      </c>
      <c r="X39" s="98">
        <f t="shared" si="4"/>
        <v>2.8273239375098458E-2</v>
      </c>
      <c r="Y39" s="98">
        <f t="shared" si="4"/>
        <v>2.0172449112406982E-2</v>
      </c>
      <c r="Z39" s="98">
        <f t="shared" si="4"/>
        <v>1.2071658849715519E-2</v>
      </c>
      <c r="AA39" s="98">
        <f t="shared" si="4"/>
        <v>3.9708685870240429E-3</v>
      </c>
      <c r="AB39" s="104">
        <f t="shared" si="4"/>
        <v>-4.1299216756674195E-3</v>
      </c>
    </row>
    <row r="40" spans="1:28">
      <c r="A40" s="408"/>
      <c r="B40" s="239">
        <v>650</v>
      </c>
      <c r="C40" s="113">
        <f t="shared" si="5"/>
        <v>0.10147534614472643</v>
      </c>
      <c r="D40" s="118">
        <f t="shared" si="5"/>
        <v>1.1275038460525157</v>
      </c>
      <c r="G40" s="408"/>
      <c r="H40" s="130">
        <f t="shared" si="7"/>
        <v>2.7857142857142856</v>
      </c>
      <c r="I40" s="101">
        <f t="shared" si="6"/>
        <v>0.10531027341498904</v>
      </c>
      <c r="J40" s="103">
        <f t="shared" si="6"/>
        <v>1.1701141490554336</v>
      </c>
    </row>
    <row r="41" spans="1:28" ht="17" thickBot="1">
      <c r="A41" s="409"/>
      <c r="B41" s="240">
        <v>700</v>
      </c>
      <c r="C41" s="121">
        <f t="shared" si="5"/>
        <v>0.10928114200201308</v>
      </c>
      <c r="D41" s="119">
        <f t="shared" si="5"/>
        <v>1.2142349111334783</v>
      </c>
      <c r="G41" s="409"/>
      <c r="H41" s="242">
        <v>3</v>
      </c>
      <c r="I41" s="98">
        <f t="shared" si="6"/>
        <v>0.1134110636776805</v>
      </c>
      <c r="J41" s="104">
        <f t="shared" si="6"/>
        <v>1.2601229297520056</v>
      </c>
    </row>
    <row r="42" spans="1:28">
      <c r="C42" t="s">
        <v>394</v>
      </c>
      <c r="D42" t="s">
        <v>395</v>
      </c>
      <c r="G42" t="s">
        <v>407</v>
      </c>
      <c r="H42">
        <f>H41/14</f>
        <v>0.21428571428571427</v>
      </c>
      <c r="I42" t="s">
        <v>394</v>
      </c>
      <c r="J42" t="s">
        <v>395</v>
      </c>
    </row>
    <row r="43" spans="1:28" ht="17" thickBot="1">
      <c r="L43" s="90" t="s">
        <v>408</v>
      </c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</row>
    <row r="44" spans="1:28">
      <c r="A44" s="79" t="s">
        <v>120</v>
      </c>
      <c r="B44" s="90"/>
      <c r="C44" s="90"/>
      <c r="D44" s="90"/>
      <c r="E44" s="90"/>
      <c r="F44" s="90"/>
      <c r="L44" s="41"/>
      <c r="M44" s="94"/>
      <c r="N44" s="404" t="s">
        <v>321</v>
      </c>
      <c r="O44" s="404"/>
      <c r="P44" s="404"/>
      <c r="Q44" s="404"/>
      <c r="R44" s="404"/>
      <c r="S44" s="404"/>
      <c r="T44" s="404"/>
      <c r="U44" s="404"/>
      <c r="V44" s="404"/>
      <c r="W44" s="404"/>
      <c r="X44" s="404"/>
      <c r="Y44" s="404"/>
      <c r="Z44" s="404"/>
      <c r="AA44" s="404"/>
      <c r="AB44" s="405"/>
    </row>
    <row r="45" spans="1:28">
      <c r="A45">
        <v>43.5</v>
      </c>
      <c r="B45" t="s">
        <v>369</v>
      </c>
      <c r="C45" t="s">
        <v>370</v>
      </c>
      <c r="L45" s="106"/>
      <c r="M45" s="107"/>
      <c r="N45" s="243">
        <v>0</v>
      </c>
      <c r="O45" s="243">
        <f t="shared" ref="O45:AA45" si="8">N45+$H$42</f>
        <v>0.21428571428571427</v>
      </c>
      <c r="P45" s="243">
        <f t="shared" si="8"/>
        <v>0.42857142857142855</v>
      </c>
      <c r="Q45" s="243">
        <f t="shared" si="8"/>
        <v>0.64285714285714279</v>
      </c>
      <c r="R45" s="243">
        <f t="shared" si="8"/>
        <v>0.8571428571428571</v>
      </c>
      <c r="S45" s="243">
        <f t="shared" si="8"/>
        <v>1.0714285714285714</v>
      </c>
      <c r="T45" s="243">
        <f t="shared" si="8"/>
        <v>1.2857142857142856</v>
      </c>
      <c r="U45" s="243">
        <f t="shared" si="8"/>
        <v>1.4999999999999998</v>
      </c>
      <c r="V45" s="243">
        <f t="shared" si="8"/>
        <v>1.714285714285714</v>
      </c>
      <c r="W45" s="243">
        <f t="shared" si="8"/>
        <v>1.9285714285714282</v>
      </c>
      <c r="X45" s="243">
        <f t="shared" si="8"/>
        <v>2.1428571428571423</v>
      </c>
      <c r="Y45" s="243">
        <f t="shared" si="8"/>
        <v>2.3571428571428568</v>
      </c>
      <c r="Z45" s="243">
        <f t="shared" si="8"/>
        <v>2.5714285714285712</v>
      </c>
      <c r="AA45" s="243">
        <f t="shared" si="8"/>
        <v>2.7857142857142856</v>
      </c>
      <c r="AB45" s="244">
        <v>3</v>
      </c>
    </row>
    <row r="46" spans="1:28">
      <c r="A46">
        <v>38</v>
      </c>
      <c r="B46" t="s">
        <v>381</v>
      </c>
      <c r="C46" t="s">
        <v>383</v>
      </c>
      <c r="L46" s="408" t="s">
        <v>322</v>
      </c>
      <c r="M46" s="105">
        <f>B27</f>
        <v>0</v>
      </c>
      <c r="N46" s="101">
        <f>($G$22*($M46/1000))-($J$22*N$45)</f>
        <v>0</v>
      </c>
      <c r="O46" s="101">
        <f t="shared" ref="O46:AB46" si="9">($G$22*($M46/1000))-($J$22*O$45)</f>
        <v>-9.0008780696571825E-2</v>
      </c>
      <c r="P46" s="101">
        <f t="shared" si="9"/>
        <v>-0.18001756139314365</v>
      </c>
      <c r="Q46" s="101">
        <f t="shared" si="9"/>
        <v>-0.27002634208971543</v>
      </c>
      <c r="R46" s="101">
        <f t="shared" si="9"/>
        <v>-0.3600351227862873</v>
      </c>
      <c r="S46" s="101">
        <f t="shared" si="9"/>
        <v>-0.45004390348285911</v>
      </c>
      <c r="T46" s="101">
        <f t="shared" si="9"/>
        <v>-0.54005268417943086</v>
      </c>
      <c r="U46" s="101">
        <f t="shared" si="9"/>
        <v>-0.63006146487600267</v>
      </c>
      <c r="V46" s="101">
        <f t="shared" si="9"/>
        <v>-0.72007024557257449</v>
      </c>
      <c r="W46" s="101">
        <f t="shared" si="9"/>
        <v>-0.8100790262691463</v>
      </c>
      <c r="X46" s="101">
        <f t="shared" si="9"/>
        <v>-0.90008780696571811</v>
      </c>
      <c r="Y46" s="101">
        <f t="shared" si="9"/>
        <v>-0.99009658766228992</v>
      </c>
      <c r="Z46" s="101">
        <f t="shared" si="9"/>
        <v>-1.0801053683588617</v>
      </c>
      <c r="AA46" s="101">
        <f t="shared" si="9"/>
        <v>-1.1701141490554336</v>
      </c>
      <c r="AB46" s="101">
        <f t="shared" si="9"/>
        <v>-1.2601229297520056</v>
      </c>
    </row>
    <row r="47" spans="1:28">
      <c r="A47">
        <v>26.8</v>
      </c>
      <c r="B47" t="s">
        <v>382</v>
      </c>
      <c r="C47" t="s">
        <v>383</v>
      </c>
      <c r="L47" s="408"/>
      <c r="M47" s="105">
        <f t="shared" ref="M47:M60" si="10">B28</f>
        <v>50</v>
      </c>
      <c r="N47" s="101">
        <f t="shared" ref="N47:AB60" si="11">($G$22*($M47/1000))-($J$22*N$45)</f>
        <v>8.6731065080962746E-2</v>
      </c>
      <c r="O47" s="101">
        <f t="shared" si="11"/>
        <v>-3.2777156156090781E-3</v>
      </c>
      <c r="P47" s="101">
        <f t="shared" si="11"/>
        <v>-9.3286496312180903E-2</v>
      </c>
      <c r="Q47" s="101">
        <f t="shared" si="11"/>
        <v>-0.1832952770087527</v>
      </c>
      <c r="R47" s="101">
        <f t="shared" si="11"/>
        <v>-0.27330405770532457</v>
      </c>
      <c r="S47" s="101">
        <f t="shared" si="11"/>
        <v>-0.36331283840189638</v>
      </c>
      <c r="T47" s="101">
        <f t="shared" si="11"/>
        <v>-0.45332161909846813</v>
      </c>
      <c r="U47" s="101">
        <f t="shared" si="11"/>
        <v>-0.54333039979503994</v>
      </c>
      <c r="V47" s="101">
        <f t="shared" si="11"/>
        <v>-0.63333918049161175</v>
      </c>
      <c r="W47" s="101">
        <f t="shared" si="11"/>
        <v>-0.72334796118818356</v>
      </c>
      <c r="X47" s="101">
        <f t="shared" si="11"/>
        <v>-0.81335674188475537</v>
      </c>
      <c r="Y47" s="101">
        <f t="shared" si="11"/>
        <v>-0.90336552258132718</v>
      </c>
      <c r="Z47" s="101">
        <f t="shared" si="11"/>
        <v>-0.993374303277899</v>
      </c>
      <c r="AA47" s="101">
        <f t="shared" si="11"/>
        <v>-1.0833830839744709</v>
      </c>
      <c r="AB47" s="101">
        <f t="shared" si="11"/>
        <v>-1.1733918646710428</v>
      </c>
    </row>
    <row r="48" spans="1:28">
      <c r="A48">
        <f>AVERAGE(A46:A47)</f>
        <v>32.4</v>
      </c>
      <c r="B48" t="s">
        <v>386</v>
      </c>
      <c r="L48" s="408"/>
      <c r="M48" s="105">
        <f t="shared" si="10"/>
        <v>100</v>
      </c>
      <c r="N48" s="101">
        <f t="shared" si="11"/>
        <v>0.17346213016192549</v>
      </c>
      <c r="O48" s="101">
        <f t="shared" si="11"/>
        <v>8.3453349465353668E-2</v>
      </c>
      <c r="P48" s="101">
        <f t="shared" si="11"/>
        <v>-6.5554312312181562E-3</v>
      </c>
      <c r="Q48" s="101">
        <f t="shared" si="11"/>
        <v>-9.6564211927789939E-2</v>
      </c>
      <c r="R48" s="101">
        <f t="shared" si="11"/>
        <v>-0.18657299262436181</v>
      </c>
      <c r="S48" s="101">
        <f t="shared" si="11"/>
        <v>-0.27658177332093359</v>
      </c>
      <c r="T48" s="101">
        <f t="shared" si="11"/>
        <v>-0.3665905540175054</v>
      </c>
      <c r="U48" s="101">
        <f t="shared" si="11"/>
        <v>-0.45659933471407721</v>
      </c>
      <c r="V48" s="101">
        <f t="shared" si="11"/>
        <v>-0.54660811541064902</v>
      </c>
      <c r="W48" s="101">
        <f t="shared" si="11"/>
        <v>-0.63661689610722083</v>
      </c>
      <c r="X48" s="101">
        <f t="shared" si="11"/>
        <v>-0.72662567680379264</v>
      </c>
      <c r="Y48" s="101">
        <f t="shared" si="11"/>
        <v>-0.81663445750036445</v>
      </c>
      <c r="Z48" s="101">
        <f t="shared" si="11"/>
        <v>-0.90664323819693626</v>
      </c>
      <c r="AA48" s="101">
        <f t="shared" si="11"/>
        <v>-0.99665201889350818</v>
      </c>
      <c r="AB48" s="101">
        <f t="shared" si="11"/>
        <v>-1.0866607995900801</v>
      </c>
    </row>
    <row r="49" spans="1:28">
      <c r="A49">
        <v>3.16</v>
      </c>
      <c r="B49" t="s">
        <v>213</v>
      </c>
      <c r="C49" t="s">
        <v>371</v>
      </c>
      <c r="L49" s="408"/>
      <c r="M49" s="105">
        <f t="shared" si="10"/>
        <v>150</v>
      </c>
      <c r="N49" s="101">
        <f t="shared" si="11"/>
        <v>0.2601931952428882</v>
      </c>
      <c r="O49" s="101">
        <f t="shared" si="11"/>
        <v>0.17018441454631639</v>
      </c>
      <c r="P49" s="101">
        <f t="shared" si="11"/>
        <v>8.0175633849744549E-2</v>
      </c>
      <c r="Q49" s="101">
        <f t="shared" si="11"/>
        <v>-9.8331468468272343E-3</v>
      </c>
      <c r="R49" s="101">
        <f t="shared" si="11"/>
        <v>-9.98419275433991E-2</v>
      </c>
      <c r="S49" s="101">
        <f t="shared" si="11"/>
        <v>-0.18985070823997091</v>
      </c>
      <c r="T49" s="101">
        <f t="shared" si="11"/>
        <v>-0.27985948893654267</v>
      </c>
      <c r="U49" s="101">
        <f t="shared" si="11"/>
        <v>-0.36986826963311448</v>
      </c>
      <c r="V49" s="101">
        <f t="shared" si="11"/>
        <v>-0.45987705032968629</v>
      </c>
      <c r="W49" s="101">
        <f t="shared" si="11"/>
        <v>-0.5498858310262581</v>
      </c>
      <c r="X49" s="101">
        <f t="shared" si="11"/>
        <v>-0.63989461172282991</v>
      </c>
      <c r="Y49" s="101">
        <f t="shared" si="11"/>
        <v>-0.72990339241940172</v>
      </c>
      <c r="Z49" s="101">
        <f t="shared" si="11"/>
        <v>-0.81991217311597353</v>
      </c>
      <c r="AA49" s="101">
        <f t="shared" si="11"/>
        <v>-0.90992095381254545</v>
      </c>
      <c r="AB49" s="101">
        <f t="shared" si="11"/>
        <v>-0.99992973450911737</v>
      </c>
    </row>
    <row r="50" spans="1:28">
      <c r="A50">
        <v>1.7</v>
      </c>
      <c r="B50" t="s">
        <v>372</v>
      </c>
      <c r="L50" s="408"/>
      <c r="M50" s="105">
        <f t="shared" si="10"/>
        <v>200</v>
      </c>
      <c r="N50" s="101">
        <f t="shared" si="11"/>
        <v>0.34692426032385099</v>
      </c>
      <c r="O50" s="101">
        <f t="shared" si="11"/>
        <v>0.25691547962727918</v>
      </c>
      <c r="P50" s="101">
        <f t="shared" si="11"/>
        <v>0.16690669893070734</v>
      </c>
      <c r="Q50" s="101">
        <f t="shared" si="11"/>
        <v>7.6897918234135554E-2</v>
      </c>
      <c r="R50" s="101">
        <f t="shared" si="11"/>
        <v>-1.3110862462436312E-2</v>
      </c>
      <c r="S50" s="101">
        <f t="shared" si="11"/>
        <v>-0.10311964315900812</v>
      </c>
      <c r="T50" s="101">
        <f t="shared" si="11"/>
        <v>-0.19312842385557988</v>
      </c>
      <c r="U50" s="101">
        <f t="shared" si="11"/>
        <v>-0.28313720455215169</v>
      </c>
      <c r="V50" s="101">
        <f t="shared" si="11"/>
        <v>-0.3731459852487235</v>
      </c>
      <c r="W50" s="101">
        <f t="shared" si="11"/>
        <v>-0.46315476594529531</v>
      </c>
      <c r="X50" s="101">
        <f t="shared" si="11"/>
        <v>-0.55316354664186718</v>
      </c>
      <c r="Y50" s="101">
        <f t="shared" si="11"/>
        <v>-0.64317232733843888</v>
      </c>
      <c r="Z50" s="101">
        <f t="shared" si="11"/>
        <v>-0.7331811080350108</v>
      </c>
      <c r="AA50" s="101">
        <f t="shared" si="11"/>
        <v>-0.82318988873158272</v>
      </c>
      <c r="AB50" s="101">
        <f t="shared" si="11"/>
        <v>-0.91319866942815464</v>
      </c>
    </row>
    <row r="51" spans="1:28">
      <c r="A51">
        <v>0.88</v>
      </c>
      <c r="B51" t="s">
        <v>387</v>
      </c>
      <c r="C51" t="s">
        <v>211</v>
      </c>
      <c r="L51" s="408"/>
      <c r="M51" s="105">
        <f t="shared" si="10"/>
        <v>250</v>
      </c>
      <c r="N51" s="101">
        <f t="shared" si="11"/>
        <v>0.43365532540481372</v>
      </c>
      <c r="O51" s="101">
        <f t="shared" si="11"/>
        <v>0.34364654470824191</v>
      </c>
      <c r="P51" s="101">
        <f t="shared" si="11"/>
        <v>0.25363776401167004</v>
      </c>
      <c r="Q51" s="101">
        <f t="shared" si="11"/>
        <v>0.16362898331509829</v>
      </c>
      <c r="R51" s="101">
        <f t="shared" si="11"/>
        <v>7.362020261852642E-2</v>
      </c>
      <c r="S51" s="101">
        <f t="shared" si="11"/>
        <v>-1.638857807804539E-2</v>
      </c>
      <c r="T51" s="101">
        <f t="shared" si="11"/>
        <v>-0.10639735877461715</v>
      </c>
      <c r="U51" s="101">
        <f t="shared" si="11"/>
        <v>-0.19640613947118896</v>
      </c>
      <c r="V51" s="101">
        <f t="shared" si="11"/>
        <v>-0.28641492016776077</v>
      </c>
      <c r="W51" s="101">
        <f t="shared" si="11"/>
        <v>-0.37642370086433258</v>
      </c>
      <c r="X51" s="101">
        <f t="shared" si="11"/>
        <v>-0.46643248156090439</v>
      </c>
      <c r="Y51" s="101">
        <f t="shared" si="11"/>
        <v>-0.55644126225747614</v>
      </c>
      <c r="Z51" s="101">
        <f t="shared" si="11"/>
        <v>-0.64645004295404807</v>
      </c>
      <c r="AA51" s="101">
        <f t="shared" si="11"/>
        <v>-0.73645882365061999</v>
      </c>
      <c r="AB51" s="101">
        <f t="shared" si="11"/>
        <v>-0.82646760434719191</v>
      </c>
    </row>
    <row r="52" spans="1:28">
      <c r="L52" s="408"/>
      <c r="M52" s="105">
        <f t="shared" si="10"/>
        <v>300</v>
      </c>
      <c r="N52" s="101">
        <f t="shared" si="11"/>
        <v>0.5203863904857764</v>
      </c>
      <c r="O52" s="101">
        <f t="shared" si="11"/>
        <v>0.43037760978920458</v>
      </c>
      <c r="P52" s="101">
        <f t="shared" si="11"/>
        <v>0.34036882909263277</v>
      </c>
      <c r="Q52" s="101">
        <f t="shared" si="11"/>
        <v>0.25036004839606096</v>
      </c>
      <c r="R52" s="101">
        <f t="shared" si="11"/>
        <v>0.1603512676994891</v>
      </c>
      <c r="S52" s="101">
        <f t="shared" si="11"/>
        <v>7.0342487002917287E-2</v>
      </c>
      <c r="T52" s="101">
        <f t="shared" si="11"/>
        <v>-1.9666293693654469E-2</v>
      </c>
      <c r="U52" s="101">
        <f t="shared" si="11"/>
        <v>-0.10967507439022628</v>
      </c>
      <c r="V52" s="101">
        <f t="shared" si="11"/>
        <v>-0.19968385508679809</v>
      </c>
      <c r="W52" s="101">
        <f t="shared" si="11"/>
        <v>-0.2896926357833699</v>
      </c>
      <c r="X52" s="101">
        <f t="shared" si="11"/>
        <v>-0.37970141647994171</v>
      </c>
      <c r="Y52" s="101">
        <f t="shared" si="11"/>
        <v>-0.46971019717651352</v>
      </c>
      <c r="Z52" s="101">
        <f t="shared" si="11"/>
        <v>-0.55971897787308533</v>
      </c>
      <c r="AA52" s="101">
        <f t="shared" si="11"/>
        <v>-0.64972775856965725</v>
      </c>
      <c r="AB52" s="101">
        <f t="shared" si="11"/>
        <v>-0.73973653926622918</v>
      </c>
    </row>
    <row r="53" spans="1:28">
      <c r="L53" s="408"/>
      <c r="M53" s="105">
        <f t="shared" si="10"/>
        <v>350</v>
      </c>
      <c r="N53" s="101">
        <f t="shared" si="11"/>
        <v>0.60711745556673913</v>
      </c>
      <c r="O53" s="101">
        <f t="shared" si="11"/>
        <v>0.51710867487016732</v>
      </c>
      <c r="P53" s="101">
        <f t="shared" si="11"/>
        <v>0.42709989417359551</v>
      </c>
      <c r="Q53" s="101">
        <f t="shared" si="11"/>
        <v>0.3370911134770237</v>
      </c>
      <c r="R53" s="101">
        <f t="shared" si="11"/>
        <v>0.24708233278045183</v>
      </c>
      <c r="S53" s="101">
        <f t="shared" si="11"/>
        <v>0.15707355208388002</v>
      </c>
      <c r="T53" s="101">
        <f t="shared" si="11"/>
        <v>6.7064771387308264E-2</v>
      </c>
      <c r="U53" s="101">
        <f t="shared" si="11"/>
        <v>-2.2944009309263547E-2</v>
      </c>
      <c r="V53" s="101">
        <f t="shared" si="11"/>
        <v>-0.11295279000583536</v>
      </c>
      <c r="W53" s="101">
        <f t="shared" si="11"/>
        <v>-0.20296157070240717</v>
      </c>
      <c r="X53" s="101">
        <f t="shared" si="11"/>
        <v>-0.29297035139897898</v>
      </c>
      <c r="Y53" s="101">
        <f t="shared" si="11"/>
        <v>-0.38297913209555079</v>
      </c>
      <c r="Z53" s="101">
        <f t="shared" si="11"/>
        <v>-0.4729879127921226</v>
      </c>
      <c r="AA53" s="101">
        <f t="shared" si="11"/>
        <v>-0.56299669348869452</v>
      </c>
      <c r="AB53" s="101">
        <f t="shared" si="11"/>
        <v>-0.65300547418526644</v>
      </c>
    </row>
    <row r="54" spans="1:28">
      <c r="L54" s="408"/>
      <c r="M54" s="105">
        <f t="shared" si="10"/>
        <v>400</v>
      </c>
      <c r="N54" s="101">
        <f t="shared" si="11"/>
        <v>0.69384852064770197</v>
      </c>
      <c r="O54" s="101">
        <f t="shared" si="11"/>
        <v>0.60383973995113016</v>
      </c>
      <c r="P54" s="101">
        <f t="shared" si="11"/>
        <v>0.51383095925455835</v>
      </c>
      <c r="Q54" s="101">
        <f t="shared" si="11"/>
        <v>0.42382217855798654</v>
      </c>
      <c r="R54" s="101">
        <f t="shared" si="11"/>
        <v>0.33381339786141467</v>
      </c>
      <c r="S54" s="101">
        <f t="shared" si="11"/>
        <v>0.24380461716484286</v>
      </c>
      <c r="T54" s="101">
        <f t="shared" si="11"/>
        <v>0.15379583646827111</v>
      </c>
      <c r="U54" s="101">
        <f t="shared" si="11"/>
        <v>6.3787055771699297E-2</v>
      </c>
      <c r="V54" s="101">
        <f t="shared" si="11"/>
        <v>-2.6221724924872514E-2</v>
      </c>
      <c r="W54" s="101">
        <f t="shared" si="11"/>
        <v>-0.11623050562144432</v>
      </c>
      <c r="X54" s="101">
        <f t="shared" si="11"/>
        <v>-0.20623928631801614</v>
      </c>
      <c r="Y54" s="101">
        <f t="shared" si="11"/>
        <v>-0.29624806701458795</v>
      </c>
      <c r="Z54" s="101">
        <f t="shared" si="11"/>
        <v>-0.38625684771115976</v>
      </c>
      <c r="AA54" s="101">
        <f t="shared" si="11"/>
        <v>-0.47626562840773168</v>
      </c>
      <c r="AB54" s="101">
        <f t="shared" si="11"/>
        <v>-0.5662744091043036</v>
      </c>
    </row>
    <row r="55" spans="1:28">
      <c r="L55" s="408"/>
      <c r="M55" s="105">
        <f t="shared" si="10"/>
        <v>450</v>
      </c>
      <c r="N55" s="101">
        <f t="shared" si="11"/>
        <v>0.7805795857286647</v>
      </c>
      <c r="O55" s="101">
        <f t="shared" si="11"/>
        <v>0.69057080503209289</v>
      </c>
      <c r="P55" s="101">
        <f t="shared" si="11"/>
        <v>0.60056202433552108</v>
      </c>
      <c r="Q55" s="101">
        <f t="shared" si="11"/>
        <v>0.51055324363894927</v>
      </c>
      <c r="R55" s="101">
        <f t="shared" si="11"/>
        <v>0.42054446294237741</v>
      </c>
      <c r="S55" s="101">
        <f t="shared" si="11"/>
        <v>0.3305356822458056</v>
      </c>
      <c r="T55" s="101">
        <f t="shared" si="11"/>
        <v>0.24052690154923384</v>
      </c>
      <c r="U55" s="101">
        <f t="shared" si="11"/>
        <v>0.15051812085266203</v>
      </c>
      <c r="V55" s="101">
        <f t="shared" si="11"/>
        <v>6.0509340156090219E-2</v>
      </c>
      <c r="W55" s="101">
        <f t="shared" si="11"/>
        <v>-2.9499440540481592E-2</v>
      </c>
      <c r="X55" s="101">
        <f t="shared" si="11"/>
        <v>-0.1195082212370534</v>
      </c>
      <c r="Y55" s="101">
        <f t="shared" si="11"/>
        <v>-0.20951700193362521</v>
      </c>
      <c r="Z55" s="101">
        <f t="shared" si="11"/>
        <v>-0.29952578263019702</v>
      </c>
      <c r="AA55" s="101">
        <f t="shared" si="11"/>
        <v>-0.38953456332676895</v>
      </c>
      <c r="AB55" s="101">
        <f t="shared" si="11"/>
        <v>-0.47954334402334087</v>
      </c>
    </row>
    <row r="56" spans="1:28">
      <c r="L56" s="408"/>
      <c r="M56" s="105">
        <f t="shared" si="10"/>
        <v>500</v>
      </c>
      <c r="N56" s="101">
        <f t="shared" si="11"/>
        <v>0.86731065080962744</v>
      </c>
      <c r="O56" s="101">
        <f t="shared" si="11"/>
        <v>0.77730187011305563</v>
      </c>
      <c r="P56" s="101">
        <f t="shared" si="11"/>
        <v>0.68729308941648382</v>
      </c>
      <c r="Q56" s="101">
        <f t="shared" si="11"/>
        <v>0.597284308719912</v>
      </c>
      <c r="R56" s="101">
        <f t="shared" si="11"/>
        <v>0.50727552802334008</v>
      </c>
      <c r="S56" s="101">
        <f t="shared" si="11"/>
        <v>0.41726674732676833</v>
      </c>
      <c r="T56" s="101">
        <f t="shared" si="11"/>
        <v>0.32725796663019657</v>
      </c>
      <c r="U56" s="101">
        <f t="shared" si="11"/>
        <v>0.23724918593362476</v>
      </c>
      <c r="V56" s="101">
        <f t="shared" si="11"/>
        <v>0.14724040523705295</v>
      </c>
      <c r="W56" s="101">
        <f t="shared" si="11"/>
        <v>5.7231624540481141E-2</v>
      </c>
      <c r="X56" s="101">
        <f t="shared" si="11"/>
        <v>-3.277715615609067E-2</v>
      </c>
      <c r="Y56" s="101">
        <f t="shared" si="11"/>
        <v>-0.12278593685266248</v>
      </c>
      <c r="Z56" s="101">
        <f t="shared" si="11"/>
        <v>-0.21279471754923429</v>
      </c>
      <c r="AA56" s="101">
        <f t="shared" si="11"/>
        <v>-0.30280349824580621</v>
      </c>
      <c r="AB56" s="101">
        <f t="shared" si="11"/>
        <v>-0.39281227894237813</v>
      </c>
    </row>
    <row r="57" spans="1:28">
      <c r="L57" s="408"/>
      <c r="M57" s="105">
        <f t="shared" si="10"/>
        <v>550</v>
      </c>
      <c r="N57" s="101">
        <f t="shared" si="11"/>
        <v>0.95404171589059028</v>
      </c>
      <c r="O57" s="101">
        <f t="shared" si="11"/>
        <v>0.86403293519401847</v>
      </c>
      <c r="P57" s="101">
        <f t="shared" si="11"/>
        <v>0.77402415449744666</v>
      </c>
      <c r="Q57" s="101">
        <f t="shared" si="11"/>
        <v>0.68401537380087485</v>
      </c>
      <c r="R57" s="101">
        <f t="shared" si="11"/>
        <v>0.59400659310430304</v>
      </c>
      <c r="S57" s="101">
        <f t="shared" si="11"/>
        <v>0.50399781240773112</v>
      </c>
      <c r="T57" s="101">
        <f t="shared" si="11"/>
        <v>0.41398903171115942</v>
      </c>
      <c r="U57" s="101">
        <f t="shared" si="11"/>
        <v>0.32398025101458761</v>
      </c>
      <c r="V57" s="101">
        <f t="shared" si="11"/>
        <v>0.2339714703180158</v>
      </c>
      <c r="W57" s="101">
        <f t="shared" si="11"/>
        <v>0.14396268962144398</v>
      </c>
      <c r="X57" s="101">
        <f t="shared" si="11"/>
        <v>5.3953908924872174E-2</v>
      </c>
      <c r="Y57" s="101">
        <f t="shared" si="11"/>
        <v>-3.6054871771699637E-2</v>
      </c>
      <c r="Z57" s="101">
        <f t="shared" si="11"/>
        <v>-0.12606365246827145</v>
      </c>
      <c r="AA57" s="101">
        <f t="shared" si="11"/>
        <v>-0.21607243316484337</v>
      </c>
      <c r="AB57" s="101">
        <f t="shared" si="11"/>
        <v>-0.30608121386141529</v>
      </c>
    </row>
    <row r="58" spans="1:28">
      <c r="L58" s="408"/>
      <c r="M58" s="105">
        <f t="shared" si="10"/>
        <v>600</v>
      </c>
      <c r="N58" s="101">
        <f t="shared" si="11"/>
        <v>1.0407727809715528</v>
      </c>
      <c r="O58" s="101">
        <f t="shared" si="11"/>
        <v>0.95076400027498098</v>
      </c>
      <c r="P58" s="101">
        <f t="shared" si="11"/>
        <v>0.86075521957840917</v>
      </c>
      <c r="Q58" s="101">
        <f t="shared" si="11"/>
        <v>0.77074643888183736</v>
      </c>
      <c r="R58" s="101">
        <f t="shared" si="11"/>
        <v>0.68073765818526555</v>
      </c>
      <c r="S58" s="101">
        <f t="shared" si="11"/>
        <v>0.59072887748869363</v>
      </c>
      <c r="T58" s="101">
        <f t="shared" si="11"/>
        <v>0.50072009679212193</v>
      </c>
      <c r="U58" s="101">
        <f t="shared" si="11"/>
        <v>0.41071131609555012</v>
      </c>
      <c r="V58" s="101">
        <f t="shared" si="11"/>
        <v>0.32070253539897831</v>
      </c>
      <c r="W58" s="101">
        <f t="shared" si="11"/>
        <v>0.23069375470240649</v>
      </c>
      <c r="X58" s="101">
        <f t="shared" si="11"/>
        <v>0.14068497400583468</v>
      </c>
      <c r="Y58" s="101">
        <f t="shared" si="11"/>
        <v>5.0676193309262874E-2</v>
      </c>
      <c r="Z58" s="101">
        <f t="shared" si="11"/>
        <v>-3.9332587387308937E-2</v>
      </c>
      <c r="AA58" s="101">
        <f t="shared" si="11"/>
        <v>-0.12934136808388086</v>
      </c>
      <c r="AB58" s="101">
        <f t="shared" si="11"/>
        <v>-0.21935014878045278</v>
      </c>
    </row>
    <row r="59" spans="1:28">
      <c r="L59" s="408"/>
      <c r="M59" s="105">
        <f t="shared" si="10"/>
        <v>650</v>
      </c>
      <c r="N59" s="101">
        <f t="shared" si="11"/>
        <v>1.1275038460525157</v>
      </c>
      <c r="O59" s="101">
        <f t="shared" si="11"/>
        <v>1.0374950653559438</v>
      </c>
      <c r="P59" s="101">
        <f t="shared" si="11"/>
        <v>0.94748628465937212</v>
      </c>
      <c r="Q59" s="101">
        <f t="shared" si="11"/>
        <v>0.85747750396280031</v>
      </c>
      <c r="R59" s="101">
        <f t="shared" si="11"/>
        <v>0.7674687232662285</v>
      </c>
      <c r="S59" s="101">
        <f t="shared" si="11"/>
        <v>0.67745994256965658</v>
      </c>
      <c r="T59" s="101">
        <f t="shared" si="11"/>
        <v>0.58745116187308488</v>
      </c>
      <c r="U59" s="101">
        <f t="shared" si="11"/>
        <v>0.49744238117651307</v>
      </c>
      <c r="V59" s="101">
        <f t="shared" si="11"/>
        <v>0.40743360047994126</v>
      </c>
      <c r="W59" s="101">
        <f t="shared" si="11"/>
        <v>0.31742481978336945</v>
      </c>
      <c r="X59" s="101">
        <f t="shared" si="11"/>
        <v>0.22741603908679764</v>
      </c>
      <c r="Y59" s="101">
        <f t="shared" si="11"/>
        <v>0.13740725839022583</v>
      </c>
      <c r="Z59" s="101">
        <f t="shared" si="11"/>
        <v>4.7398477693654018E-2</v>
      </c>
      <c r="AA59" s="101">
        <f t="shared" si="11"/>
        <v>-4.2610303002917904E-2</v>
      </c>
      <c r="AB59" s="101">
        <f t="shared" si="11"/>
        <v>-0.13261908369948983</v>
      </c>
    </row>
    <row r="60" spans="1:28" ht="17" thickBot="1">
      <c r="L60" s="409"/>
      <c r="M60" s="105">
        <f t="shared" si="10"/>
        <v>700</v>
      </c>
      <c r="N60" s="101">
        <f t="shared" si="11"/>
        <v>1.2142349111334783</v>
      </c>
      <c r="O60" s="101">
        <f t="shared" si="11"/>
        <v>1.1242261304369063</v>
      </c>
      <c r="P60" s="101">
        <f t="shared" si="11"/>
        <v>1.0342173497403346</v>
      </c>
      <c r="Q60" s="101">
        <f t="shared" si="11"/>
        <v>0.94420856904376282</v>
      </c>
      <c r="R60" s="101">
        <f t="shared" si="11"/>
        <v>0.85419978834719101</v>
      </c>
      <c r="S60" s="101">
        <f t="shared" si="11"/>
        <v>0.76419100765061909</v>
      </c>
      <c r="T60" s="101">
        <f t="shared" si="11"/>
        <v>0.67418222695404739</v>
      </c>
      <c r="U60" s="101">
        <f t="shared" si="11"/>
        <v>0.58417344625747558</v>
      </c>
      <c r="V60" s="101">
        <f t="shared" si="11"/>
        <v>0.49416466556090377</v>
      </c>
      <c r="W60" s="101">
        <f t="shared" si="11"/>
        <v>0.40415588486433196</v>
      </c>
      <c r="X60" s="101">
        <f t="shared" si="11"/>
        <v>0.31414710416776015</v>
      </c>
      <c r="Y60" s="101">
        <f t="shared" si="11"/>
        <v>0.22413832347118834</v>
      </c>
      <c r="Z60" s="101">
        <f t="shared" si="11"/>
        <v>0.13412954277461653</v>
      </c>
      <c r="AA60" s="101">
        <f t="shared" si="11"/>
        <v>4.4120762078044606E-2</v>
      </c>
      <c r="AB60" s="101">
        <f t="shared" si="11"/>
        <v>-4.5888018618527315E-2</v>
      </c>
    </row>
  </sheetData>
  <mergeCells count="10">
    <mergeCell ref="N44:AB44"/>
    <mergeCell ref="L46:L60"/>
    <mergeCell ref="A3:A11"/>
    <mergeCell ref="C1:J1"/>
    <mergeCell ref="N23:AB23"/>
    <mergeCell ref="L25:L39"/>
    <mergeCell ref="C24:D24"/>
    <mergeCell ref="I24:J24"/>
    <mergeCell ref="A27:A41"/>
    <mergeCell ref="G27:G4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6471-6C4D-3D4C-87E0-31780FD58140}">
  <dimension ref="A1:AU43"/>
  <sheetViews>
    <sheetView topLeftCell="AM1" zoomScale="84" workbookViewId="0">
      <selection activeCell="L33" sqref="L33"/>
    </sheetView>
  </sheetViews>
  <sheetFormatPr baseColWidth="10" defaultRowHeight="16"/>
  <cols>
    <col min="2" max="2" width="15.83203125" bestFit="1" customWidth="1"/>
    <col min="3" max="3" width="18" customWidth="1"/>
    <col min="4" max="4" width="8.33203125" bestFit="1" customWidth="1"/>
    <col min="7" max="7" width="14" bestFit="1" customWidth="1"/>
    <col min="14" max="14" width="14.6640625" bestFit="1" customWidth="1"/>
    <col min="46" max="46" width="14" bestFit="1" customWidth="1"/>
  </cols>
  <sheetData>
    <row r="1" spans="1:47" ht="21">
      <c r="B1" s="418" t="str">
        <f>Fig3_SAF_demand!B1</f>
        <v>Business-as-usual</v>
      </c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87"/>
      <c r="N1" s="419" t="s">
        <v>176</v>
      </c>
      <c r="O1" s="419"/>
      <c r="P1" s="419"/>
      <c r="Q1" s="419"/>
      <c r="R1" s="419"/>
      <c r="S1" s="419"/>
      <c r="T1" s="419"/>
      <c r="U1" s="419"/>
      <c r="V1" s="419"/>
      <c r="W1" s="419"/>
      <c r="X1" s="419"/>
      <c r="Y1" s="87"/>
      <c r="Z1" s="417" t="s">
        <v>87</v>
      </c>
      <c r="AA1" s="417"/>
      <c r="AB1" s="417"/>
      <c r="AC1" s="417"/>
      <c r="AD1" s="417"/>
      <c r="AE1" s="417"/>
      <c r="AF1" s="417"/>
      <c r="AG1" s="417"/>
      <c r="AH1" s="417"/>
      <c r="AI1" s="417"/>
      <c r="AJ1" s="417"/>
      <c r="AT1" t="s">
        <v>178</v>
      </c>
    </row>
    <row r="2" spans="1:47">
      <c r="B2" s="394" t="s">
        <v>145</v>
      </c>
      <c r="C2" s="394"/>
      <c r="D2" s="394"/>
      <c r="F2" s="394" t="s">
        <v>174</v>
      </c>
      <c r="G2" s="394"/>
      <c r="H2" s="394"/>
      <c r="J2" t="s">
        <v>175</v>
      </c>
      <c r="M2" s="87"/>
      <c r="N2" s="394" t="s">
        <v>145</v>
      </c>
      <c r="O2" s="394"/>
      <c r="P2" s="394"/>
      <c r="R2" s="394" t="s">
        <v>174</v>
      </c>
      <c r="S2" s="394"/>
      <c r="T2" s="394"/>
      <c r="V2" t="s">
        <v>175</v>
      </c>
      <c r="Y2" s="87"/>
      <c r="Z2" s="394" t="s">
        <v>145</v>
      </c>
      <c r="AA2" s="394"/>
      <c r="AB2" s="394"/>
      <c r="AD2" s="394" t="s">
        <v>174</v>
      </c>
      <c r="AE2" s="394"/>
      <c r="AF2" s="394"/>
      <c r="AH2" t="s">
        <v>175</v>
      </c>
      <c r="AT2" t="s">
        <v>172</v>
      </c>
      <c r="AU2" t="s">
        <v>179</v>
      </c>
    </row>
    <row r="3" spans="1:47">
      <c r="A3" t="s">
        <v>0</v>
      </c>
      <c r="B3" s="82" t="s">
        <v>121</v>
      </c>
      <c r="C3" s="83" t="s">
        <v>122</v>
      </c>
      <c r="D3" s="84" t="s">
        <v>126</v>
      </c>
      <c r="F3" s="82" t="s">
        <v>121</v>
      </c>
      <c r="G3" s="83" t="s">
        <v>122</v>
      </c>
      <c r="H3" s="84" t="s">
        <v>126</v>
      </c>
      <c r="J3" s="82" t="s">
        <v>121</v>
      </c>
      <c r="K3" s="83" t="s">
        <v>122</v>
      </c>
      <c r="L3" s="84" t="s">
        <v>126</v>
      </c>
      <c r="M3" s="87"/>
      <c r="N3" s="82" t="s">
        <v>121</v>
      </c>
      <c r="O3" s="83" t="s">
        <v>122</v>
      </c>
      <c r="P3" s="84" t="s">
        <v>126</v>
      </c>
      <c r="R3" s="82" t="s">
        <v>121</v>
      </c>
      <c r="S3" s="83" t="s">
        <v>122</v>
      </c>
      <c r="T3" s="84" t="s">
        <v>126</v>
      </c>
      <c r="V3" s="82" t="s">
        <v>121</v>
      </c>
      <c r="W3" s="83" t="s">
        <v>122</v>
      </c>
      <c r="X3" s="84" t="s">
        <v>126</v>
      </c>
      <c r="Y3" s="87"/>
      <c r="Z3" s="82" t="s">
        <v>121</v>
      </c>
      <c r="AA3" s="83" t="s">
        <v>122</v>
      </c>
      <c r="AB3" s="84" t="s">
        <v>126</v>
      </c>
      <c r="AD3" s="82" t="s">
        <v>121</v>
      </c>
      <c r="AE3" s="83" t="s">
        <v>122</v>
      </c>
      <c r="AF3" s="84" t="s">
        <v>126</v>
      </c>
      <c r="AH3" s="82" t="s">
        <v>121</v>
      </c>
      <c r="AI3" s="83" t="s">
        <v>122</v>
      </c>
      <c r="AJ3" s="84" t="s">
        <v>126</v>
      </c>
      <c r="AT3" s="9">
        <f>Fig3_SAF_demand!AJ7*Sup_fig8_SAF_land_exp!G41</f>
        <v>60634134.301667824</v>
      </c>
      <c r="AU3" s="9">
        <f>AT3/10^6</f>
        <v>60.634134301667821</v>
      </c>
    </row>
    <row r="4" spans="1:47">
      <c r="A4">
        <f>Fig3_SAF_demand!A4</f>
        <v>2022</v>
      </c>
      <c r="B4">
        <f>Fig3_SAF_demand!E4</f>
        <v>0</v>
      </c>
      <c r="C4">
        <f>Fig3_SAF_demand!F4</f>
        <v>0</v>
      </c>
      <c r="D4">
        <f>Fig3_SAF_demand!G4</f>
        <v>0</v>
      </c>
      <c r="F4" s="30">
        <f>(B4*$G$41)/10^6</f>
        <v>0</v>
      </c>
      <c r="G4" s="30">
        <f t="shared" ref="G4:H4" si="0">(C4*$G$41)/10^6</f>
        <v>0</v>
      </c>
      <c r="H4" s="30">
        <f t="shared" si="0"/>
        <v>0</v>
      </c>
      <c r="J4" s="14">
        <f>(F4*10^6)/$C$43</f>
        <v>0</v>
      </c>
      <c r="K4" s="14">
        <f t="shared" ref="K4" si="1">(G4*10^6)/$C$43</f>
        <v>0</v>
      </c>
      <c r="L4" s="14">
        <f>(H4*10^6)/$C$43</f>
        <v>0</v>
      </c>
      <c r="M4" s="87"/>
      <c r="N4" s="31">
        <f>Fig3_SAF_demand!L4</f>
        <v>0</v>
      </c>
      <c r="O4" s="31">
        <f>Fig3_SAF_demand!M4</f>
        <v>0</v>
      </c>
      <c r="P4" s="31">
        <f>Fig3_SAF_demand!N4</f>
        <v>0</v>
      </c>
      <c r="R4" s="30">
        <f>(N4*$G$41)/10^6</f>
        <v>0</v>
      </c>
      <c r="S4" s="30">
        <f t="shared" ref="S4:S32" si="2">(O4*$G$41)/10^6</f>
        <v>0</v>
      </c>
      <c r="T4" s="30">
        <f t="shared" ref="T4:T31" si="3">(P4*$G$41)/10^6</f>
        <v>0</v>
      </c>
      <c r="V4" s="14">
        <f>(R4*10^6)/$C$43</f>
        <v>0</v>
      </c>
      <c r="W4" s="14">
        <f t="shared" ref="W4:W32" si="4">(S4*10^6)/$C$43</f>
        <v>0</v>
      </c>
      <c r="X4" s="14">
        <f>(T4*10^6)/$C$43</f>
        <v>0</v>
      </c>
      <c r="Y4" s="87"/>
      <c r="Z4">
        <f>Fig3_SAF_demand!S4</f>
        <v>0</v>
      </c>
      <c r="AA4">
        <f>Fig3_SAF_demand!T4</f>
        <v>0</v>
      </c>
      <c r="AB4">
        <f>Fig3_SAF_demand!U4</f>
        <v>0</v>
      </c>
      <c r="AD4" s="30">
        <f>(Z4*$G$41)/10^6</f>
        <v>0</v>
      </c>
      <c r="AE4" s="30">
        <f t="shared" ref="AE4:AE32" si="5">(AA4*$G$41)/10^6</f>
        <v>0</v>
      </c>
      <c r="AF4" s="30">
        <f t="shared" ref="AF4:AF31" si="6">(AB4*$G$41)/10^6</f>
        <v>0</v>
      </c>
      <c r="AH4" s="14">
        <f>(AD4*10^6)/$C$43</f>
        <v>0</v>
      </c>
      <c r="AI4" s="14">
        <f t="shared" ref="AI4:AI32" si="7">(AE4*10^6)/$C$43</f>
        <v>0</v>
      </c>
      <c r="AJ4" s="14">
        <f>(AF4*10^6)/$C$43</f>
        <v>0</v>
      </c>
      <c r="AU4" s="9">
        <f>$AU$3</f>
        <v>60.634134301667821</v>
      </c>
    </row>
    <row r="5" spans="1:47">
      <c r="A5">
        <f>Fig3_SAF_demand!A5</f>
        <v>2023</v>
      </c>
      <c r="B5" s="31">
        <f>Fig3_SAF_demand!E5</f>
        <v>0</v>
      </c>
      <c r="C5" s="31">
        <f>Fig3_SAF_demand!F5</f>
        <v>7.8605916035707574E-2</v>
      </c>
      <c r="D5" s="31">
        <f>Fig3_SAF_demand!G5</f>
        <v>0.42110312161986202</v>
      </c>
      <c r="F5" s="30">
        <f t="shared" ref="F5:F31" si="8">(B5*$G$41)/10^6</f>
        <v>0</v>
      </c>
      <c r="G5" s="30">
        <f t="shared" ref="G5:G32" si="9">(C5*$G$41)/10^6</f>
        <v>1.1850327373979905</v>
      </c>
      <c r="H5" s="30">
        <f t="shared" ref="H5:H31" si="10">(D5*$G$41)/10^6</f>
        <v>6.3483896646320916</v>
      </c>
      <c r="J5" s="14">
        <f t="shared" ref="J5:J32" si="11">(F5*10^6)/$C$43</f>
        <v>0</v>
      </c>
      <c r="K5" s="14">
        <f t="shared" ref="K5:K32" si="12">(G5*10^6)/$C$43</f>
        <v>7.592208670402275E-4</v>
      </c>
      <c r="L5" s="14">
        <f t="shared" ref="L5:L31" si="13">(H5*10^6)/$C$43</f>
        <v>4.0672546448583613E-3</v>
      </c>
      <c r="M5" s="87"/>
      <c r="N5" s="31">
        <f>Fig3_SAF_demand!L5</f>
        <v>0</v>
      </c>
      <c r="O5" s="31">
        <f>Fig3_SAF_demand!M5</f>
        <v>7.6469383671816868E-2</v>
      </c>
      <c r="P5" s="31">
        <f>Fig3_SAF_demand!N5</f>
        <v>0.40965741252759036</v>
      </c>
      <c r="R5" s="30">
        <f t="shared" ref="R5:R32" si="14">(N5*$G$41)/10^6</f>
        <v>0</v>
      </c>
      <c r="S5" s="30">
        <f t="shared" si="2"/>
        <v>1.1528231923229013</v>
      </c>
      <c r="T5" s="30">
        <f t="shared" si="3"/>
        <v>6.175838530301256</v>
      </c>
      <c r="V5" s="14">
        <f t="shared" ref="V5:V32" si="15">(R5*10^6)/$C$43</f>
        <v>0</v>
      </c>
      <c r="W5" s="14">
        <f t="shared" si="4"/>
        <v>7.3858501625978805E-4</v>
      </c>
      <c r="X5" s="14">
        <f t="shared" ref="X5:X31" si="16">(T5*10^6)/$C$43</f>
        <v>3.9567054442488647E-3</v>
      </c>
      <c r="Y5" s="87"/>
      <c r="Z5" s="31">
        <f>Fig3_SAF_demand!S5</f>
        <v>0</v>
      </c>
      <c r="AA5" s="31">
        <f>Fig3_SAF_demand!T5</f>
        <v>5.7874842058534541E-2</v>
      </c>
      <c r="AB5" s="31">
        <f>Fig3_SAF_demand!U5</f>
        <v>0.31004379674214927</v>
      </c>
      <c r="AD5" s="30">
        <f t="shared" ref="AD5:AD32" si="17">(Z5*$G$41)/10^6</f>
        <v>0</v>
      </c>
      <c r="AE5" s="30">
        <f t="shared" si="5"/>
        <v>0.87249899205991965</v>
      </c>
      <c r="AF5" s="30">
        <f t="shared" si="6"/>
        <v>4.6741017431781398</v>
      </c>
      <c r="AH5" s="14">
        <f t="shared" ref="AH5:AH32" si="18">(AD5*10^6)/$C$43</f>
        <v>0</v>
      </c>
      <c r="AI5" s="14">
        <f t="shared" si="7"/>
        <v>5.5898830499649286E-4</v>
      </c>
      <c r="AJ5" s="14">
        <f t="shared" ref="AJ5:AJ31" si="19">(AF5*10^6)/$C$43</f>
        <v>2.9945802053383537E-3</v>
      </c>
      <c r="AU5" s="9">
        <f t="shared" ref="AU5:AU31" si="20">$AU$3</f>
        <v>60.634134301667821</v>
      </c>
    </row>
    <row r="6" spans="1:47">
      <c r="A6">
        <f>Fig3_SAF_demand!A6</f>
        <v>2024</v>
      </c>
      <c r="B6" s="31">
        <f>Fig3_SAF_demand!E6</f>
        <v>0</v>
      </c>
      <c r="C6" s="31">
        <f>Fig3_SAF_demand!F6</f>
        <v>0.16960693663138696</v>
      </c>
      <c r="D6" s="31">
        <f>Fig3_SAF_demand!G6</f>
        <v>0.90860858909671582</v>
      </c>
      <c r="F6" s="30">
        <f t="shared" si="8"/>
        <v>0</v>
      </c>
      <c r="G6" s="30">
        <f t="shared" si="9"/>
        <v>2.5569293322232673</v>
      </c>
      <c r="H6" s="30">
        <f t="shared" si="10"/>
        <v>13.697835708338932</v>
      </c>
      <c r="J6" s="14">
        <f t="shared" si="11"/>
        <v>0</v>
      </c>
      <c r="K6" s="14">
        <f t="shared" si="12"/>
        <v>1.6381607387772668E-3</v>
      </c>
      <c r="L6" s="14">
        <f t="shared" si="13"/>
        <v>8.7758611005925007E-3</v>
      </c>
      <c r="M6" s="87"/>
      <c r="N6" s="31">
        <f>Fig3_SAF_demand!L6</f>
        <v>0</v>
      </c>
      <c r="O6" s="31">
        <f>Fig3_SAF_demand!M6</f>
        <v>0.16282878061454237</v>
      </c>
      <c r="P6" s="31">
        <f>Fig3_SAF_demand!N6</f>
        <v>0.87229703900647693</v>
      </c>
      <c r="R6" s="30">
        <f t="shared" si="14"/>
        <v>0</v>
      </c>
      <c r="S6" s="30">
        <f t="shared" si="2"/>
        <v>2.4547444435502155</v>
      </c>
      <c r="T6" s="30">
        <f t="shared" si="3"/>
        <v>13.150416661876156</v>
      </c>
      <c r="V6" s="14">
        <f t="shared" si="15"/>
        <v>0</v>
      </c>
      <c r="W6" s="14">
        <f t="shared" si="4"/>
        <v>1.5726934336738568E-3</v>
      </c>
      <c r="X6" s="14">
        <f t="shared" si="16"/>
        <v>8.4251433946813756E-3</v>
      </c>
      <c r="Y6" s="87"/>
      <c r="Z6" s="31">
        <f>Fig3_SAF_demand!S6</f>
        <v>0</v>
      </c>
      <c r="AA6" s="31">
        <f>Fig3_SAF_demand!T6</f>
        <v>0.10730143727826963</v>
      </c>
      <c r="AB6" s="31">
        <f>Fig3_SAF_demand!U6</f>
        <v>0.57482912827644439</v>
      </c>
      <c r="AD6" s="30">
        <f t="shared" si="17"/>
        <v>0</v>
      </c>
      <c r="AE6" s="30">
        <f t="shared" si="5"/>
        <v>1.6176354447271475</v>
      </c>
      <c r="AF6" s="30">
        <f t="shared" si="6"/>
        <v>8.6659041681811448</v>
      </c>
      <c r="AH6" s="14">
        <f t="shared" si="18"/>
        <v>0</v>
      </c>
      <c r="AI6" s="14">
        <f t="shared" si="7"/>
        <v>1.0363786131321704E-3</v>
      </c>
      <c r="AJ6" s="14">
        <f t="shared" si="19"/>
        <v>5.5520282846366264E-3</v>
      </c>
      <c r="AU6" s="9">
        <f t="shared" si="20"/>
        <v>60.634134301667821</v>
      </c>
    </row>
    <row r="7" spans="1:47">
      <c r="A7">
        <f>Fig3_SAF_demand!A7</f>
        <v>2025</v>
      </c>
      <c r="B7" s="31">
        <f>Fig3_SAF_demand!E7</f>
        <v>0</v>
      </c>
      <c r="C7" s="31">
        <f>Fig3_SAF_demand!F7</f>
        <v>0.26123476012440527</v>
      </c>
      <c r="D7" s="31">
        <f>Fig3_SAF_demand!G7</f>
        <v>1.3887044289891117</v>
      </c>
      <c r="F7" s="30">
        <f t="shared" si="8"/>
        <v>0</v>
      </c>
      <c r="G7" s="30">
        <f t="shared" si="9"/>
        <v>3.9382753678884055</v>
      </c>
      <c r="H7" s="30">
        <f t="shared" si="10"/>
        <v>20.935577039444734</v>
      </c>
      <c r="J7" s="14">
        <f t="shared" si="11"/>
        <v>0</v>
      </c>
      <c r="K7" s="14">
        <f t="shared" si="12"/>
        <v>2.5231546311679782E-3</v>
      </c>
      <c r="L7" s="14">
        <f t="shared" si="13"/>
        <v>1.3412901137883503E-2</v>
      </c>
      <c r="M7" s="87"/>
      <c r="N7" s="31">
        <f>Fig3_SAF_demand!L7</f>
        <v>0</v>
      </c>
      <c r="O7" s="31">
        <f>Fig3_SAF_demand!M7</f>
        <v>0.24545652581799193</v>
      </c>
      <c r="P7" s="31">
        <f>Fig3_SAF_demand!N7</f>
        <v>1.304828516562643</v>
      </c>
      <c r="R7" s="30">
        <f t="shared" si="14"/>
        <v>0</v>
      </c>
      <c r="S7" s="30">
        <f t="shared" si="2"/>
        <v>3.7004087398480654</v>
      </c>
      <c r="T7" s="30">
        <f t="shared" si="3"/>
        <v>19.671095851294204</v>
      </c>
      <c r="V7" s="14">
        <f t="shared" si="15"/>
        <v>0</v>
      </c>
      <c r="W7" s="14">
        <f t="shared" si="4"/>
        <v>2.3707594256336091E-3</v>
      </c>
      <c r="X7" s="14">
        <f t="shared" si="16"/>
        <v>1.2602779633450094E-2</v>
      </c>
      <c r="Y7" s="87"/>
      <c r="Z7" s="31">
        <f>Fig3_SAF_demand!S7</f>
        <v>0</v>
      </c>
      <c r="AA7" s="31">
        <f>Fig3_SAF_demand!T7</f>
        <v>0.14746396623738373</v>
      </c>
      <c r="AB7" s="31">
        <f>Fig3_SAF_demand!U7</f>
        <v>0.78390740547939852</v>
      </c>
      <c r="AD7" s="30">
        <f t="shared" si="17"/>
        <v>0</v>
      </c>
      <c r="AE7" s="30">
        <f t="shared" si="5"/>
        <v>2.2231103763038624</v>
      </c>
      <c r="AF7" s="30">
        <f t="shared" si="6"/>
        <v>11.817888340106867</v>
      </c>
      <c r="AH7" s="14">
        <f t="shared" si="18"/>
        <v>0</v>
      </c>
      <c r="AI7" s="14">
        <f t="shared" si="7"/>
        <v>1.4242912741208856E-3</v>
      </c>
      <c r="AJ7" s="14">
        <f t="shared" si="19"/>
        <v>7.5714257918827223E-3</v>
      </c>
      <c r="AU7" s="9">
        <f t="shared" si="20"/>
        <v>60.634134301667821</v>
      </c>
    </row>
    <row r="8" spans="1:47">
      <c r="A8">
        <f>Fig3_SAF_demand!A8</f>
        <v>2026</v>
      </c>
      <c r="B8" s="31">
        <f>Fig3_SAF_demand!E8</f>
        <v>0</v>
      </c>
      <c r="C8" s="31">
        <f>Fig3_SAF_demand!F8</f>
        <v>0.35407708103833474</v>
      </c>
      <c r="D8" s="31">
        <f>Fig3_SAF_demand!G8</f>
        <v>1.8864382720871768</v>
      </c>
      <c r="F8" s="30">
        <f t="shared" si="8"/>
        <v>0</v>
      </c>
      <c r="G8" s="30">
        <f t="shared" si="9"/>
        <v>5.3379307023423443</v>
      </c>
      <c r="H8" s="30">
        <f t="shared" si="10"/>
        <v>28.439222163485844</v>
      </c>
      <c r="J8" s="14">
        <f t="shared" si="11"/>
        <v>0</v>
      </c>
      <c r="K8" s="14">
        <f t="shared" si="12"/>
        <v>3.4198788338384327E-3</v>
      </c>
      <c r="L8" s="14">
        <f t="shared" si="13"/>
        <v>1.8220299091754013E-2</v>
      </c>
      <c r="M8" s="87"/>
      <c r="N8" s="31">
        <f>Fig3_SAF_demand!L8</f>
        <v>0</v>
      </c>
      <c r="O8" s="31">
        <f>Fig3_SAF_demand!M8</f>
        <v>0.32561033954892504</v>
      </c>
      <c r="P8" s="31">
        <f>Fig3_SAF_demand!N8</f>
        <v>1.7347742602009619</v>
      </c>
      <c r="R8" s="30">
        <f t="shared" si="14"/>
        <v>0</v>
      </c>
      <c r="S8" s="30">
        <f t="shared" si="2"/>
        <v>4.9087769911042223</v>
      </c>
      <c r="T8" s="30">
        <f t="shared" si="3"/>
        <v>26.152793504749269</v>
      </c>
      <c r="V8" s="14">
        <f t="shared" si="15"/>
        <v>0</v>
      </c>
      <c r="W8" s="14">
        <f t="shared" si="4"/>
        <v>3.144930773369524E-3</v>
      </c>
      <c r="X8" s="14">
        <f t="shared" si="16"/>
        <v>1.6755441376073363E-2</v>
      </c>
      <c r="Y8" s="87"/>
      <c r="Z8" s="31">
        <f>Fig3_SAF_demand!S8</f>
        <v>0</v>
      </c>
      <c r="AA8" s="31">
        <f>Fig3_SAF_demand!T8</f>
        <v>0.1922078943770783</v>
      </c>
      <c r="AB8" s="31">
        <f>Fig3_SAF_demand!U8</f>
        <v>1.0240378368656793</v>
      </c>
      <c r="AD8" s="30">
        <f t="shared" si="17"/>
        <v>0</v>
      </c>
      <c r="AE8" s="30">
        <f t="shared" si="5"/>
        <v>2.8976527303581672</v>
      </c>
      <c r="AF8" s="30">
        <f t="shared" si="6"/>
        <v>15.438002916584535</v>
      </c>
      <c r="AH8" s="14">
        <f t="shared" si="18"/>
        <v>0</v>
      </c>
      <c r="AI8" s="14">
        <f t="shared" si="7"/>
        <v>1.85645370705498E-3</v>
      </c>
      <c r="AJ8" s="14">
        <f t="shared" si="19"/>
        <v>9.8907427531788519E-3</v>
      </c>
      <c r="AU8" s="9">
        <f t="shared" si="20"/>
        <v>60.634134301667821</v>
      </c>
    </row>
    <row r="9" spans="1:47">
      <c r="A9">
        <f>Fig3_SAF_demand!A9</f>
        <v>2027</v>
      </c>
      <c r="B9" s="31">
        <f>Fig3_SAF_demand!E9</f>
        <v>0</v>
      </c>
      <c r="C9" s="31">
        <f>Fig3_SAF_demand!F9</f>
        <v>0.45170766827970654</v>
      </c>
      <c r="D9" s="31">
        <f>Fig3_SAF_demand!G9</f>
        <v>2.4021380149227758</v>
      </c>
      <c r="F9" s="30">
        <f t="shared" si="8"/>
        <v>0</v>
      </c>
      <c r="G9" s="30">
        <f t="shared" si="9"/>
        <v>6.8097721092901393</v>
      </c>
      <c r="H9" s="30">
        <f t="shared" si="10"/>
        <v>36.213714323214653</v>
      </c>
      <c r="J9" s="14">
        <f t="shared" si="11"/>
        <v>0</v>
      </c>
      <c r="K9" s="14">
        <f t="shared" si="12"/>
        <v>4.3628508496008286E-3</v>
      </c>
      <c r="L9" s="14">
        <f t="shared" si="13"/>
        <v>2.3201221974329531E-2</v>
      </c>
      <c r="M9" s="87"/>
      <c r="N9" s="31">
        <f>Fig3_SAF_demand!L9</f>
        <v>0</v>
      </c>
      <c r="O9" s="31">
        <f>Fig3_SAF_demand!M9</f>
        <v>0.40655122924424203</v>
      </c>
      <c r="P9" s="31">
        <f>Fig3_SAF_demand!N9</f>
        <v>2.1620004072555443</v>
      </c>
      <c r="R9" s="30">
        <f t="shared" si="14"/>
        <v>0</v>
      </c>
      <c r="S9" s="30">
        <f t="shared" si="2"/>
        <v>6.1290108986831218</v>
      </c>
      <c r="T9" s="30">
        <f t="shared" si="3"/>
        <v>32.593491559869022</v>
      </c>
      <c r="V9" s="14">
        <f t="shared" si="15"/>
        <v>0</v>
      </c>
      <c r="W9" s="14">
        <f t="shared" si="4"/>
        <v>3.9267041506503226E-3</v>
      </c>
      <c r="X9" s="14">
        <f t="shared" si="16"/>
        <v>2.0881835700410127E-2</v>
      </c>
      <c r="Y9" s="87"/>
      <c r="Z9" s="31">
        <f>Fig3_SAF_demand!S9</f>
        <v>0</v>
      </c>
      <c r="AA9" s="31">
        <f>Fig3_SAF_demand!T9</f>
        <v>0.23562755154868434</v>
      </c>
      <c r="AB9" s="31">
        <f>Fig3_SAF_demand!U9</f>
        <v>1.2530446983419057</v>
      </c>
      <c r="AD9" s="30">
        <f t="shared" si="17"/>
        <v>0</v>
      </c>
      <c r="AE9" s="30">
        <f t="shared" si="5"/>
        <v>3.5522308815952468</v>
      </c>
      <c r="AF9" s="30">
        <f t="shared" si="6"/>
        <v>18.890422805881638</v>
      </c>
      <c r="AH9" s="14">
        <f t="shared" si="18"/>
        <v>0</v>
      </c>
      <c r="AI9" s="14">
        <f t="shared" si="7"/>
        <v>2.2758255740457727E-3</v>
      </c>
      <c r="AJ9" s="14">
        <f t="shared" si="19"/>
        <v>1.2102621918217283E-2</v>
      </c>
      <c r="AU9" s="9">
        <f t="shared" si="20"/>
        <v>60.634134301667821</v>
      </c>
    </row>
    <row r="10" spans="1:47">
      <c r="A10">
        <f>Fig3_SAF_demand!A10</f>
        <v>2028</v>
      </c>
      <c r="B10" s="31">
        <f>Fig3_SAF_demand!E10</f>
        <v>0</v>
      </c>
      <c r="C10" s="31">
        <f>Fig3_SAF_demand!F10</f>
        <v>0.55431446066476553</v>
      </c>
      <c r="D10" s="31">
        <f>Fig3_SAF_demand!G10</f>
        <v>2.9361267610679609</v>
      </c>
      <c r="F10" s="30">
        <f t="shared" si="8"/>
        <v>0</v>
      </c>
      <c r="G10" s="30">
        <f t="shared" si="9"/>
        <v>8.3566328824723914</v>
      </c>
      <c r="H10" s="30">
        <f t="shared" si="10"/>
        <v>44.263924504553877</v>
      </c>
      <c r="J10" s="14">
        <f t="shared" si="11"/>
        <v>0</v>
      </c>
      <c r="K10" s="14">
        <f t="shared" si="12"/>
        <v>5.3538858989654802E-3</v>
      </c>
      <c r="L10" s="14">
        <f t="shared" si="13"/>
        <v>2.8358790504590118E-2</v>
      </c>
      <c r="M10" s="87"/>
      <c r="N10" s="31">
        <f>Fig3_SAF_demand!L10</f>
        <v>0</v>
      </c>
      <c r="O10" s="31">
        <f>Fig3_SAF_demand!M10</f>
        <v>0.4882836242535365</v>
      </c>
      <c r="P10" s="31">
        <f>Fig3_SAF_demand!N10</f>
        <v>2.5863705854664722</v>
      </c>
      <c r="R10" s="30">
        <f t="shared" si="14"/>
        <v>0</v>
      </c>
      <c r="S10" s="30">
        <f t="shared" si="2"/>
        <v>7.3611772377657978</v>
      </c>
      <c r="T10" s="30">
        <f t="shared" si="3"/>
        <v>38.991134120601018</v>
      </c>
      <c r="V10" s="14">
        <f t="shared" si="15"/>
        <v>0</v>
      </c>
      <c r="W10" s="14">
        <f t="shared" si="4"/>
        <v>4.7161223386661287E-3</v>
      </c>
      <c r="X10" s="14">
        <f t="shared" si="16"/>
        <v>2.4980645445225744E-2</v>
      </c>
      <c r="Y10" s="87"/>
      <c r="Z10" s="31">
        <f>Fig3_SAF_demand!S10</f>
        <v>0</v>
      </c>
      <c r="AA10" s="31">
        <f>Fig3_SAF_demand!T10</f>
        <v>0.27764302994720069</v>
      </c>
      <c r="AB10" s="31">
        <f>Fig3_SAF_demand!U10</f>
        <v>1.4706365936662391</v>
      </c>
      <c r="AD10" s="30">
        <f t="shared" si="17"/>
        <v>0</v>
      </c>
      <c r="AE10" s="30">
        <f t="shared" si="5"/>
        <v>4.1856401704974013</v>
      </c>
      <c r="AF10" s="30">
        <f t="shared" si="6"/>
        <v>22.170755029663358</v>
      </c>
      <c r="AH10" s="14">
        <f t="shared" si="18"/>
        <v>0</v>
      </c>
      <c r="AI10" s="14">
        <f t="shared" si="7"/>
        <v>2.6816350798384543E-3</v>
      </c>
      <c r="AJ10" s="14">
        <f t="shared" si="19"/>
        <v>1.4204248815536599E-2</v>
      </c>
      <c r="AU10" s="9">
        <f t="shared" si="20"/>
        <v>60.634134301667821</v>
      </c>
    </row>
    <row r="11" spans="1:47">
      <c r="A11">
        <f>Fig3_SAF_demand!A11</f>
        <v>2029</v>
      </c>
      <c r="B11" s="31">
        <f>Fig3_SAF_demand!E11</f>
        <v>0</v>
      </c>
      <c r="C11" s="31">
        <f>Fig3_SAF_demand!F11</f>
        <v>0.66209190791830863</v>
      </c>
      <c r="D11" s="31">
        <f>Fig3_SAF_demand!G11</f>
        <v>3.4887219910805674</v>
      </c>
      <c r="F11" s="30">
        <f t="shared" si="8"/>
        <v>0</v>
      </c>
      <c r="G11" s="30">
        <f t="shared" si="9"/>
        <v>9.981444471597765</v>
      </c>
      <c r="H11" s="30">
        <f t="shared" si="10"/>
        <v>52.594638923013697</v>
      </c>
      <c r="J11" s="14">
        <f t="shared" si="11"/>
        <v>0</v>
      </c>
      <c r="K11" s="14">
        <f t="shared" si="12"/>
        <v>6.3948620885190327E-3</v>
      </c>
      <c r="L11" s="14">
        <f t="shared" si="13"/>
        <v>3.3696071091230483E-2</v>
      </c>
      <c r="M11" s="87"/>
      <c r="N11" s="31">
        <f>Fig3_SAF_demand!L11</f>
        <v>0</v>
      </c>
      <c r="O11" s="31">
        <f>Fig3_SAF_demand!M11</f>
        <v>0.57081195092383086</v>
      </c>
      <c r="P11" s="31">
        <f>Fig3_SAF_demand!N11</f>
        <v>3.0077458765819522</v>
      </c>
      <c r="R11" s="30">
        <f t="shared" si="14"/>
        <v>0</v>
      </c>
      <c r="S11" s="30">
        <f t="shared" si="2"/>
        <v>8.605342738267673</v>
      </c>
      <c r="T11" s="30">
        <f t="shared" si="3"/>
        <v>45.343626908492716</v>
      </c>
      <c r="V11" s="14">
        <f t="shared" si="15"/>
        <v>0</v>
      </c>
      <c r="W11" s="14">
        <f t="shared" si="4"/>
        <v>5.5132280896065203E-3</v>
      </c>
      <c r="X11" s="14">
        <f t="shared" si="16"/>
        <v>2.90505288586408E-2</v>
      </c>
      <c r="Y11" s="87"/>
      <c r="Z11" s="31">
        <f>Fig3_SAF_demand!S11</f>
        <v>0</v>
      </c>
      <c r="AA11" s="31">
        <f>Fig3_SAF_demand!T11</f>
        <v>0.31817538884894997</v>
      </c>
      <c r="AB11" s="31">
        <f>Fig3_SAF_demand!U11</f>
        <v>1.6765428829782671</v>
      </c>
      <c r="AD11" s="30">
        <f t="shared" si="17"/>
        <v>0</v>
      </c>
      <c r="AE11" s="30">
        <f t="shared" si="5"/>
        <v>4.7966905168952296</v>
      </c>
      <c r="AF11" s="30">
        <f t="shared" si="6"/>
        <v>25.274919524865641</v>
      </c>
      <c r="AH11" s="14">
        <f t="shared" si="18"/>
        <v>0</v>
      </c>
      <c r="AI11" s="14">
        <f t="shared" si="7"/>
        <v>3.0731197698024111E-3</v>
      </c>
      <c r="AJ11" s="14">
        <f t="shared" si="19"/>
        <v>1.6193009450671238E-2</v>
      </c>
      <c r="AU11" s="9">
        <f t="shared" si="20"/>
        <v>60.634134301667821</v>
      </c>
    </row>
    <row r="12" spans="1:47">
      <c r="A12">
        <f>Fig3_SAF_demand!A12</f>
        <v>2030</v>
      </c>
      <c r="B12" s="31">
        <f>Fig3_SAF_demand!E12</f>
        <v>0</v>
      </c>
      <c r="C12" s="31">
        <f>Fig3_SAF_demand!F12</f>
        <v>0.77524117902945144</v>
      </c>
      <c r="D12" s="31">
        <f>Fig3_SAF_demand!G12</f>
        <v>4.0602346798429512</v>
      </c>
      <c r="F12" s="30">
        <f t="shared" si="8"/>
        <v>0</v>
      </c>
      <c r="G12" s="30">
        <f t="shared" si="9"/>
        <v>11.687239623434875</v>
      </c>
      <c r="H12" s="30">
        <f t="shared" si="10"/>
        <v>61.210545717028026</v>
      </c>
      <c r="J12" s="14">
        <f t="shared" si="11"/>
        <v>0</v>
      </c>
      <c r="K12" s="14">
        <f t="shared" si="12"/>
        <v>7.4877224233435551E-3</v>
      </c>
      <c r="L12" s="14">
        <f t="shared" si="13"/>
        <v>3.9216067307413026E-2</v>
      </c>
      <c r="M12" s="87"/>
      <c r="N12" s="31">
        <f>Fig3_SAF_demand!L12</f>
        <v>0</v>
      </c>
      <c r="O12" s="31">
        <f>Fig3_SAF_demand!M12</f>
        <v>0.65414063206185435</v>
      </c>
      <c r="P12" s="31">
        <f>Fig3_SAF_demand!N12</f>
        <v>3.4259847794940588</v>
      </c>
      <c r="R12" s="30">
        <f t="shared" si="14"/>
        <v>0</v>
      </c>
      <c r="S12" s="30">
        <f t="shared" si="2"/>
        <v>9.8615740767320617</v>
      </c>
      <c r="T12" s="30">
        <f t="shared" si="3"/>
        <v>51.648836706939974</v>
      </c>
      <c r="V12" s="14">
        <f t="shared" si="15"/>
        <v>0</v>
      </c>
      <c r="W12" s="14">
        <f t="shared" si="4"/>
        <v>6.3180641214668973E-3</v>
      </c>
      <c r="X12" s="14">
        <f t="shared" si="16"/>
        <v>3.3090119242075035E-2</v>
      </c>
      <c r="Y12" s="87"/>
      <c r="Z12" s="31">
        <f>Fig3_SAF_demand!S12</f>
        <v>0</v>
      </c>
      <c r="AA12" s="31">
        <f>Fig3_SAF_demand!T12</f>
        <v>0.35714665461157774</v>
      </c>
      <c r="AB12" s="31">
        <f>Fig3_SAF_demand!U12</f>
        <v>1.8705136827990032</v>
      </c>
      <c r="AD12" s="30">
        <f t="shared" si="17"/>
        <v>0</v>
      </c>
      <c r="AE12" s="30">
        <f t="shared" si="5"/>
        <v>5.3842064199676214</v>
      </c>
      <c r="AF12" s="30">
        <f t="shared" si="6"/>
        <v>28.199149143695188</v>
      </c>
      <c r="AH12" s="14">
        <f t="shared" si="18"/>
        <v>0</v>
      </c>
      <c r="AI12" s="14">
        <f t="shared" si="7"/>
        <v>3.4495265299312131E-3</v>
      </c>
      <c r="AJ12" s="14">
        <f t="shared" si="19"/>
        <v>1.806649030615148E-2</v>
      </c>
      <c r="AU12" s="9">
        <f t="shared" si="20"/>
        <v>60.634134301667821</v>
      </c>
    </row>
    <row r="13" spans="1:47">
      <c r="A13">
        <f>Fig3_SAF_demand!A13</f>
        <v>2031</v>
      </c>
      <c r="B13" s="31">
        <f>Fig3_SAF_demand!E13</f>
        <v>0</v>
      </c>
      <c r="C13" s="31">
        <f>Fig3_SAF_demand!F13</f>
        <v>1.1572630221121005</v>
      </c>
      <c r="D13" s="31">
        <f>Fig3_SAF_demand!G13</f>
        <v>4.6509683586798705</v>
      </c>
      <c r="F13" s="30">
        <f t="shared" si="8"/>
        <v>0</v>
      </c>
      <c r="G13" s="30">
        <f t="shared" si="9"/>
        <v>17.446454874465211</v>
      </c>
      <c r="H13" s="30">
        <f t="shared" si="10"/>
        <v>70.116220808802296</v>
      </c>
      <c r="J13" s="14">
        <f t="shared" si="11"/>
        <v>0</v>
      </c>
      <c r="K13" s="14">
        <f t="shared" si="12"/>
        <v>1.1177507741814512E-2</v>
      </c>
      <c r="L13" s="14">
        <f t="shared" si="13"/>
        <v>4.4921710832166235E-2</v>
      </c>
      <c r="M13" s="87"/>
      <c r="N13" s="31">
        <f>Fig3_SAF_demand!L13</f>
        <v>0</v>
      </c>
      <c r="O13" s="31">
        <f>Fig3_SAF_demand!M13</f>
        <v>0.95571097484216494</v>
      </c>
      <c r="P13" s="31">
        <f>Fig3_SAF_demand!N13</f>
        <v>3.8409431729025125</v>
      </c>
      <c r="R13" s="30">
        <f t="shared" si="14"/>
        <v>0</v>
      </c>
      <c r="S13" s="30">
        <f t="shared" si="2"/>
        <v>14.407933267567804</v>
      </c>
      <c r="T13" s="30">
        <f t="shared" si="3"/>
        <v>57.904590798320505</v>
      </c>
      <c r="V13" s="14">
        <f t="shared" si="15"/>
        <v>0</v>
      </c>
      <c r="W13" s="14">
        <f t="shared" si="4"/>
        <v>9.2308028651421088E-3</v>
      </c>
      <c r="X13" s="14">
        <f t="shared" si="16"/>
        <v>3.709802458963276E-2</v>
      </c>
      <c r="Y13" s="87"/>
      <c r="Z13" s="31">
        <f>Fig3_SAF_demand!S13</f>
        <v>0</v>
      </c>
      <c r="AA13" s="31">
        <f>Fig3_SAF_demand!T13</f>
        <v>0.51066223361230278</v>
      </c>
      <c r="AB13" s="31">
        <f>Fig3_SAF_demand!U13</f>
        <v>2.0523198660308886</v>
      </c>
      <c r="AD13" s="30">
        <f t="shared" si="17"/>
        <v>0</v>
      </c>
      <c r="AE13" s="30">
        <f t="shared" si="5"/>
        <v>7.6985485966280542</v>
      </c>
      <c r="AF13" s="30">
        <f t="shared" si="6"/>
        <v>30.939989653629489</v>
      </c>
      <c r="AH13" s="14">
        <f t="shared" si="18"/>
        <v>0</v>
      </c>
      <c r="AI13" s="14">
        <f t="shared" si="7"/>
        <v>4.9322677391319038E-3</v>
      </c>
      <c r="AJ13" s="14">
        <f t="shared" si="19"/>
        <v>1.9822478341503483E-2</v>
      </c>
      <c r="AU13" s="9">
        <f t="shared" si="20"/>
        <v>60.634134301667821</v>
      </c>
    </row>
    <row r="14" spans="1:47">
      <c r="A14">
        <f>Fig3_SAF_demand!A14</f>
        <v>2032</v>
      </c>
      <c r="B14" s="31">
        <f>Fig3_SAF_demand!E14</f>
        <v>0</v>
      </c>
      <c r="C14" s="31">
        <f>Fig3_SAF_demand!F14</f>
        <v>1.5591771623091983</v>
      </c>
      <c r="D14" s="31">
        <f>Fig3_SAF_demand!G14</f>
        <v>5.2612181195261112</v>
      </c>
      <c r="F14" s="30">
        <f t="shared" si="8"/>
        <v>0</v>
      </c>
      <c r="G14" s="30">
        <f t="shared" si="9"/>
        <v>23.505558791533879</v>
      </c>
      <c r="H14" s="30">
        <f t="shared" si="10"/>
        <v>79.316112891525222</v>
      </c>
      <c r="J14" s="14">
        <f t="shared" si="11"/>
        <v>0</v>
      </c>
      <c r="K14" s="14">
        <f t="shared" si="12"/>
        <v>1.5059424235956687E-2</v>
      </c>
      <c r="L14" s="14">
        <f t="shared" si="13"/>
        <v>5.0815851832066411E-2</v>
      </c>
      <c r="M14" s="87"/>
      <c r="N14" s="31">
        <f>Fig3_SAF_demand!L14</f>
        <v>0</v>
      </c>
      <c r="O14" s="31">
        <f>Fig3_SAF_demand!M14</f>
        <v>1.2602330156545398</v>
      </c>
      <c r="P14" s="31">
        <f>Fig3_SAF_demand!N14</f>
        <v>4.2524742775008919</v>
      </c>
      <c r="R14" s="30">
        <f t="shared" si="14"/>
        <v>0</v>
      </c>
      <c r="S14" s="30">
        <f t="shared" si="2"/>
        <v>18.998791129436402</v>
      </c>
      <c r="T14" s="30">
        <f t="shared" si="3"/>
        <v>64.108676393927624</v>
      </c>
      <c r="V14" s="14">
        <f t="shared" si="15"/>
        <v>0</v>
      </c>
      <c r="W14" s="14">
        <f t="shared" si="4"/>
        <v>1.2172050795557497E-2</v>
      </c>
      <c r="X14" s="14">
        <f t="shared" si="16"/>
        <v>4.1072827222875703E-2</v>
      </c>
      <c r="Y14" s="87"/>
      <c r="Z14" s="31">
        <f>Fig3_SAF_demand!S14</f>
        <v>0</v>
      </c>
      <c r="AA14" s="31">
        <f>Fig3_SAF_demand!T14</f>
        <v>0.65842292712379225</v>
      </c>
      <c r="AB14" s="31">
        <f>Fig3_SAF_demand!U14</f>
        <v>2.2217530619577879</v>
      </c>
      <c r="AD14" s="30">
        <f t="shared" si="17"/>
        <v>0</v>
      </c>
      <c r="AE14" s="30">
        <f t="shared" si="5"/>
        <v>9.9261323198710247</v>
      </c>
      <c r="AF14" s="30">
        <f t="shared" si="6"/>
        <v>33.49429973741676</v>
      </c>
      <c r="AH14" s="14">
        <f t="shared" si="18"/>
        <v>0</v>
      </c>
      <c r="AI14" s="14">
        <f t="shared" si="7"/>
        <v>6.3594249748709798E-3</v>
      </c>
      <c r="AJ14" s="14">
        <f t="shared" si="19"/>
        <v>2.1458960993249215E-2</v>
      </c>
      <c r="AU14" s="9">
        <f t="shared" si="20"/>
        <v>60.634134301667821</v>
      </c>
    </row>
    <row r="15" spans="1:47">
      <c r="A15">
        <f>Fig3_SAF_demand!A15</f>
        <v>2033</v>
      </c>
      <c r="B15" s="31">
        <f>Fig3_SAF_demand!E15</f>
        <v>0</v>
      </c>
      <c r="C15" s="31">
        <f>Fig3_SAF_demand!F15</f>
        <v>1.9817660041956182</v>
      </c>
      <c r="D15" s="31">
        <f>Fig3_SAF_demand!G15</f>
        <v>5.8912695582943773</v>
      </c>
      <c r="F15" s="30">
        <f t="shared" si="8"/>
        <v>0</v>
      </c>
      <c r="G15" s="30">
        <f t="shared" si="9"/>
        <v>29.876346606881327</v>
      </c>
      <c r="H15" s="30">
        <f t="shared" si="10"/>
        <v>88.814527499987193</v>
      </c>
      <c r="J15" s="14">
        <f t="shared" si="11"/>
        <v>0</v>
      </c>
      <c r="K15" s="14">
        <f t="shared" si="12"/>
        <v>1.9141028816364973E-2</v>
      </c>
      <c r="L15" s="14">
        <f t="shared" si="13"/>
        <v>5.690124875568079E-2</v>
      </c>
      <c r="M15" s="87"/>
      <c r="N15" s="31">
        <f>Fig3_SAF_demand!L15</f>
        <v>0</v>
      </c>
      <c r="O15" s="31">
        <f>Fig3_SAF_demand!M15</f>
        <v>1.5677230362841759</v>
      </c>
      <c r="P15" s="31">
        <f>Fig3_SAF_demand!N15</f>
        <v>4.6604286176795924</v>
      </c>
      <c r="R15" s="30">
        <f t="shared" si="14"/>
        <v>0</v>
      </c>
      <c r="S15" s="30">
        <f t="shared" si="2"/>
        <v>23.634393120306608</v>
      </c>
      <c r="T15" s="30">
        <f t="shared" si="3"/>
        <v>70.258840056618723</v>
      </c>
      <c r="V15" s="14">
        <f t="shared" si="15"/>
        <v>0</v>
      </c>
      <c r="W15" s="14">
        <f t="shared" si="4"/>
        <v>1.5141965171500921E-2</v>
      </c>
      <c r="X15" s="14">
        <f t="shared" si="16"/>
        <v>4.5013083420928274E-2</v>
      </c>
      <c r="Y15" s="87"/>
      <c r="Z15" s="31">
        <f>Fig3_SAF_demand!S15</f>
        <v>0</v>
      </c>
      <c r="AA15" s="31">
        <f>Fig3_SAF_demand!T15</f>
        <v>0.80014662639517231</v>
      </c>
      <c r="AB15" s="31">
        <f>Fig3_SAF_demand!U15</f>
        <v>2.3786256562449943</v>
      </c>
      <c r="AD15" s="30">
        <f t="shared" si="17"/>
        <v>0</v>
      </c>
      <c r="AE15" s="30">
        <f t="shared" si="5"/>
        <v>12.06270462602469</v>
      </c>
      <c r="AF15" s="30">
        <f t="shared" si="6"/>
        <v>35.859250993076017</v>
      </c>
      <c r="AH15" s="14">
        <f t="shared" si="18"/>
        <v>0</v>
      </c>
      <c r="AI15" s="14">
        <f t="shared" si="7"/>
        <v>7.7282734695833539E-3</v>
      </c>
      <c r="AJ15" s="14">
        <f t="shared" si="19"/>
        <v>2.2974126174906535E-2</v>
      </c>
      <c r="AU15" s="9">
        <f t="shared" si="20"/>
        <v>60.634134301667821</v>
      </c>
    </row>
    <row r="16" spans="1:47">
      <c r="A16">
        <f>Fig3_SAF_demand!A16</f>
        <v>2034</v>
      </c>
      <c r="B16" s="31">
        <f>Fig3_SAF_demand!E16</f>
        <v>0</v>
      </c>
      <c r="C16" s="31">
        <f>Fig3_SAF_demand!F16</f>
        <v>2.4258390508502052</v>
      </c>
      <c r="D16" s="31">
        <f>Fig3_SAF_demand!G16</f>
        <v>6.5413976544688985</v>
      </c>
      <c r="F16" s="30">
        <f t="shared" si="8"/>
        <v>0</v>
      </c>
      <c r="G16" s="30">
        <f t="shared" si="9"/>
        <v>36.571022079433554</v>
      </c>
      <c r="H16" s="30">
        <f t="shared" si="10"/>
        <v>98.615610119761826</v>
      </c>
      <c r="J16" s="14">
        <f t="shared" si="11"/>
        <v>0</v>
      </c>
      <c r="K16" s="14">
        <f t="shared" si="12"/>
        <v>2.3430140126474729E-2</v>
      </c>
      <c r="L16" s="14">
        <f t="shared" si="13"/>
        <v>6.3180557512042254E-2</v>
      </c>
      <c r="M16" s="87"/>
      <c r="N16" s="31">
        <f>Fig3_SAF_demand!L16</f>
        <v>0</v>
      </c>
      <c r="O16" s="31">
        <f>Fig3_SAF_demand!M16</f>
        <v>1.8781972996215528</v>
      </c>
      <c r="P16" s="31">
        <f>Fig3_SAF_demand!N16</f>
        <v>5.0646539827398067</v>
      </c>
      <c r="R16" s="30">
        <f t="shared" si="14"/>
        <v>0</v>
      </c>
      <c r="S16" s="30">
        <f t="shared" si="2"/>
        <v>28.31498441329763</v>
      </c>
      <c r="T16" s="30">
        <f t="shared" si="3"/>
        <v>76.35278711609206</v>
      </c>
      <c r="V16" s="14">
        <f t="shared" si="15"/>
        <v>0</v>
      </c>
      <c r="W16" s="14">
        <f t="shared" si="4"/>
        <v>1.8140703069264262E-2</v>
      </c>
      <c r="X16" s="14">
        <f t="shared" si="16"/>
        <v>4.8917323045860037E-2</v>
      </c>
      <c r="Y16" s="87"/>
      <c r="Z16" s="31">
        <f>Fig3_SAF_demand!S16</f>
        <v>0</v>
      </c>
      <c r="AA16" s="31">
        <f>Fig3_SAF_demand!T16</f>
        <v>0.93555478878794796</v>
      </c>
      <c r="AB16" s="31">
        <f>Fig3_SAF_demand!U16</f>
        <v>2.5227707909392247</v>
      </c>
      <c r="AD16" s="30">
        <f t="shared" si="17"/>
        <v>0</v>
      </c>
      <c r="AE16" s="30">
        <f t="shared" si="5"/>
        <v>14.104066312764024</v>
      </c>
      <c r="AF16" s="30">
        <f t="shared" si="6"/>
        <v>38.032327933896994</v>
      </c>
      <c r="AH16" s="14">
        <f t="shared" si="18"/>
        <v>0</v>
      </c>
      <c r="AI16" s="14">
        <f t="shared" si="7"/>
        <v>9.0361228992556306E-3</v>
      </c>
      <c r="AJ16" s="14">
        <f t="shared" si="19"/>
        <v>2.4366362276989115E-2</v>
      </c>
      <c r="AU16" s="9">
        <f t="shared" si="20"/>
        <v>60.634134301667821</v>
      </c>
    </row>
    <row r="17" spans="1:47">
      <c r="A17">
        <f>Fig3_SAF_demand!A17</f>
        <v>2035</v>
      </c>
      <c r="B17" s="31">
        <f>Fig3_SAF_demand!E17</f>
        <v>0</v>
      </c>
      <c r="C17" s="31">
        <f>Fig3_SAF_demand!F17</f>
        <v>2.892233769561658</v>
      </c>
      <c r="D17" s="31">
        <f>Fig3_SAF_demand!G17</f>
        <v>7.211865583820054</v>
      </c>
      <c r="F17" s="30">
        <f t="shared" si="8"/>
        <v>0</v>
      </c>
      <c r="G17" s="30">
        <f t="shared" si="9"/>
        <v>43.602210545852941</v>
      </c>
      <c r="H17" s="30">
        <f t="shared" si="10"/>
        <v>108.72332828814548</v>
      </c>
      <c r="J17" s="14">
        <f t="shared" si="11"/>
        <v>0</v>
      </c>
      <c r="K17" s="14">
        <f t="shared" si="12"/>
        <v>2.7934846904043985E-2</v>
      </c>
      <c r="L17" s="14">
        <f t="shared" si="13"/>
        <v>6.9656320003168445E-2</v>
      </c>
      <c r="M17" s="87"/>
      <c r="N17" s="31">
        <f>Fig3_SAF_demand!L17</f>
        <v>0</v>
      </c>
      <c r="O17" s="31">
        <f>Fig3_SAF_demand!M17</f>
        <v>2.191672047523086</v>
      </c>
      <c r="P17" s="31">
        <f>Fig3_SAF_demand!N17</f>
        <v>5.4649953876127046</v>
      </c>
      <c r="R17" s="30">
        <f t="shared" si="14"/>
        <v>0</v>
      </c>
      <c r="S17" s="30">
        <f t="shared" si="2"/>
        <v>33.040809864427175</v>
      </c>
      <c r="T17" s="30">
        <f t="shared" si="3"/>
        <v>82.388181076704115</v>
      </c>
      <c r="V17" s="14">
        <f t="shared" si="15"/>
        <v>0</v>
      </c>
      <c r="W17" s="14">
        <f t="shared" si="4"/>
        <v>2.1168421361980376E-2</v>
      </c>
      <c r="X17" s="14">
        <f t="shared" si="16"/>
        <v>5.2784049163289076E-2</v>
      </c>
      <c r="Y17" s="87"/>
      <c r="Z17" s="31">
        <f>Fig3_SAF_demand!S17</f>
        <v>0</v>
      </c>
      <c r="AA17" s="31">
        <f>Fig3_SAF_demand!T17</f>
        <v>1.0643724377760053</v>
      </c>
      <c r="AB17" s="31">
        <f>Fig3_SAF_demand!U17</f>
        <v>2.6540423644686237</v>
      </c>
      <c r="AD17" s="30">
        <f t="shared" si="17"/>
        <v>0</v>
      </c>
      <c r="AE17" s="30">
        <f t="shared" si="5"/>
        <v>16.04607193911086</v>
      </c>
      <c r="AF17" s="30">
        <f t="shared" si="6"/>
        <v>40.011327988440215</v>
      </c>
      <c r="AH17" s="14">
        <f t="shared" si="18"/>
        <v>0</v>
      </c>
      <c r="AI17" s="14">
        <f t="shared" si="7"/>
        <v>1.0280317383426128E-2</v>
      </c>
      <c r="AJ17" s="14">
        <f t="shared" si="19"/>
        <v>2.5634258167006495E-2</v>
      </c>
      <c r="AU17" s="9">
        <f t="shared" si="20"/>
        <v>60.634134301667821</v>
      </c>
    </row>
    <row r="18" spans="1:47">
      <c r="A18">
        <f>Fig3_SAF_demand!A18</f>
        <v>2036</v>
      </c>
      <c r="B18" s="31">
        <f>Fig3_SAF_demand!E18</f>
        <v>0</v>
      </c>
      <c r="C18" s="31">
        <f>Fig3_SAF_demand!F18</f>
        <v>3.7381649145820806</v>
      </c>
      <c r="D18" s="31">
        <f>Fig3_SAF_demand!G18</f>
        <v>7.9029234609998902</v>
      </c>
      <c r="F18" s="30">
        <f t="shared" si="8"/>
        <v>0</v>
      </c>
      <c r="G18" s="30">
        <f t="shared" si="9"/>
        <v>56.355145070251737</v>
      </c>
      <c r="H18" s="30">
        <f t="shared" si="10"/>
        <v>119.14145263800816</v>
      </c>
      <c r="J18" s="14">
        <f t="shared" si="11"/>
        <v>0</v>
      </c>
      <c r="K18" s="14">
        <f t="shared" si="12"/>
        <v>3.6105333424256911E-2</v>
      </c>
      <c r="L18" s="14">
        <f t="shared" si="13"/>
        <v>7.6330951979330652E-2</v>
      </c>
      <c r="M18" s="87"/>
      <c r="N18" s="31">
        <f>Fig3_SAF_demand!L18</f>
        <v>0</v>
      </c>
      <c r="O18" s="31">
        <f>Fig3_SAF_demand!M18</f>
        <v>2.7724534540657402</v>
      </c>
      <c r="P18" s="31">
        <f>Fig3_SAF_demand!N18</f>
        <v>5.8612950330779805</v>
      </c>
      <c r="R18" s="30">
        <f t="shared" si="14"/>
        <v>0</v>
      </c>
      <c r="S18" s="30">
        <f t="shared" si="2"/>
        <v>41.79644830406388</v>
      </c>
      <c r="T18" s="30">
        <f t="shared" si="3"/>
        <v>88.362643017739643</v>
      </c>
      <c r="V18" s="14">
        <f t="shared" si="15"/>
        <v>0</v>
      </c>
      <c r="W18" s="14">
        <f t="shared" si="4"/>
        <v>2.6777940152345393E-2</v>
      </c>
      <c r="X18" s="14">
        <f t="shared" si="16"/>
        <v>5.6611737658149995E-2</v>
      </c>
      <c r="Y18" s="87"/>
      <c r="Z18" s="31">
        <f>Fig3_SAF_demand!S18</f>
        <v>0</v>
      </c>
      <c r="AA18" s="31">
        <f>Fig3_SAF_demand!T18</f>
        <v>1.3113338164791353</v>
      </c>
      <c r="AB18" s="31">
        <f>Fig3_SAF_demand!U18</f>
        <v>2.7723150316427616</v>
      </c>
      <c r="AD18" s="30">
        <f t="shared" si="17"/>
        <v>0</v>
      </c>
      <c r="AE18" s="30">
        <f t="shared" si="5"/>
        <v>19.769167265717183</v>
      </c>
      <c r="AF18" s="30">
        <f t="shared" si="6"/>
        <v>41.794361500536965</v>
      </c>
      <c r="AH18" s="14">
        <f t="shared" si="18"/>
        <v>0</v>
      </c>
      <c r="AI18" s="14">
        <f t="shared" si="7"/>
        <v>1.266561153837583E-2</v>
      </c>
      <c r="AJ18" s="14">
        <f t="shared" si="19"/>
        <v>2.6776603189464076E-2</v>
      </c>
      <c r="AU18" s="9">
        <f t="shared" si="20"/>
        <v>60.634134301667821</v>
      </c>
    </row>
    <row r="19" spans="1:47">
      <c r="A19">
        <f>Fig3_SAF_demand!A19</f>
        <v>2037</v>
      </c>
      <c r="B19" s="31">
        <f>Fig3_SAF_demand!E19</f>
        <v>0</v>
      </c>
      <c r="C19" s="31">
        <f>Fig3_SAF_demand!F19</f>
        <v>4.6272315321908142</v>
      </c>
      <c r="D19" s="31">
        <f>Fig3_SAF_demand!G19</f>
        <v>8.6148070086373316</v>
      </c>
      <c r="F19" s="30">
        <f t="shared" si="8"/>
        <v>0</v>
      </c>
      <c r="G19" s="30">
        <f t="shared" si="9"/>
        <v>69.758373487759812</v>
      </c>
      <c r="H19" s="30">
        <f t="shared" si="10"/>
        <v>129.8735368335816</v>
      </c>
      <c r="J19" s="14">
        <f t="shared" si="11"/>
        <v>0</v>
      </c>
      <c r="K19" s="14">
        <f t="shared" si="12"/>
        <v>4.4692446994319499E-2</v>
      </c>
      <c r="L19" s="14">
        <f t="shared" si="13"/>
        <v>8.3206730184414518E-2</v>
      </c>
      <c r="M19" s="87"/>
      <c r="N19" s="31">
        <f>Fig3_SAF_demand!L19</f>
        <v>0</v>
      </c>
      <c r="O19" s="31">
        <f>Fig3_SAF_demand!M19</f>
        <v>3.3588557288580168</v>
      </c>
      <c r="P19" s="31">
        <f>Fig3_SAF_demand!N19</f>
        <v>6.2533922654757834</v>
      </c>
      <c r="R19" s="30">
        <f t="shared" si="14"/>
        <v>0</v>
      </c>
      <c r="S19" s="30">
        <f t="shared" si="2"/>
        <v>50.636824804451351</v>
      </c>
      <c r="T19" s="30">
        <f t="shared" si="3"/>
        <v>94.273750986044121</v>
      </c>
      <c r="V19" s="14">
        <f t="shared" si="15"/>
        <v>0</v>
      </c>
      <c r="W19" s="14">
        <f t="shared" si="4"/>
        <v>3.2441748501069595E-2</v>
      </c>
      <c r="X19" s="14">
        <f t="shared" si="16"/>
        <v>6.0398836845568731E-2</v>
      </c>
      <c r="Y19" s="87"/>
      <c r="Z19" s="31">
        <f>Fig3_SAF_demand!S19</f>
        <v>0</v>
      </c>
      <c r="AA19" s="31">
        <f>Fig3_SAF_demand!T19</f>
        <v>1.545569811044269</v>
      </c>
      <c r="AB19" s="31">
        <f>Fig3_SAF_demand!U19</f>
        <v>2.8774842036526347</v>
      </c>
      <c r="AD19" s="30">
        <f t="shared" si="17"/>
        <v>0</v>
      </c>
      <c r="AE19" s="30">
        <f t="shared" si="5"/>
        <v>23.300419566251009</v>
      </c>
      <c r="AF19" s="30">
        <f t="shared" si="6"/>
        <v>43.379851729289292</v>
      </c>
      <c r="AH19" s="14">
        <f t="shared" si="18"/>
        <v>0</v>
      </c>
      <c r="AI19" s="14">
        <f t="shared" si="7"/>
        <v>1.4927996659681286E-2</v>
      </c>
      <c r="AJ19" s="14">
        <f t="shared" si="19"/>
        <v>2.7792387165863103E-2</v>
      </c>
      <c r="AU19" s="9">
        <f t="shared" si="20"/>
        <v>60.634134301667821</v>
      </c>
    </row>
    <row r="20" spans="1:47">
      <c r="A20">
        <f>Fig3_SAF_demand!A20</f>
        <v>2038</v>
      </c>
      <c r="B20" s="31">
        <f>Fig3_SAF_demand!E20</f>
        <v>0</v>
      </c>
      <c r="C20" s="31">
        <f>Fig3_SAF_demand!F20</f>
        <v>5.561115547420008</v>
      </c>
      <c r="D20" s="31">
        <f>Fig3_SAF_demand!G20</f>
        <v>9.3477361494052413</v>
      </c>
      <c r="F20" s="30">
        <f t="shared" si="8"/>
        <v>0</v>
      </c>
      <c r="G20" s="30">
        <f t="shared" si="9"/>
        <v>83.837251857125239</v>
      </c>
      <c r="H20" s="30">
        <f t="shared" si="10"/>
        <v>140.92289634500065</v>
      </c>
      <c r="J20" s="14">
        <f t="shared" si="11"/>
        <v>0</v>
      </c>
      <c r="K20" s="14">
        <f t="shared" si="12"/>
        <v>5.3712432607555476E-2</v>
      </c>
      <c r="L20" s="14">
        <f t="shared" si="13"/>
        <v>9.0285778757299109E-2</v>
      </c>
      <c r="M20" s="87"/>
      <c r="N20" s="31">
        <f>Fig3_SAF_demand!L20</f>
        <v>0</v>
      </c>
      <c r="O20" s="31">
        <f>Fig3_SAF_demand!M20</f>
        <v>3.9509090498038928</v>
      </c>
      <c r="P20" s="31">
        <f>Fig3_SAF_demand!N20</f>
        <v>6.6411235359060665</v>
      </c>
      <c r="R20" s="30">
        <f t="shared" si="14"/>
        <v>0</v>
      </c>
      <c r="S20" s="30">
        <f t="shared" si="2"/>
        <v>59.562394316132277</v>
      </c>
      <c r="T20" s="30">
        <f t="shared" si="3"/>
        <v>100.11903938092877</v>
      </c>
      <c r="V20" s="14">
        <f t="shared" si="15"/>
        <v>0</v>
      </c>
      <c r="W20" s="14">
        <f t="shared" si="4"/>
        <v>3.8160137883598816E-2</v>
      </c>
      <c r="X20" s="14">
        <f t="shared" si="16"/>
        <v>6.4143767076786512E-2</v>
      </c>
      <c r="Y20" s="87"/>
      <c r="Z20" s="31">
        <f>Fig3_SAF_demand!S20</f>
        <v>0</v>
      </c>
      <c r="AA20" s="31">
        <f>Fig3_SAF_demand!T20</f>
        <v>1.7665821481827244</v>
      </c>
      <c r="AB20" s="31">
        <f>Fig3_SAF_demand!U20</f>
        <v>2.9694660480706645</v>
      </c>
      <c r="AD20" s="30">
        <f t="shared" si="17"/>
        <v>0</v>
      </c>
      <c r="AE20" s="30">
        <f t="shared" si="5"/>
        <v>26.632317063112918</v>
      </c>
      <c r="AF20" s="30">
        <f t="shared" si="6"/>
        <v>44.766534849069984</v>
      </c>
      <c r="AH20" s="14">
        <f t="shared" si="18"/>
        <v>0</v>
      </c>
      <c r="AI20" s="14">
        <f t="shared" si="7"/>
        <v>1.7062660139114838E-2</v>
      </c>
      <c r="AJ20" s="14">
        <f t="shared" si="19"/>
        <v>2.8680800394700647E-2</v>
      </c>
      <c r="AU20" s="9">
        <f t="shared" si="20"/>
        <v>60.634134301667821</v>
      </c>
    </row>
    <row r="21" spans="1:47">
      <c r="A21">
        <f>Fig3_SAF_demand!A21</f>
        <v>2039</v>
      </c>
      <c r="B21" s="31">
        <f>Fig3_SAF_demand!E21</f>
        <v>0</v>
      </c>
      <c r="C21" s="31">
        <f>Fig3_SAF_demand!F21</f>
        <v>6.5415567981802276</v>
      </c>
      <c r="D21" s="31">
        <f>Fig3_SAF_demand!G21</f>
        <v>10.101913517378735</v>
      </c>
      <c r="F21" s="30">
        <f t="shared" si="8"/>
        <v>0</v>
      </c>
      <c r="G21" s="30">
        <f t="shared" si="9"/>
        <v>98.618009309509716</v>
      </c>
      <c r="H21" s="30">
        <f t="shared" si="10"/>
        <v>152.29258600611033</v>
      </c>
      <c r="J21" s="14">
        <f t="shared" si="11"/>
        <v>0</v>
      </c>
      <c r="K21" s="14">
        <f t="shared" si="12"/>
        <v>6.3182094612970446E-2</v>
      </c>
      <c r="L21" s="14">
        <f t="shared" si="13"/>
        <v>9.7570054853704485E-2</v>
      </c>
      <c r="M21" s="87"/>
      <c r="N21" s="31">
        <f>Fig3_SAF_demand!L21</f>
        <v>0</v>
      </c>
      <c r="O21" s="31">
        <f>Fig3_SAF_demand!M21</f>
        <v>4.5486435416896738</v>
      </c>
      <c r="P21" s="31">
        <f>Fig3_SAF_demand!N21</f>
        <v>7.0243223589092834</v>
      </c>
      <c r="R21" s="30">
        <f t="shared" si="14"/>
        <v>0</v>
      </c>
      <c r="S21" s="30">
        <f t="shared" si="2"/>
        <v>68.573610988867642</v>
      </c>
      <c r="T21" s="30">
        <f t="shared" si="3"/>
        <v>105.89599833125649</v>
      </c>
      <c r="V21" s="14">
        <f t="shared" si="15"/>
        <v>0</v>
      </c>
      <c r="W21" s="14">
        <f t="shared" si="4"/>
        <v>4.3933399262338087E-2</v>
      </c>
      <c r="X21" s="14">
        <f t="shared" si="16"/>
        <v>6.7844920340074458E-2</v>
      </c>
      <c r="Y21" s="87"/>
      <c r="Z21" s="31">
        <f>Fig3_SAF_demand!S21</f>
        <v>0</v>
      </c>
      <c r="AA21" s="31">
        <f>Fig3_SAF_demand!T21</f>
        <v>1.9738792032899195</v>
      </c>
      <c r="AB21" s="31">
        <f>Fig3_SAF_demand!U21</f>
        <v>3.0481974888507013</v>
      </c>
      <c r="AD21" s="30">
        <f t="shared" si="17"/>
        <v>0</v>
      </c>
      <c r="AE21" s="30">
        <f t="shared" si="5"/>
        <v>29.757448211723037</v>
      </c>
      <c r="AF21" s="30">
        <f t="shared" si="6"/>
        <v>45.953459949522632</v>
      </c>
      <c r="AH21" s="14">
        <f t="shared" si="18"/>
        <v>0</v>
      </c>
      <c r="AI21" s="14">
        <f t="shared" si="7"/>
        <v>1.9064853585240151E-2</v>
      </c>
      <c r="AJ21" s="14">
        <f t="shared" si="19"/>
        <v>2.9441233651469671E-2</v>
      </c>
      <c r="AU21" s="9">
        <f t="shared" si="20"/>
        <v>60.634134301667821</v>
      </c>
    </row>
    <row r="22" spans="1:47">
      <c r="A22">
        <f>Fig3_SAF_demand!A22</f>
        <v>2040</v>
      </c>
      <c r="B22" s="31">
        <f>Fig3_SAF_demand!E22</f>
        <v>0</v>
      </c>
      <c r="C22" s="31">
        <f>Fig3_SAF_demand!F22</f>
        <v>7.5703548757075838</v>
      </c>
      <c r="D22" s="31">
        <f>Fig3_SAF_demand!G22</f>
        <v>10.877522884845275</v>
      </c>
      <c r="F22" s="30">
        <f t="shared" si="8"/>
        <v>0</v>
      </c>
      <c r="G22" s="30">
        <f t="shared" si="9"/>
        <v>114.12777579436586</v>
      </c>
      <c r="H22" s="30">
        <f t="shared" si="10"/>
        <v>163.9853762976563</v>
      </c>
      <c r="J22" s="14">
        <f t="shared" si="11"/>
        <v>0</v>
      </c>
      <c r="K22" s="14">
        <f t="shared" si="12"/>
        <v>7.3118814491342221E-2</v>
      </c>
      <c r="L22" s="14">
        <f t="shared" si="13"/>
        <v>0.10506133345142445</v>
      </c>
      <c r="M22" s="87"/>
      <c r="N22" s="31">
        <f>Fig3_SAF_demand!L22</f>
        <v>0</v>
      </c>
      <c r="O22" s="31">
        <f>Fig3_SAF_demand!M22</f>
        <v>5.152089271852125</v>
      </c>
      <c r="P22" s="31">
        <f>Fig3_SAF_demand!N22</f>
        <v>7.4028192706222633</v>
      </c>
      <c r="R22" s="30">
        <f t="shared" si="14"/>
        <v>0</v>
      </c>
      <c r="S22" s="30">
        <f t="shared" si="2"/>
        <v>77.670928106331104</v>
      </c>
      <c r="T22" s="30">
        <f t="shared" si="3"/>
        <v>111.60207306461585</v>
      </c>
      <c r="V22" s="14">
        <f t="shared" si="15"/>
        <v>0</v>
      </c>
      <c r="W22" s="14">
        <f t="shared" si="4"/>
        <v>4.9761823044811922E-2</v>
      </c>
      <c r="X22" s="14">
        <f t="shared" si="16"/>
        <v>7.1500659856579038E-2</v>
      </c>
      <c r="Y22" s="87"/>
      <c r="Z22" s="31">
        <f>Fig3_SAF_demand!S22</f>
        <v>0</v>
      </c>
      <c r="AA22" s="31">
        <f>Fig3_SAF_demand!T22</f>
        <v>2.1669760004453669</v>
      </c>
      <c r="AB22" s="31">
        <f>Fig3_SAF_demand!U22</f>
        <v>3.1136362063280165</v>
      </c>
      <c r="AD22" s="30">
        <f t="shared" si="17"/>
        <v>0</v>
      </c>
      <c r="AE22" s="30">
        <f t="shared" si="5"/>
        <v>32.66850170052097</v>
      </c>
      <c r="AF22" s="30">
        <f t="shared" si="6"/>
        <v>46.939989035561524</v>
      </c>
      <c r="AH22" s="14">
        <f t="shared" si="18"/>
        <v>0</v>
      </c>
      <c r="AI22" s="14">
        <f t="shared" si="7"/>
        <v>2.0929892823412167E-2</v>
      </c>
      <c r="AJ22" s="14">
        <f t="shared" si="19"/>
        <v>3.0073278188658948E-2</v>
      </c>
      <c r="AU22" s="9">
        <f t="shared" si="20"/>
        <v>60.634134301667821</v>
      </c>
    </row>
    <row r="23" spans="1:47">
      <c r="A23">
        <f>Fig3_SAF_demand!A23</f>
        <v>2041</v>
      </c>
      <c r="B23" s="31">
        <f>Fig3_SAF_demand!E23</f>
        <v>0</v>
      </c>
      <c r="C23" s="31">
        <f>Fig3_SAF_demand!F23</f>
        <v>8.3703590514574255</v>
      </c>
      <c r="D23" s="31">
        <f>Fig3_SAF_demand!G23</f>
        <v>11.674727500561811</v>
      </c>
      <c r="F23" s="30">
        <f t="shared" si="8"/>
        <v>0</v>
      </c>
      <c r="G23" s="30">
        <f t="shared" si="9"/>
        <v>126.18833288892353</v>
      </c>
      <c r="H23" s="30">
        <f t="shared" si="10"/>
        <v>176.00372829548473</v>
      </c>
      <c r="J23" s="14">
        <f t="shared" si="11"/>
        <v>0</v>
      </c>
      <c r="K23" s="14">
        <f t="shared" si="12"/>
        <v>8.0845712091170308E-2</v>
      </c>
      <c r="L23" s="14">
        <f t="shared" si="13"/>
        <v>0.11276119130026419</v>
      </c>
      <c r="M23" s="87"/>
      <c r="N23" s="31">
        <f>Fig3_SAF_demand!L23</f>
        <v>0</v>
      </c>
      <c r="O23" s="31">
        <f>Fig3_SAF_demand!M23</f>
        <v>5.5754286249352401</v>
      </c>
      <c r="P23" s="31">
        <f>Fig3_SAF_demand!N23</f>
        <v>7.7764417864031037</v>
      </c>
      <c r="R23" s="30">
        <f t="shared" si="14"/>
        <v>0</v>
      </c>
      <c r="S23" s="30">
        <f t="shared" si="2"/>
        <v>84.053030341543135</v>
      </c>
      <c r="T23" s="30">
        <f t="shared" si="3"/>
        <v>117.23466326849015</v>
      </c>
      <c r="V23" s="14">
        <f t="shared" si="15"/>
        <v>0</v>
      </c>
      <c r="W23" s="14">
        <f t="shared" si="4"/>
        <v>5.3850676491338886E-2</v>
      </c>
      <c r="X23" s="14">
        <f t="shared" si="16"/>
        <v>7.5109319671039107E-2</v>
      </c>
      <c r="Y23" s="87"/>
      <c r="Z23" s="31">
        <f>Fig3_SAF_demand!S23</f>
        <v>0</v>
      </c>
      <c r="AA23" s="31">
        <f>Fig3_SAF_demand!T23</f>
        <v>2.2697363345929173</v>
      </c>
      <c r="AB23" s="31">
        <f>Fig3_SAF_demand!U23</f>
        <v>3.1657606372193121</v>
      </c>
      <c r="AD23" s="30">
        <f t="shared" si="17"/>
        <v>0</v>
      </c>
      <c r="AE23" s="30">
        <f t="shared" si="5"/>
        <v>34.217677210612187</v>
      </c>
      <c r="AF23" s="30">
        <f t="shared" si="6"/>
        <v>47.725797027371769</v>
      </c>
      <c r="AH23" s="14">
        <f t="shared" si="18"/>
        <v>0</v>
      </c>
      <c r="AI23" s="14">
        <f t="shared" si="7"/>
        <v>2.1922410866881143E-2</v>
      </c>
      <c r="AJ23" s="14">
        <f t="shared" si="19"/>
        <v>3.0576725735753124E-2</v>
      </c>
      <c r="AU23" s="9">
        <f t="shared" si="20"/>
        <v>60.634134301667821</v>
      </c>
    </row>
    <row r="24" spans="1:47">
      <c r="A24">
        <f>Fig3_SAF_demand!A24</f>
        <v>2042</v>
      </c>
      <c r="B24" s="31">
        <f>Fig3_SAF_demand!E24</f>
        <v>0</v>
      </c>
      <c r="C24" s="31">
        <f>Fig3_SAF_demand!F24</f>
        <v>9.2076119911987497</v>
      </c>
      <c r="D24" s="31">
        <f>Fig3_SAF_demand!G24</f>
        <v>12.493668335282152</v>
      </c>
      <c r="F24" s="30">
        <f t="shared" si="8"/>
        <v>0</v>
      </c>
      <c r="G24" s="30">
        <f t="shared" si="9"/>
        <v>138.8104381084018</v>
      </c>
      <c r="H24" s="30">
        <f t="shared" si="10"/>
        <v>188.34976722078383</v>
      </c>
      <c r="J24" s="14">
        <f t="shared" si="11"/>
        <v>0</v>
      </c>
      <c r="K24" s="14">
        <f t="shared" si="12"/>
        <v>8.8932379544465201E-2</v>
      </c>
      <c r="L24" s="14">
        <f t="shared" si="13"/>
        <v>0.12067098997634072</v>
      </c>
      <c r="M24" s="87"/>
      <c r="N24" s="31">
        <f>Fig3_SAF_demand!L24</f>
        <v>0</v>
      </c>
      <c r="O24" s="31">
        <f>Fig3_SAF_demand!M24</f>
        <v>6.002731132110287</v>
      </c>
      <c r="P24" s="31">
        <f>Fig3_SAF_demand!N24</f>
        <v>8.1450143579187504</v>
      </c>
      <c r="R24" s="30">
        <f t="shared" si="14"/>
        <v>0</v>
      </c>
      <c r="S24" s="30">
        <f t="shared" si="2"/>
        <v>90.494879572644876</v>
      </c>
      <c r="T24" s="30">
        <f t="shared" si="3"/>
        <v>122.79112244332624</v>
      </c>
      <c r="V24" s="14">
        <f t="shared" si="15"/>
        <v>0</v>
      </c>
      <c r="W24" s="14">
        <f t="shared" si="4"/>
        <v>5.7977808345365395E-2</v>
      </c>
      <c r="X24" s="14">
        <f t="shared" si="16"/>
        <v>7.8669204237313231E-2</v>
      </c>
      <c r="Y24" s="87"/>
      <c r="Z24" s="31">
        <f>Fig3_SAF_demand!S24</f>
        <v>0</v>
      </c>
      <c r="AA24" s="31">
        <f>Fig3_SAF_demand!T24</f>
        <v>2.361711239095833</v>
      </c>
      <c r="AB24" s="31">
        <f>Fig3_SAF_demand!U24</f>
        <v>3.2045699746227148</v>
      </c>
      <c r="AD24" s="30">
        <f t="shared" si="17"/>
        <v>0</v>
      </c>
      <c r="AE24" s="30">
        <f t="shared" si="5"/>
        <v>35.604255706885887</v>
      </c>
      <c r="AF24" s="30">
        <f t="shared" si="6"/>
        <v>48.310871760409228</v>
      </c>
      <c r="AH24" s="14">
        <f t="shared" si="18"/>
        <v>0</v>
      </c>
      <c r="AI24" s="14">
        <f t="shared" si="7"/>
        <v>2.2810757066051762E-2</v>
      </c>
      <c r="AJ24" s="14">
        <f t="shared" si="19"/>
        <v>3.0951568499232699E-2</v>
      </c>
      <c r="AU24" s="9">
        <f t="shared" si="20"/>
        <v>60.634134301667821</v>
      </c>
    </row>
    <row r="25" spans="1:47">
      <c r="A25">
        <f>Fig3_SAF_demand!A25</f>
        <v>2043</v>
      </c>
      <c r="B25" s="31">
        <f>Fig3_SAF_demand!E25</f>
        <v>0</v>
      </c>
      <c r="C25" s="31">
        <f>Fig3_SAF_demand!F25</f>
        <v>10.08351492232511</v>
      </c>
      <c r="D25" s="31">
        <f>Fig3_SAF_demand!G25</f>
        <v>13.334462230198856</v>
      </c>
      <c r="F25" s="30">
        <f t="shared" si="8"/>
        <v>0</v>
      </c>
      <c r="G25" s="30">
        <f t="shared" si="9"/>
        <v>152.01521582126611</v>
      </c>
      <c r="H25" s="30">
        <f t="shared" si="10"/>
        <v>201.02525452670176</v>
      </c>
      <c r="J25" s="14">
        <f t="shared" si="11"/>
        <v>0</v>
      </c>
      <c r="K25" s="14">
        <f t="shared" si="12"/>
        <v>9.7392350706314482E-2</v>
      </c>
      <c r="L25" s="14">
        <f t="shared" si="13"/>
        <v>0.12879185799867651</v>
      </c>
      <c r="M25" s="87"/>
      <c r="N25" s="31">
        <f>Fig3_SAF_demand!L25</f>
        <v>0</v>
      </c>
      <c r="O25" s="31">
        <f>Fig3_SAF_demand!M25</f>
        <v>6.434017113011727</v>
      </c>
      <c r="P25" s="31">
        <f>Fig3_SAF_demand!N25</f>
        <v>8.508358329688976</v>
      </c>
      <c r="R25" s="30">
        <f t="shared" si="14"/>
        <v>0</v>
      </c>
      <c r="S25" s="30">
        <f t="shared" si="2"/>
        <v>96.996782130676806</v>
      </c>
      <c r="T25" s="30">
        <f t="shared" si="3"/>
        <v>128.26875724740813</v>
      </c>
      <c r="V25" s="14">
        <f t="shared" si="15"/>
        <v>0</v>
      </c>
      <c r="W25" s="14">
        <f t="shared" si="4"/>
        <v>6.2143414865535485E-2</v>
      </c>
      <c r="X25" s="14">
        <f t="shared" si="16"/>
        <v>8.2178587998656585E-2</v>
      </c>
      <c r="Y25" s="87"/>
      <c r="Z25" s="31">
        <f>Fig3_SAF_demand!S25</f>
        <v>0</v>
      </c>
      <c r="AA25" s="31">
        <f>Fig3_SAF_demand!T25</f>
        <v>2.4425883358692921</v>
      </c>
      <c r="AB25" s="31">
        <f>Fig3_SAF_demand!U25</f>
        <v>3.2300841680177772</v>
      </c>
      <c r="AD25" s="30">
        <f t="shared" si="17"/>
        <v>0</v>
      </c>
      <c r="AE25" s="30">
        <f t="shared" si="5"/>
        <v>36.823527896764283</v>
      </c>
      <c r="AF25" s="30">
        <f t="shared" si="6"/>
        <v>48.69551398540051</v>
      </c>
      <c r="AH25" s="14">
        <f t="shared" si="18"/>
        <v>0</v>
      </c>
      <c r="AI25" s="14">
        <f t="shared" si="7"/>
        <v>2.3591914294830176E-2</v>
      </c>
      <c r="AJ25" s="14">
        <f t="shared" si="19"/>
        <v>3.1197999162574017E-2</v>
      </c>
      <c r="AU25" s="9">
        <f t="shared" si="20"/>
        <v>60.634134301667821</v>
      </c>
    </row>
    <row r="26" spans="1:47">
      <c r="A26">
        <f>Fig3_SAF_demand!A26</f>
        <v>2044</v>
      </c>
      <c r="B26" s="31">
        <f>Fig3_SAF_demand!E26</f>
        <v>0</v>
      </c>
      <c r="C26" s="31">
        <f>Fig3_SAF_demand!F26</f>
        <v>10.999516341168528</v>
      </c>
      <c r="D26" s="31">
        <f>Fig3_SAF_demand!G26</f>
        <v>14.197199943757822</v>
      </c>
      <c r="F26" s="30">
        <f t="shared" si="8"/>
        <v>0</v>
      </c>
      <c r="G26" s="30">
        <f t="shared" si="9"/>
        <v>165.82450300442625</v>
      </c>
      <c r="H26" s="30">
        <f t="shared" si="10"/>
        <v>214.03155845286986</v>
      </c>
      <c r="J26" s="14">
        <f t="shared" si="11"/>
        <v>0</v>
      </c>
      <c r="K26" s="14">
        <f t="shared" si="12"/>
        <v>0.10623961598223167</v>
      </c>
      <c r="L26" s="14">
        <f t="shared" si="13"/>
        <v>0.13712467196421821</v>
      </c>
      <c r="M26" s="87"/>
      <c r="N26" s="31">
        <f>Fig3_SAF_demand!L26</f>
        <v>0</v>
      </c>
      <c r="O26" s="31">
        <f>Fig3_SAF_demand!M26</f>
        <v>6.8693068331678395</v>
      </c>
      <c r="P26" s="31">
        <f>Fig3_SAF_demand!N26</f>
        <v>8.8662918950802858</v>
      </c>
      <c r="R26" s="30">
        <f t="shared" si="14"/>
        <v>0</v>
      </c>
      <c r="S26" s="30">
        <f t="shared" si="2"/>
        <v>103.55904353099534</v>
      </c>
      <c r="T26" s="30">
        <f t="shared" si="3"/>
        <v>133.66482683343784</v>
      </c>
      <c r="V26" s="14">
        <f t="shared" si="15"/>
        <v>0</v>
      </c>
      <c r="W26" s="14">
        <f t="shared" si="4"/>
        <v>6.6347691787904756E-2</v>
      </c>
      <c r="X26" s="14">
        <f t="shared" si="16"/>
        <v>8.5635714962684906E-2</v>
      </c>
      <c r="Y26" s="87"/>
      <c r="Z26" s="31">
        <f>Fig3_SAF_demand!S26</f>
        <v>0</v>
      </c>
      <c r="AA26" s="31">
        <f>Fig3_SAF_demand!T26</f>
        <v>2.5120597800221738</v>
      </c>
      <c r="AB26" s="31">
        <f>Fig3_SAF_demand!U26</f>
        <v>3.2423439232654769</v>
      </c>
      <c r="AD26" s="30">
        <f t="shared" si="17"/>
        <v>0</v>
      </c>
      <c r="AE26" s="30">
        <f t="shared" si="5"/>
        <v>37.870852828364647</v>
      </c>
      <c r="AF26" s="30">
        <f t="shared" si="6"/>
        <v>48.880337368342978</v>
      </c>
      <c r="AH26" s="14">
        <f t="shared" si="18"/>
        <v>0</v>
      </c>
      <c r="AI26" s="14">
        <f t="shared" si="7"/>
        <v>2.4262909211298398E-2</v>
      </c>
      <c r="AJ26" s="14">
        <f t="shared" si="19"/>
        <v>3.1316410886249257E-2</v>
      </c>
      <c r="AU26" s="9">
        <f t="shared" si="20"/>
        <v>60.634134301667821</v>
      </c>
    </row>
    <row r="27" spans="1:47">
      <c r="A27">
        <f>Fig3_SAF_demand!A27</f>
        <v>2045</v>
      </c>
      <c r="B27" s="31">
        <f>Fig3_SAF_demand!E27</f>
        <v>0</v>
      </c>
      <c r="C27" s="31">
        <f>Fig3_SAF_demand!F27</f>
        <v>11.957113493405</v>
      </c>
      <c r="D27" s="31">
        <f>Fig3_SAF_demand!G27</f>
        <v>15.081944092110051</v>
      </c>
      <c r="F27" s="30">
        <f t="shared" si="8"/>
        <v>0</v>
      </c>
      <c r="G27" s="30">
        <f t="shared" si="9"/>
        <v>180.26087156126385</v>
      </c>
      <c r="H27" s="30">
        <f t="shared" si="10"/>
        <v>227.36962297644118</v>
      </c>
      <c r="J27" s="14">
        <f t="shared" si="11"/>
        <v>0</v>
      </c>
      <c r="K27" s="14">
        <f t="shared" si="12"/>
        <v>0.11548863662675882</v>
      </c>
      <c r="L27" s="14">
        <f t="shared" si="13"/>
        <v>0.14567003665554262</v>
      </c>
      <c r="M27" s="87"/>
      <c r="N27" s="31">
        <f>Fig3_SAF_demand!L27</f>
        <v>0</v>
      </c>
      <c r="O27" s="31">
        <f>Fig3_SAF_demand!M27</f>
        <v>7.3086205007266365</v>
      </c>
      <c r="P27" s="31">
        <f>Fig3_SAF_demand!N27</f>
        <v>9.2186300517432898</v>
      </c>
      <c r="R27" s="30">
        <f t="shared" si="14"/>
        <v>0</v>
      </c>
      <c r="S27" s="30">
        <f t="shared" si="2"/>
        <v>110.18196842391387</v>
      </c>
      <c r="T27" s="30">
        <f t="shared" si="3"/>
        <v>138.97654217672641</v>
      </c>
      <c r="V27" s="14">
        <f t="shared" si="15"/>
        <v>0</v>
      </c>
      <c r="W27" s="14">
        <f t="shared" si="4"/>
        <v>7.0590834294317367E-2</v>
      </c>
      <c r="X27" s="14">
        <f t="shared" si="16"/>
        <v>8.9038798270963185E-2</v>
      </c>
      <c r="Y27" s="87"/>
      <c r="Z27" s="31">
        <f>Fig3_SAF_demand!S27</f>
        <v>0</v>
      </c>
      <c r="AA27" s="31">
        <f>Fig3_SAF_demand!T27</f>
        <v>2.5698222598570628</v>
      </c>
      <c r="AB27" s="31">
        <f>Fig3_SAF_demand!U27</f>
        <v>3.2414107026082197</v>
      </c>
      <c r="AD27" s="30">
        <f t="shared" si="17"/>
        <v>0</v>
      </c>
      <c r="AE27" s="30">
        <f t="shared" si="5"/>
        <v>38.741657890499411</v>
      </c>
      <c r="AF27" s="30">
        <f t="shared" si="6"/>
        <v>48.866268490504787</v>
      </c>
      <c r="AH27" s="14">
        <f t="shared" si="18"/>
        <v>0</v>
      </c>
      <c r="AI27" s="14">
        <f t="shared" si="7"/>
        <v>2.4820812257714351E-2</v>
      </c>
      <c r="AJ27" s="14">
        <f t="shared" si="19"/>
        <v>3.1307397307726484E-2</v>
      </c>
      <c r="AU27" s="9">
        <f t="shared" si="20"/>
        <v>60.634134301667821</v>
      </c>
    </row>
    <row r="28" spans="1:47">
      <c r="A28">
        <f>Fig3_SAF_demand!A28</f>
        <v>2046</v>
      </c>
      <c r="B28" s="31">
        <f>Fig3_SAF_demand!E28</f>
        <v>0</v>
      </c>
      <c r="C28" s="31">
        <f>Fig3_SAF_demand!F28</f>
        <v>12.775989281902014</v>
      </c>
      <c r="D28" s="31">
        <f>Fig3_SAF_demand!G28</f>
        <v>15.988726978263712</v>
      </c>
      <c r="F28" s="30">
        <f t="shared" si="8"/>
        <v>0</v>
      </c>
      <c r="G28" s="30">
        <f t="shared" si="9"/>
        <v>192.60592987456869</v>
      </c>
      <c r="H28" s="30">
        <f t="shared" si="10"/>
        <v>241.03993508521668</v>
      </c>
      <c r="J28" s="14">
        <f t="shared" si="11"/>
        <v>0</v>
      </c>
      <c r="K28" s="14">
        <f t="shared" si="12"/>
        <v>0.12339780704923103</v>
      </c>
      <c r="L28" s="14">
        <f t="shared" si="13"/>
        <v>0.15442826407356658</v>
      </c>
      <c r="M28" s="87"/>
      <c r="N28" s="31">
        <f>Fig3_SAF_demand!L28</f>
        <v>0</v>
      </c>
      <c r="O28" s="31">
        <f>Fig3_SAF_demand!M28</f>
        <v>7.6431785682016189</v>
      </c>
      <c r="P28" s="31">
        <f>Fig3_SAF_demand!N28</f>
        <v>9.5651845564869724</v>
      </c>
      <c r="R28" s="30">
        <f t="shared" si="14"/>
        <v>0</v>
      </c>
      <c r="S28" s="30">
        <f t="shared" si="2"/>
        <v>115.22563794031977</v>
      </c>
      <c r="T28" s="30">
        <f t="shared" si="3"/>
        <v>144.20106539489558</v>
      </c>
      <c r="V28" s="14">
        <f t="shared" si="15"/>
        <v>0</v>
      </c>
      <c r="W28" s="14">
        <f t="shared" si="4"/>
        <v>7.3822187338384374E-2</v>
      </c>
      <c r="X28" s="14">
        <f t="shared" si="16"/>
        <v>9.2386019763155636E-2</v>
      </c>
      <c r="Y28" s="87"/>
      <c r="Z28" s="31">
        <f>Fig3_SAF_demand!S28</f>
        <v>0</v>
      </c>
      <c r="AA28" s="31">
        <f>Fig3_SAF_demand!T28</f>
        <v>2.5788671442825959</v>
      </c>
      <c r="AB28" s="31">
        <f>Fig3_SAF_demand!U28</f>
        <v>3.2273667246698365</v>
      </c>
      <c r="AD28" s="30">
        <f t="shared" si="17"/>
        <v>0</v>
      </c>
      <c r="AE28" s="30">
        <f t="shared" si="5"/>
        <v>38.878015110042142</v>
      </c>
      <c r="AF28" s="30">
        <f t="shared" si="6"/>
        <v>48.654546848424829</v>
      </c>
      <c r="AH28" s="14">
        <f t="shared" si="18"/>
        <v>0</v>
      </c>
      <c r="AI28" s="14">
        <f t="shared" si="7"/>
        <v>2.4908172921416973E-2</v>
      </c>
      <c r="AJ28" s="14">
        <f t="shared" si="19"/>
        <v>3.1171752541469585E-2</v>
      </c>
      <c r="AU28" s="9">
        <f t="shared" si="20"/>
        <v>60.634134301667821</v>
      </c>
    </row>
    <row r="29" spans="1:47">
      <c r="A29">
        <f>Fig3_SAF_demand!A29</f>
        <v>2047</v>
      </c>
      <c r="B29" s="31">
        <f>Fig3_SAF_demand!E29</f>
        <v>0</v>
      </c>
      <c r="C29" s="31">
        <f>Fig3_SAF_demand!F29</f>
        <v>13.62991459823772</v>
      </c>
      <c r="D29" s="31">
        <f>Fig3_SAF_demand!G29</f>
        <v>16.917548304790106</v>
      </c>
      <c r="F29" s="30">
        <f t="shared" si="8"/>
        <v>0</v>
      </c>
      <c r="G29" s="30">
        <f t="shared" si="9"/>
        <v>205.47938146937062</v>
      </c>
      <c r="H29" s="30">
        <f t="shared" si="10"/>
        <v>255.042490295275</v>
      </c>
      <c r="J29" s="14">
        <f t="shared" si="11"/>
        <v>0</v>
      </c>
      <c r="K29" s="14">
        <f t="shared" si="12"/>
        <v>0.13164550584535586</v>
      </c>
      <c r="L29" s="14">
        <f t="shared" si="13"/>
        <v>0.16339935134555367</v>
      </c>
      <c r="M29" s="87"/>
      <c r="N29" s="31">
        <f>Fig3_SAF_demand!L29</f>
        <v>0</v>
      </c>
      <c r="O29" s="31">
        <f>Fig3_SAF_demand!M29</f>
        <v>7.9807495315854151</v>
      </c>
      <c r="P29" s="31">
        <f>Fig3_SAF_demand!N29</f>
        <v>9.9057638795832226</v>
      </c>
      <c r="R29" s="30">
        <f t="shared" si="14"/>
        <v>0</v>
      </c>
      <c r="S29" s="30">
        <f t="shared" si="2"/>
        <v>120.31472872355113</v>
      </c>
      <c r="T29" s="30">
        <f t="shared" si="3"/>
        <v>149.33550905899037</v>
      </c>
      <c r="V29" s="14">
        <f t="shared" si="15"/>
        <v>0</v>
      </c>
      <c r="W29" s="14">
        <f t="shared" si="4"/>
        <v>7.7082640653265005E-2</v>
      </c>
      <c r="X29" s="14">
        <f t="shared" si="16"/>
        <v>9.5675529535672613E-2</v>
      </c>
      <c r="Y29" s="87"/>
      <c r="Z29" s="31">
        <f>Fig3_SAF_demand!S29</f>
        <v>0</v>
      </c>
      <c r="AA29" s="31">
        <f>Fig3_SAF_demand!T29</f>
        <v>2.5783889525316752</v>
      </c>
      <c r="AB29" s="31">
        <f>Fig3_SAF_demand!U29</f>
        <v>3.2003149644555831</v>
      </c>
      <c r="AD29" s="30">
        <f t="shared" si="17"/>
        <v>0</v>
      </c>
      <c r="AE29" s="30">
        <f t="shared" si="5"/>
        <v>38.870806074028394</v>
      </c>
      <c r="AF29" s="30">
        <f t="shared" si="6"/>
        <v>48.246724853912752</v>
      </c>
      <c r="AH29" s="14">
        <f t="shared" si="18"/>
        <v>0</v>
      </c>
      <c r="AI29" s="14">
        <f t="shared" si="7"/>
        <v>2.4903554272159321E-2</v>
      </c>
      <c r="AJ29" s="14">
        <f t="shared" si="19"/>
        <v>3.0910471178938293E-2</v>
      </c>
      <c r="AU29" s="9">
        <f t="shared" si="20"/>
        <v>60.634134301667821</v>
      </c>
    </row>
    <row r="30" spans="1:47">
      <c r="A30">
        <f>Fig3_SAF_demand!A30</f>
        <v>2048</v>
      </c>
      <c r="B30" s="31">
        <f>Fig3_SAF_demand!E30</f>
        <v>0</v>
      </c>
      <c r="C30" s="31">
        <f>Fig3_SAF_demand!F30</f>
        <v>14.520159541650578</v>
      </c>
      <c r="D30" s="31">
        <f>Fig3_SAF_demand!G30</f>
        <v>17.868372764719357</v>
      </c>
      <c r="F30" s="30">
        <f t="shared" si="8"/>
        <v>0</v>
      </c>
      <c r="G30" s="30">
        <f t="shared" si="9"/>
        <v>218.90037387620205</v>
      </c>
      <c r="H30" s="30">
        <f t="shared" si="10"/>
        <v>269.37675633223694</v>
      </c>
      <c r="J30" s="14">
        <f t="shared" si="11"/>
        <v>0</v>
      </c>
      <c r="K30" s="14">
        <f t="shared" si="12"/>
        <v>0.14024400035954812</v>
      </c>
      <c r="L30" s="14">
        <f t="shared" si="13"/>
        <v>0.17258295745660793</v>
      </c>
      <c r="M30" s="87"/>
      <c r="N30" s="31">
        <f>Fig3_SAF_demand!L30</f>
        <v>0</v>
      </c>
      <c r="O30" s="31">
        <f>Fig3_SAF_demand!M30</f>
        <v>8.3213480014842709</v>
      </c>
      <c r="P30" s="31">
        <f>Fig3_SAF_demand!N30</f>
        <v>10.240173158494867</v>
      </c>
      <c r="R30" s="30">
        <f t="shared" si="14"/>
        <v>0</v>
      </c>
      <c r="S30" s="30">
        <f t="shared" si="2"/>
        <v>125.44946103752173</v>
      </c>
      <c r="T30" s="30">
        <f t="shared" si="3"/>
        <v>154.37693549590048</v>
      </c>
      <c r="V30" s="14">
        <f t="shared" si="15"/>
        <v>0</v>
      </c>
      <c r="W30" s="14">
        <f t="shared" si="4"/>
        <v>8.037233535654556E-2</v>
      </c>
      <c r="X30" s="14">
        <f t="shared" si="16"/>
        <v>9.8905445494749583E-2</v>
      </c>
      <c r="Y30" s="87"/>
      <c r="Z30" s="31">
        <f>Fig3_SAF_demand!S30</f>
        <v>0</v>
      </c>
      <c r="AA30" s="31">
        <f>Fig3_SAF_demand!T30</f>
        <v>2.568180668884787</v>
      </c>
      <c r="AB30" s="31">
        <f>Fig3_SAF_demand!U30</f>
        <v>3.1603791533521415</v>
      </c>
      <c r="AD30" s="30">
        <f t="shared" si="17"/>
        <v>0</v>
      </c>
      <c r="AE30" s="30">
        <f t="shared" si="5"/>
        <v>38.716909892617423</v>
      </c>
      <c r="AF30" s="30">
        <f t="shared" si="6"/>
        <v>47.644667834048981</v>
      </c>
      <c r="AH30" s="14">
        <f t="shared" si="18"/>
        <v>0</v>
      </c>
      <c r="AI30" s="14">
        <f t="shared" si="7"/>
        <v>2.4804956833795234E-2</v>
      </c>
      <c r="AJ30" s="14">
        <f t="shared" si="19"/>
        <v>3.0524748288588203E-2</v>
      </c>
      <c r="AU30" s="9">
        <f t="shared" si="20"/>
        <v>60.634134301667821</v>
      </c>
    </row>
    <row r="31" spans="1:47">
      <c r="A31">
        <f>Fig3_SAF_demand!A31</f>
        <v>2049</v>
      </c>
      <c r="B31" s="31">
        <f>Fig3_SAF_demand!E31</f>
        <v>0</v>
      </c>
      <c r="C31" s="31">
        <f>Fig3_SAF_demand!F31</f>
        <v>15.448036106208324</v>
      </c>
      <c r="D31" s="31">
        <f>Fig3_SAF_demand!G31</f>
        <v>18.841127505034958</v>
      </c>
      <c r="F31" s="30">
        <f t="shared" si="8"/>
        <v>0</v>
      </c>
      <c r="G31" s="30">
        <f t="shared" si="9"/>
        <v>232.88868621602415</v>
      </c>
      <c r="H31" s="30">
        <f t="shared" si="10"/>
        <v>284.04163489187897</v>
      </c>
      <c r="J31" s="14">
        <f t="shared" si="11"/>
        <v>0</v>
      </c>
      <c r="K31" s="14">
        <f t="shared" si="12"/>
        <v>0.1492059625804302</v>
      </c>
      <c r="L31" s="14">
        <f t="shared" si="13"/>
        <v>0.18197837875065423</v>
      </c>
      <c r="M31" s="87"/>
      <c r="N31" s="31">
        <f>Fig3_SAF_demand!L31</f>
        <v>0</v>
      </c>
      <c r="O31" s="31">
        <f>Fig3_SAF_demand!M31</f>
        <v>8.6649885331692218</v>
      </c>
      <c r="P31" s="31">
        <f>Fig3_SAF_demand!N31</f>
        <v>10.568214151020547</v>
      </c>
      <c r="R31" s="30">
        <f t="shared" si="14"/>
        <v>0</v>
      </c>
      <c r="S31" s="30">
        <f t="shared" si="2"/>
        <v>130.63005431193292</v>
      </c>
      <c r="T31" s="30">
        <f t="shared" si="3"/>
        <v>159.32235608199059</v>
      </c>
      <c r="V31" s="14">
        <f t="shared" si="15"/>
        <v>0</v>
      </c>
      <c r="W31" s="14">
        <f t="shared" si="4"/>
        <v>8.3691412031353302E-2</v>
      </c>
      <c r="X31" s="14">
        <f t="shared" si="16"/>
        <v>0.10207385290389352</v>
      </c>
      <c r="Y31" s="87"/>
      <c r="Z31" s="31">
        <f>Fig3_SAF_demand!S31</f>
        <v>0</v>
      </c>
      <c r="AA31" s="31">
        <f>Fig3_SAF_demand!T31</f>
        <v>2.5480386019644699</v>
      </c>
      <c r="AB31" s="31">
        <f>Fig3_SAF_demand!U31</f>
        <v>3.1077037791276232</v>
      </c>
      <c r="AD31" s="30">
        <f t="shared" si="17"/>
        <v>0</v>
      </c>
      <c r="AE31" s="30">
        <f t="shared" si="5"/>
        <v>38.41325579247826</v>
      </c>
      <c r="AF31" s="30">
        <f t="shared" si="6"/>
        <v>46.850554031184721</v>
      </c>
      <c r="AH31" s="14">
        <f t="shared" si="18"/>
        <v>0</v>
      </c>
      <c r="AI31" s="14">
        <f t="shared" si="7"/>
        <v>2.4610413238574252E-2</v>
      </c>
      <c r="AJ31" s="14">
        <f t="shared" si="19"/>
        <v>3.001597941587078E-2</v>
      </c>
      <c r="AU31" s="9">
        <f t="shared" si="20"/>
        <v>60.634134301667821</v>
      </c>
    </row>
    <row r="32" spans="1:47">
      <c r="A32">
        <f>Fig3_SAF_demand!A32</f>
        <v>2050</v>
      </c>
      <c r="B32" s="31">
        <f>Fig3_SAF_demand!E32</f>
        <v>0</v>
      </c>
      <c r="C32" s="31">
        <f>Fig3_SAF_demand!F32</f>
        <v>16.414899471624601</v>
      </c>
      <c r="D32" s="31">
        <f>Fig3_SAF_demand!G32</f>
        <v>19.835699456940812</v>
      </c>
      <c r="F32" s="30">
        <f>(B32*$G$41)/10^6</f>
        <v>0</v>
      </c>
      <c r="G32" s="30">
        <f t="shared" si="9"/>
        <v>247.46474866008509</v>
      </c>
      <c r="H32" s="30">
        <f>(D32*$G$41)/10^6</f>
        <v>299.03542139225971</v>
      </c>
      <c r="J32" s="14">
        <f t="shared" si="11"/>
        <v>0</v>
      </c>
      <c r="K32" s="14">
        <f t="shared" si="12"/>
        <v>0.15854448160827694</v>
      </c>
      <c r="L32" s="14">
        <f>(H32*10^6)/$C$43</f>
        <v>0.1915845231446314</v>
      </c>
      <c r="M32" s="87"/>
      <c r="N32" s="31">
        <f>Fig3_SAF_demand!L32</f>
        <v>0</v>
      </c>
      <c r="O32" s="31">
        <f>Fig3_SAF_demand!M32</f>
        <v>9.0116856239036451</v>
      </c>
      <c r="P32" s="31">
        <f>Fig3_SAF_demand!N32</f>
        <v>10.88968518784937</v>
      </c>
      <c r="R32" s="30">
        <f t="shared" si="14"/>
        <v>0</v>
      </c>
      <c r="S32" s="30">
        <f t="shared" si="2"/>
        <v>135.85672710198477</v>
      </c>
      <c r="T32" s="30">
        <f>(P32*$G$41)/10^6</f>
        <v>164.16873052783231</v>
      </c>
      <c r="V32" s="14">
        <f t="shared" si="15"/>
        <v>0</v>
      </c>
      <c r="W32" s="14">
        <f t="shared" si="4"/>
        <v>8.7040010700544346E-2</v>
      </c>
      <c r="X32" s="14">
        <f>(T32*10^6)/$C$43</f>
        <v>0.10517880392562871</v>
      </c>
      <c r="Y32" s="87"/>
      <c r="Z32" s="31">
        <f>Fig3_SAF_demand!S32</f>
        <v>0</v>
      </c>
      <c r="AA32" s="31">
        <f>Fig3_SAF_demand!T32</f>
        <v>2.5177623847353048</v>
      </c>
      <c r="AB32" s="31">
        <f>Fig3_SAF_demand!U32</f>
        <v>3.0424540859315612</v>
      </c>
      <c r="AD32" s="30">
        <f t="shared" si="17"/>
        <v>0</v>
      </c>
      <c r="AE32" s="30">
        <f t="shared" si="5"/>
        <v>37.956823116789636</v>
      </c>
      <c r="AF32" s="30">
        <f>(AB32*$G$41)/10^6</f>
        <v>45.866874602941891</v>
      </c>
      <c r="AH32" s="14">
        <f t="shared" si="18"/>
        <v>0</v>
      </c>
      <c r="AI32" s="14">
        <f t="shared" si="7"/>
        <v>2.4317988227141485E-2</v>
      </c>
      <c r="AJ32" s="14">
        <f>(AF32*10^6)/$C$43</f>
        <v>2.9385760583233306E-2</v>
      </c>
    </row>
    <row r="33" spans="1:36">
      <c r="B33" s="31"/>
      <c r="C33" s="31"/>
      <c r="D33" s="31"/>
      <c r="W33" s="93"/>
      <c r="X33" s="93"/>
      <c r="Y33" s="93"/>
      <c r="Z33" s="31"/>
      <c r="AA33" s="31"/>
      <c r="AB33" s="31"/>
      <c r="AC33" s="93"/>
    </row>
    <row r="34" spans="1:36">
      <c r="V34" t="s">
        <v>292</v>
      </c>
      <c r="Y34" s="93"/>
      <c r="Z34" s="93"/>
      <c r="AA34" s="93"/>
      <c r="AB34" s="93"/>
      <c r="AC34" s="93"/>
      <c r="AH34" t="s">
        <v>292</v>
      </c>
    </row>
    <row r="35" spans="1:36">
      <c r="A35" s="79" t="s">
        <v>62</v>
      </c>
      <c r="J35" t="s">
        <v>292</v>
      </c>
      <c r="V35" t="s">
        <v>293</v>
      </c>
      <c r="W35" s="203">
        <f>W31</f>
        <v>8.3691412031353302E-2</v>
      </c>
      <c r="X35" s="203">
        <f>X31</f>
        <v>0.10207385290389352</v>
      </c>
      <c r="AH35" t="s">
        <v>293</v>
      </c>
      <c r="AI35" s="203">
        <f>AI31</f>
        <v>2.4610413238574252E-2</v>
      </c>
      <c r="AJ35" s="203">
        <f>AJ31</f>
        <v>3.001597941587078E-2</v>
      </c>
    </row>
    <row r="36" spans="1:36">
      <c r="A36" s="24" t="s">
        <v>161</v>
      </c>
      <c r="C36" s="21" t="s">
        <v>162</v>
      </c>
      <c r="J36" t="s">
        <v>293</v>
      </c>
      <c r="K36" s="203">
        <f>K32</f>
        <v>0.15854448160827694</v>
      </c>
      <c r="L36" s="203">
        <f>L32</f>
        <v>0.1915845231446314</v>
      </c>
      <c r="V36" t="s">
        <v>294</v>
      </c>
      <c r="W36" s="203">
        <f>1-W31</f>
        <v>0.91630858796864667</v>
      </c>
      <c r="X36" s="203">
        <f>1-X31</f>
        <v>0.89792614709610652</v>
      </c>
      <c r="AH36" t="s">
        <v>294</v>
      </c>
      <c r="AI36" s="203">
        <f>1-AI31</f>
        <v>0.97538958676142573</v>
      </c>
      <c r="AJ36" s="203">
        <f>1-AJ31</f>
        <v>0.96998402058412925</v>
      </c>
    </row>
    <row r="37" spans="1:36">
      <c r="B37" s="330" t="s">
        <v>163</v>
      </c>
      <c r="C37" s="330"/>
      <c r="E37" t="s">
        <v>164</v>
      </c>
      <c r="J37" t="s">
        <v>294</v>
      </c>
      <c r="K37" s="203">
        <f>1-K32</f>
        <v>0.84145551839172306</v>
      </c>
      <c r="L37" s="203">
        <f>1-L32</f>
        <v>0.80841547685536863</v>
      </c>
    </row>
    <row r="38" spans="1:36">
      <c r="B38" t="s">
        <v>165</v>
      </c>
      <c r="C38" t="s">
        <v>166</v>
      </c>
      <c r="E38" t="s">
        <v>167</v>
      </c>
      <c r="F38" t="s">
        <v>168</v>
      </c>
      <c r="G38" t="s">
        <v>169</v>
      </c>
    </row>
    <row r="39" spans="1:36">
      <c r="A39" t="s">
        <v>170</v>
      </c>
      <c r="B39">
        <v>17684.400000000001</v>
      </c>
      <c r="C39">
        <v>1914.7</v>
      </c>
      <c r="E39">
        <f>B39*10^3</f>
        <v>17684400</v>
      </c>
      <c r="F39">
        <f>(C39*10^3)/10^6</f>
        <v>1.9147000000000001</v>
      </c>
      <c r="G39" s="2">
        <f>E39/F39</f>
        <v>9236120.5410769302</v>
      </c>
    </row>
    <row r="40" spans="1:36">
      <c r="A40" t="s">
        <v>152</v>
      </c>
      <c r="B40">
        <v>23624.3</v>
      </c>
      <c r="C40">
        <v>825.4</v>
      </c>
      <c r="E40">
        <f>B40*10^3</f>
        <v>23624300</v>
      </c>
      <c r="F40">
        <f>(C40*10^3)/10^6</f>
        <v>0.82540000000000002</v>
      </c>
      <c r="G40" s="2">
        <f t="shared" ref="G40" si="21">E40/F40</f>
        <v>28621637.993700024</v>
      </c>
    </row>
    <row r="41" spans="1:36">
      <c r="A41" t="s">
        <v>154</v>
      </c>
      <c r="B41" s="2">
        <f>SUM(B39:B40)</f>
        <v>41308.699999999997</v>
      </c>
      <c r="C41">
        <f>SUM(C39:C40)</f>
        <v>2740.1</v>
      </c>
      <c r="E41">
        <f>B41*10^3</f>
        <v>41308700</v>
      </c>
      <c r="F41">
        <f>(C41*10^3)/10^6</f>
        <v>2.7401</v>
      </c>
      <c r="G41" s="91">
        <f>E41/F41</f>
        <v>15075617.678186927</v>
      </c>
    </row>
    <row r="43" spans="1:36">
      <c r="A43" t="s">
        <v>171</v>
      </c>
      <c r="C43" s="92">
        <f>1560853.75*10^3</f>
        <v>1560853750</v>
      </c>
      <c r="D43" t="s">
        <v>172</v>
      </c>
      <c r="E43" t="s">
        <v>173</v>
      </c>
    </row>
  </sheetData>
  <mergeCells count="10">
    <mergeCell ref="Z1:AJ1"/>
    <mergeCell ref="Z2:AB2"/>
    <mergeCell ref="AD2:AF2"/>
    <mergeCell ref="B2:D2"/>
    <mergeCell ref="B37:C37"/>
    <mergeCell ref="F2:H2"/>
    <mergeCell ref="B1:L1"/>
    <mergeCell ref="N1:X1"/>
    <mergeCell ref="N2:P2"/>
    <mergeCell ref="R2:T2"/>
  </mergeCells>
  <hyperlinks>
    <hyperlink ref="C36" r:id="rId1" location="Tab1" xr:uid="{774156B2-1ED1-8145-93E4-B86734B1074D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4C1C-C115-CA40-95CB-2B53D0BE626A}">
  <dimension ref="A1:M38"/>
  <sheetViews>
    <sheetView topLeftCell="A21" workbookViewId="0">
      <selection activeCell="E18" sqref="E18"/>
    </sheetView>
  </sheetViews>
  <sheetFormatPr baseColWidth="10" defaultRowHeight="16"/>
  <sheetData>
    <row r="1" spans="1:6">
      <c r="A1" s="41" t="s">
        <v>100</v>
      </c>
      <c r="B1" s="42" t="s">
        <v>101</v>
      </c>
      <c r="C1" s="39"/>
    </row>
    <row r="2" spans="1:6">
      <c r="A2" s="43">
        <v>2019</v>
      </c>
      <c r="B2">
        <v>10.9</v>
      </c>
      <c r="C2" s="39"/>
    </row>
    <row r="3" spans="1:6">
      <c r="A3" s="43">
        <v>2025</v>
      </c>
      <c r="B3">
        <v>6.9</v>
      </c>
      <c r="C3" s="39"/>
    </row>
    <row r="4" spans="1:6" ht="17" thickBot="1">
      <c r="A4" s="44">
        <v>2030</v>
      </c>
      <c r="B4" s="45">
        <v>6.1</v>
      </c>
      <c r="C4" s="40"/>
    </row>
    <row r="5" spans="1:6">
      <c r="C5" s="40"/>
    </row>
    <row r="6" spans="1:6">
      <c r="A6" t="s">
        <v>0</v>
      </c>
      <c r="C6" s="40" t="s">
        <v>102</v>
      </c>
    </row>
    <row r="7" spans="1:6">
      <c r="A7">
        <v>2019</v>
      </c>
      <c r="B7" s="48">
        <f>B2</f>
        <v>10.9</v>
      </c>
      <c r="C7" s="40"/>
    </row>
    <row r="8" spans="1:6">
      <c r="A8">
        <v>2020</v>
      </c>
      <c r="B8" s="30">
        <f>B7-(($B$7-$B$13)/6)</f>
        <v>10.233333333333334</v>
      </c>
      <c r="C8" s="46">
        <f>(B8-B7)/B7</f>
        <v>-6.1162079510703307E-2</v>
      </c>
    </row>
    <row r="9" spans="1:6">
      <c r="A9">
        <v>2021</v>
      </c>
      <c r="B9" s="30">
        <f t="shared" ref="B9:B12" si="0">B8-(($B$7-$B$13)/6)</f>
        <v>9.5666666666666682</v>
      </c>
      <c r="C9" s="46">
        <f t="shared" ref="C9:C38" si="1">(B9-B8)/B8</f>
        <v>-6.5146579804560192E-2</v>
      </c>
    </row>
    <row r="10" spans="1:6">
      <c r="A10">
        <v>2022</v>
      </c>
      <c r="B10" s="30">
        <f t="shared" si="0"/>
        <v>8.9000000000000021</v>
      </c>
      <c r="C10" s="46">
        <f t="shared" si="1"/>
        <v>-6.9686411149825711E-2</v>
      </c>
    </row>
    <row r="11" spans="1:6">
      <c r="A11">
        <v>2023</v>
      </c>
      <c r="B11" s="30">
        <f t="shared" si="0"/>
        <v>8.2333333333333361</v>
      </c>
      <c r="C11" s="46">
        <f t="shared" si="1"/>
        <v>-7.4906367041198421E-2</v>
      </c>
    </row>
    <row r="12" spans="1:6">
      <c r="A12">
        <v>2024</v>
      </c>
      <c r="B12" s="30">
        <f t="shared" si="0"/>
        <v>7.5666666666666691</v>
      </c>
      <c r="C12" s="46">
        <f t="shared" si="1"/>
        <v>-8.0971659919028355E-2</v>
      </c>
      <c r="D12" s="30"/>
    </row>
    <row r="13" spans="1:6">
      <c r="A13">
        <v>2025</v>
      </c>
      <c r="B13" s="48">
        <f>B3</f>
        <v>6.9</v>
      </c>
      <c r="C13" s="46">
        <f t="shared" si="1"/>
        <v>-8.8105726872246937E-2</v>
      </c>
      <c r="E13" s="14">
        <f>B13/B7</f>
        <v>0.6330275229357798</v>
      </c>
      <c r="F13" s="30"/>
    </row>
    <row r="14" spans="1:6">
      <c r="A14">
        <v>2026</v>
      </c>
      <c r="B14" s="47">
        <f>B13-($B$13-$B$18)/5</f>
        <v>6.74</v>
      </c>
      <c r="C14" s="46">
        <f t="shared" si="1"/>
        <v>-2.318840579710147E-2</v>
      </c>
    </row>
    <row r="15" spans="1:6">
      <c r="A15">
        <v>2027</v>
      </c>
      <c r="B15" s="47">
        <f t="shared" ref="B15:B17" si="2">B14-($B$13-$B$18)/5</f>
        <v>6.58</v>
      </c>
      <c r="C15" s="46">
        <f t="shared" si="1"/>
        <v>-2.3738872403560853E-2</v>
      </c>
    </row>
    <row r="16" spans="1:6">
      <c r="A16">
        <v>2028</v>
      </c>
      <c r="B16" s="47">
        <f t="shared" si="2"/>
        <v>6.42</v>
      </c>
      <c r="C16" s="46">
        <f t="shared" si="1"/>
        <v>-2.4316109422492422E-2</v>
      </c>
    </row>
    <row r="17" spans="1:13">
      <c r="A17">
        <v>2029</v>
      </c>
      <c r="B17" s="47">
        <f t="shared" si="2"/>
        <v>6.26</v>
      </c>
      <c r="C17" s="46">
        <f t="shared" si="1"/>
        <v>-2.4922118380062329E-2</v>
      </c>
    </row>
    <row r="18" spans="1:13">
      <c r="A18">
        <v>2030</v>
      </c>
      <c r="B18" s="48">
        <f>B4</f>
        <v>6.1</v>
      </c>
      <c r="C18" s="46">
        <f t="shared" si="1"/>
        <v>-2.5559105431309927E-2</v>
      </c>
      <c r="D18">
        <f>(B13-B18)/5</f>
        <v>0.16000000000000014</v>
      </c>
      <c r="E18" s="14">
        <f>B18/B7</f>
        <v>0.55963302752293576</v>
      </c>
    </row>
    <row r="19" spans="1:13">
      <c r="A19">
        <v>2031</v>
      </c>
      <c r="B19" s="47">
        <f>B18-$D$18</f>
        <v>5.9399999999999995</v>
      </c>
      <c r="C19" s="46">
        <f t="shared" si="1"/>
        <v>-2.6229508196721336E-2</v>
      </c>
    </row>
    <row r="20" spans="1:13">
      <c r="A20">
        <v>2032</v>
      </c>
      <c r="B20" s="47">
        <f t="shared" ref="B20:B38" si="3">B19-$D$18</f>
        <v>5.7799999999999994</v>
      </c>
      <c r="C20" s="46">
        <f t="shared" si="1"/>
        <v>-2.6936026936026963E-2</v>
      </c>
    </row>
    <row r="21" spans="1:13">
      <c r="A21">
        <v>2033</v>
      </c>
      <c r="B21" s="47">
        <f t="shared" si="3"/>
        <v>5.6199999999999992</v>
      </c>
      <c r="C21" s="46">
        <f t="shared" si="1"/>
        <v>-2.7681660899654008E-2</v>
      </c>
    </row>
    <row r="22" spans="1:13">
      <c r="A22">
        <v>2034</v>
      </c>
      <c r="B22" s="47">
        <f t="shared" si="3"/>
        <v>5.4599999999999991</v>
      </c>
      <c r="C22" s="46">
        <f t="shared" si="1"/>
        <v>-2.8469750889679745E-2</v>
      </c>
    </row>
    <row r="23" spans="1:13">
      <c r="A23">
        <v>2035</v>
      </c>
      <c r="B23" s="47">
        <f t="shared" si="3"/>
        <v>5.2999999999999989</v>
      </c>
      <c r="C23" s="46">
        <f t="shared" si="1"/>
        <v>-2.9304029304029335E-2</v>
      </c>
    </row>
    <row r="24" spans="1:13">
      <c r="A24">
        <v>2036</v>
      </c>
      <c r="B24" s="47">
        <f t="shared" si="3"/>
        <v>5.1399999999999988</v>
      </c>
      <c r="C24" s="46">
        <f t="shared" si="1"/>
        <v>-3.018867924528305E-2</v>
      </c>
    </row>
    <row r="25" spans="1:13">
      <c r="A25">
        <v>2037</v>
      </c>
      <c r="B25" s="47">
        <f t="shared" si="3"/>
        <v>4.9799999999999986</v>
      </c>
      <c r="C25" s="46">
        <f t="shared" si="1"/>
        <v>-3.1128404669260736E-2</v>
      </c>
    </row>
    <row r="26" spans="1:13">
      <c r="A26">
        <v>2038</v>
      </c>
      <c r="B26" s="47">
        <f t="shared" si="3"/>
        <v>4.8199999999999985</v>
      </c>
      <c r="C26" s="46">
        <f t="shared" si="1"/>
        <v>-3.2128514056224938E-2</v>
      </c>
    </row>
    <row r="27" spans="1:13">
      <c r="A27">
        <v>2039</v>
      </c>
      <c r="B27" s="47">
        <f t="shared" si="3"/>
        <v>4.6599999999999984</v>
      </c>
      <c r="C27" s="46">
        <f t="shared" si="1"/>
        <v>-3.3195020746888008E-2</v>
      </c>
    </row>
    <row r="28" spans="1:13">
      <c r="A28">
        <v>2040</v>
      </c>
      <c r="B28" s="47">
        <f t="shared" si="3"/>
        <v>4.4999999999999982</v>
      </c>
      <c r="C28" s="46">
        <f t="shared" si="1"/>
        <v>-3.4334763948497896E-2</v>
      </c>
    </row>
    <row r="29" spans="1:13">
      <c r="A29">
        <v>2041</v>
      </c>
      <c r="B29" s="47">
        <f t="shared" si="3"/>
        <v>4.3399999999999981</v>
      </c>
      <c r="C29" s="46">
        <f t="shared" si="1"/>
        <v>-3.5555555555555604E-2</v>
      </c>
    </row>
    <row r="30" spans="1:13">
      <c r="A30">
        <v>2042</v>
      </c>
      <c r="B30" s="47">
        <f t="shared" si="3"/>
        <v>4.1799999999999979</v>
      </c>
      <c r="C30" s="46">
        <f t="shared" si="1"/>
        <v>-3.6866359447004657E-2</v>
      </c>
    </row>
    <row r="31" spans="1:13">
      <c r="A31">
        <v>2043</v>
      </c>
      <c r="B31" s="47">
        <f t="shared" si="3"/>
        <v>4.0199999999999978</v>
      </c>
      <c r="C31" s="46">
        <f t="shared" si="1"/>
        <v>-3.8277511961722542E-2</v>
      </c>
      <c r="K31" s="10"/>
      <c r="L31" s="10"/>
      <c r="M31" s="10"/>
    </row>
    <row r="32" spans="1:13">
      <c r="A32">
        <v>2044</v>
      </c>
      <c r="B32" s="47">
        <f t="shared" si="3"/>
        <v>3.8599999999999977</v>
      </c>
      <c r="C32" s="46">
        <f t="shared" si="1"/>
        <v>-3.9800995024875677E-2</v>
      </c>
    </row>
    <row r="33" spans="1:3">
      <c r="A33">
        <v>2045</v>
      </c>
      <c r="B33" s="47">
        <f t="shared" si="3"/>
        <v>3.6999999999999975</v>
      </c>
      <c r="C33" s="46">
        <f t="shared" si="1"/>
        <v>-4.1450777202072603E-2</v>
      </c>
    </row>
    <row r="34" spans="1:3">
      <c r="A34">
        <v>2046</v>
      </c>
      <c r="B34" s="47">
        <f t="shared" si="3"/>
        <v>3.5399999999999974</v>
      </c>
      <c r="C34" s="46">
        <f t="shared" si="1"/>
        <v>-4.3243243243243308E-2</v>
      </c>
    </row>
    <row r="35" spans="1:3">
      <c r="A35">
        <v>2047</v>
      </c>
      <c r="B35" s="47">
        <f t="shared" si="3"/>
        <v>3.3799999999999972</v>
      </c>
      <c r="C35" s="46">
        <f t="shared" si="1"/>
        <v>-4.5197740112994426E-2</v>
      </c>
    </row>
    <row r="36" spans="1:3">
      <c r="A36">
        <v>2048</v>
      </c>
      <c r="B36" s="47">
        <f t="shared" si="3"/>
        <v>3.2199999999999971</v>
      </c>
      <c r="C36" s="46">
        <f t="shared" si="1"/>
        <v>-4.7337278106508958E-2</v>
      </c>
    </row>
    <row r="37" spans="1:3">
      <c r="A37">
        <v>2049</v>
      </c>
      <c r="B37" s="47">
        <f t="shared" si="3"/>
        <v>3.0599999999999969</v>
      </c>
      <c r="C37" s="46">
        <f t="shared" si="1"/>
        <v>-4.9689440993788907E-2</v>
      </c>
    </row>
    <row r="38" spans="1:3">
      <c r="A38">
        <v>2050</v>
      </c>
      <c r="B38" s="47">
        <f t="shared" si="3"/>
        <v>2.8999999999999968</v>
      </c>
      <c r="C38" s="46">
        <f t="shared" si="1"/>
        <v>-5.2287581699346504E-2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D50A-5D20-024C-A819-C8CEBBB01C39}">
  <dimension ref="A1:L48"/>
  <sheetViews>
    <sheetView workbookViewId="0">
      <selection activeCell="H2" sqref="H2"/>
    </sheetView>
  </sheetViews>
  <sheetFormatPr baseColWidth="10" defaultColWidth="10.6640625" defaultRowHeight="16"/>
  <cols>
    <col min="1" max="1" width="10.83203125" bestFit="1" customWidth="1"/>
    <col min="2" max="2" width="21.1640625" hidden="1" customWidth="1"/>
    <col min="3" max="3" width="12.1640625" hidden="1" customWidth="1"/>
    <col min="4" max="4" width="10.83203125" hidden="1" customWidth="1"/>
    <col min="5" max="5" width="12.33203125" hidden="1" customWidth="1"/>
    <col min="6" max="6" width="12.1640625" hidden="1" customWidth="1"/>
    <col min="7" max="8" width="12.1640625" customWidth="1"/>
    <col min="9" max="9" width="14" customWidth="1"/>
    <col min="10" max="11" width="12.1640625" customWidth="1"/>
    <col min="12" max="12" width="10.83203125" bestFit="1" customWidth="1"/>
    <col min="15" max="15" width="10.83203125" bestFit="1" customWidth="1"/>
  </cols>
  <sheetData>
    <row r="1" spans="1:12" ht="51">
      <c r="A1" s="28"/>
      <c r="B1" s="20" t="s">
        <v>52</v>
      </c>
      <c r="C1" s="28" t="s">
        <v>53</v>
      </c>
      <c r="D1" s="28" t="s">
        <v>54</v>
      </c>
      <c r="E1" s="28" t="s">
        <v>55</v>
      </c>
      <c r="F1" s="28"/>
      <c r="G1" s="32" t="s">
        <v>56</v>
      </c>
      <c r="H1" s="28" t="s">
        <v>57</v>
      </c>
      <c r="I1" s="28" t="s">
        <v>58</v>
      </c>
      <c r="J1" s="28"/>
      <c r="K1" s="28"/>
      <c r="L1" s="28"/>
    </row>
    <row r="2" spans="1:12">
      <c r="A2" s="28">
        <v>1990</v>
      </c>
      <c r="B2" s="35">
        <v>3786.6970000000001</v>
      </c>
      <c r="C2" s="28">
        <f t="shared" ref="C2:C33" si="0">(B2*1000*365.25)*$C$46</f>
        <v>219787003.4036175</v>
      </c>
      <c r="D2" s="28">
        <f t="shared" ref="D2:D33" si="1">(C2/10^3)*$C$47</f>
        <v>7367260.3540892592</v>
      </c>
      <c r="E2" s="28">
        <f>D2*10^6</f>
        <v>7367260354089.2588</v>
      </c>
      <c r="F2" s="28"/>
      <c r="G2" s="28">
        <f>'[1]1.hist_CO2_emissions'!C4</f>
        <v>542.69777999999997</v>
      </c>
      <c r="H2" s="28">
        <f>G2/E2</f>
        <v>7.3663445285841036E-11</v>
      </c>
      <c r="I2" s="33">
        <f>H2*1000000000000</f>
        <v>73.663445285841036</v>
      </c>
      <c r="J2" s="28"/>
      <c r="K2" s="28"/>
      <c r="L2" s="34"/>
    </row>
    <row r="3" spans="1:12">
      <c r="A3" s="28">
        <v>1991</v>
      </c>
      <c r="B3" s="35">
        <v>3662.864</v>
      </c>
      <c r="C3" s="28">
        <f t="shared" si="0"/>
        <v>212599503.58715999</v>
      </c>
      <c r="D3" s="28">
        <f t="shared" si="1"/>
        <v>7126335.360241604</v>
      </c>
      <c r="E3" s="28">
        <f t="shared" ref="E3:E33" si="2">D3*10^6</f>
        <v>7126335360241.6045</v>
      </c>
      <c r="F3" s="28"/>
      <c r="G3" s="28">
        <f>'[1]1.hist_CO2_emissions'!C5</f>
        <v>525.62075600000003</v>
      </c>
      <c r="H3" s="28">
        <f t="shared" ref="H3:H33" si="3">G3/E3</f>
        <v>7.3757510617937001E-11</v>
      </c>
      <c r="I3" s="33">
        <f t="shared" ref="I3:I33" si="4">H3*1000000000000</f>
        <v>73.757510617937001</v>
      </c>
      <c r="J3" s="22"/>
      <c r="K3" s="22"/>
      <c r="L3" s="28"/>
    </row>
    <row r="4" spans="1:12">
      <c r="A4" s="28">
        <v>1992</v>
      </c>
      <c r="B4" s="35">
        <v>3673.36</v>
      </c>
      <c r="C4" s="28">
        <f t="shared" si="0"/>
        <v>213208711.13339999</v>
      </c>
      <c r="D4" s="28">
        <f t="shared" si="1"/>
        <v>7146755.9971915688</v>
      </c>
      <c r="E4" s="28">
        <f t="shared" si="2"/>
        <v>7146755997191.5684</v>
      </c>
      <c r="F4" s="28"/>
      <c r="G4" s="28">
        <f>'[1]1.hist_CO2_emissions'!C6</f>
        <v>529.16584599999999</v>
      </c>
      <c r="H4" s="28">
        <f t="shared" si="3"/>
        <v>7.404280294555238E-11</v>
      </c>
      <c r="I4" s="33">
        <f t="shared" si="4"/>
        <v>74.042802945552381</v>
      </c>
      <c r="J4" s="22"/>
      <c r="K4" s="28"/>
      <c r="L4" s="28"/>
    </row>
    <row r="5" spans="1:12">
      <c r="A5" s="28">
        <v>1993</v>
      </c>
      <c r="B5" s="35">
        <v>3708.9369999999999</v>
      </c>
      <c r="C5" s="28">
        <f t="shared" si="0"/>
        <v>215273667.0092175</v>
      </c>
      <c r="D5" s="28">
        <f t="shared" si="1"/>
        <v>7215973.3181489706</v>
      </c>
      <c r="E5" s="28">
        <f t="shared" si="2"/>
        <v>7215973318148.9707</v>
      </c>
      <c r="F5" s="28"/>
      <c r="G5" s="28">
        <f>'[1]1.hist_CO2_emissions'!C7</f>
        <v>533.631754</v>
      </c>
      <c r="H5" s="28">
        <f t="shared" si="3"/>
        <v>7.3951458863887026E-11</v>
      </c>
      <c r="I5" s="33">
        <f t="shared" si="4"/>
        <v>73.951458863887026</v>
      </c>
      <c r="J5" s="22"/>
      <c r="K5" s="28"/>
      <c r="L5" s="28"/>
    </row>
    <row r="6" spans="1:12">
      <c r="A6" s="28">
        <v>1994</v>
      </c>
      <c r="B6" s="35">
        <v>3877.346</v>
      </c>
      <c r="C6" s="28">
        <f t="shared" si="0"/>
        <v>225048441.55711499</v>
      </c>
      <c r="D6" s="28">
        <f t="shared" si="1"/>
        <v>7543623.7609944958</v>
      </c>
      <c r="E6" s="28">
        <f t="shared" si="2"/>
        <v>7543623760994.4961</v>
      </c>
      <c r="F6" s="28"/>
      <c r="G6" s="28">
        <f>'[1]1.hist_CO2_emissions'!C8</f>
        <v>556.70766700000013</v>
      </c>
      <c r="H6" s="28">
        <f t="shared" si="3"/>
        <v>7.3798440197739643E-11</v>
      </c>
      <c r="I6" s="33">
        <f t="shared" si="4"/>
        <v>73.798440197739637</v>
      </c>
      <c r="J6" s="22"/>
      <c r="K6" s="28"/>
      <c r="L6" s="28"/>
    </row>
    <row r="7" spans="1:12">
      <c r="A7" s="28">
        <v>1995</v>
      </c>
      <c r="B7" s="35">
        <v>3974.6379999999999</v>
      </c>
      <c r="C7" s="28">
        <f t="shared" si="0"/>
        <v>230695451.902845</v>
      </c>
      <c r="D7" s="28">
        <f t="shared" si="1"/>
        <v>7732911.5477833655</v>
      </c>
      <c r="E7" s="28">
        <f t="shared" si="2"/>
        <v>7732911547783.3652</v>
      </c>
      <c r="F7" s="28"/>
      <c r="G7" s="28">
        <f>'[1]1.hist_CO2_emissions'!C9</f>
        <v>570.76552600000002</v>
      </c>
      <c r="H7" s="28">
        <f t="shared" si="3"/>
        <v>7.3809912666544027E-11</v>
      </c>
      <c r="I7" s="33">
        <f t="shared" si="4"/>
        <v>73.809912666544022</v>
      </c>
      <c r="J7" s="22"/>
      <c r="K7" s="28"/>
      <c r="L7" s="28"/>
    </row>
    <row r="8" spans="1:12">
      <c r="A8" s="28">
        <v>1996</v>
      </c>
      <c r="B8" s="35">
        <v>4143.3059999999996</v>
      </c>
      <c r="C8" s="28">
        <f t="shared" si="0"/>
        <v>240485259.29701495</v>
      </c>
      <c r="D8" s="28">
        <f t="shared" si="1"/>
        <v>8061065.8916359413</v>
      </c>
      <c r="E8" s="28">
        <f t="shared" si="2"/>
        <v>8061065891635.9414</v>
      </c>
      <c r="F8" s="28"/>
      <c r="G8" s="28">
        <f>'[1]1.hist_CO2_emissions'!C10</f>
        <v>597.12128200000018</v>
      </c>
      <c r="H8" s="28">
        <f t="shared" si="3"/>
        <v>7.4074730318178589E-11</v>
      </c>
      <c r="I8" s="33">
        <f t="shared" si="4"/>
        <v>74.074730318178595</v>
      </c>
      <c r="J8" s="22"/>
      <c r="K8" s="28"/>
      <c r="L8" s="28"/>
    </row>
    <row r="9" spans="1:12">
      <c r="A9" s="28">
        <v>1997</v>
      </c>
      <c r="B9" s="35">
        <v>4285.2820000000002</v>
      </c>
      <c r="C9" s="28">
        <f t="shared" si="0"/>
        <v>248725812.89695498</v>
      </c>
      <c r="D9" s="28">
        <f t="shared" si="1"/>
        <v>8337289.2483059317</v>
      </c>
      <c r="E9" s="28">
        <f t="shared" si="2"/>
        <v>8337289248305.9316</v>
      </c>
      <c r="F9" s="28"/>
      <c r="G9" s="28">
        <f>'[1]1.hist_CO2_emissions'!C11</f>
        <v>616.2284830000001</v>
      </c>
      <c r="H9" s="28">
        <f t="shared" si="3"/>
        <v>7.3912331052351655E-11</v>
      </c>
      <c r="I9" s="33">
        <f t="shared" si="4"/>
        <v>73.912331052351661</v>
      </c>
      <c r="J9" s="22"/>
      <c r="K9" s="28"/>
      <c r="L9" s="28"/>
    </row>
    <row r="10" spans="1:12">
      <c r="A10" s="28">
        <v>1998</v>
      </c>
      <c r="B10" s="35">
        <v>4381.567</v>
      </c>
      <c r="C10" s="28">
        <f t="shared" si="0"/>
        <v>254314375.0720425</v>
      </c>
      <c r="D10" s="28">
        <f t="shared" si="1"/>
        <v>8524617.852414865</v>
      </c>
      <c r="E10" s="28">
        <f t="shared" si="2"/>
        <v>8524617852414.8652</v>
      </c>
      <c r="F10" s="28"/>
      <c r="G10" s="28">
        <f>'[1]1.hist_CO2_emissions'!C12</f>
        <v>628.00909200000001</v>
      </c>
      <c r="H10" s="28">
        <f t="shared" si="3"/>
        <v>7.3670058045135327E-11</v>
      </c>
      <c r="I10" s="33">
        <f t="shared" si="4"/>
        <v>73.67005804513532</v>
      </c>
      <c r="J10" s="22"/>
      <c r="K10" s="28"/>
      <c r="L10" s="28"/>
    </row>
    <row r="11" spans="1:12">
      <c r="A11" s="28">
        <v>1999</v>
      </c>
      <c r="B11" s="35">
        <v>4533.4589999999998</v>
      </c>
      <c r="C11" s="28">
        <f t="shared" si="0"/>
        <v>263130471.9292725</v>
      </c>
      <c r="D11" s="28">
        <f t="shared" si="1"/>
        <v>8820133.4190692157</v>
      </c>
      <c r="E11" s="28">
        <f t="shared" si="2"/>
        <v>8820133419069.2148</v>
      </c>
      <c r="F11" s="28"/>
      <c r="G11" s="28">
        <f>'[1]1.hist_CO2_emissions'!C13</f>
        <v>649.14668200000006</v>
      </c>
      <c r="H11" s="28">
        <f t="shared" si="3"/>
        <v>7.3598283739851207E-11</v>
      </c>
      <c r="I11" s="33">
        <f t="shared" si="4"/>
        <v>73.598283739851212</v>
      </c>
      <c r="J11" s="22"/>
      <c r="K11" s="28"/>
      <c r="L11" s="28"/>
    </row>
    <row r="12" spans="1:12">
      <c r="A12" s="28">
        <v>2000</v>
      </c>
      <c r="B12" s="35">
        <v>4690.3879999999999</v>
      </c>
      <c r="C12" s="28">
        <f t="shared" si="0"/>
        <v>272238925.72346997</v>
      </c>
      <c r="D12" s="28">
        <f t="shared" si="1"/>
        <v>9125448.7902507149</v>
      </c>
      <c r="E12" s="28">
        <f t="shared" si="2"/>
        <v>9125448790250.7148</v>
      </c>
      <c r="F12" s="28"/>
      <c r="G12" s="28">
        <f>'[1]1.hist_CO2_emissions'!C14</f>
        <v>674.77179700000011</v>
      </c>
      <c r="H12" s="28">
        <f t="shared" si="3"/>
        <v>7.3943957443594533E-11</v>
      </c>
      <c r="I12" s="33">
        <f t="shared" si="4"/>
        <v>73.943957443594527</v>
      </c>
      <c r="J12" s="22"/>
      <c r="K12" s="28"/>
      <c r="L12" s="28"/>
    </row>
    <row r="13" spans="1:12">
      <c r="A13" s="28">
        <v>2001</v>
      </c>
      <c r="B13" s="35">
        <v>4595.0309999999999</v>
      </c>
      <c r="C13" s="28">
        <f t="shared" si="0"/>
        <v>266704226.4107025</v>
      </c>
      <c r="D13" s="28">
        <f t="shared" si="1"/>
        <v>8939925.6692867484</v>
      </c>
      <c r="E13" s="28">
        <f t="shared" si="2"/>
        <v>8939925669286.748</v>
      </c>
      <c r="F13" s="28"/>
      <c r="G13" s="28">
        <f>'[1]1.hist_CO2_emissions'!C15</f>
        <v>659.39666399999999</v>
      </c>
      <c r="H13" s="28">
        <f t="shared" si="3"/>
        <v>7.375862936594287E-11</v>
      </c>
      <c r="I13" s="33">
        <f t="shared" si="4"/>
        <v>73.758629365942866</v>
      </c>
      <c r="J13" s="22"/>
      <c r="K13" s="28"/>
      <c r="L13" s="28"/>
    </row>
    <row r="14" spans="1:12">
      <c r="A14" s="28">
        <v>2002</v>
      </c>
      <c r="B14" s="35">
        <v>4632.232</v>
      </c>
      <c r="C14" s="28">
        <f t="shared" si="0"/>
        <v>268863442.29557997</v>
      </c>
      <c r="D14" s="28">
        <f t="shared" si="1"/>
        <v>9012302.5857478417</v>
      </c>
      <c r="E14" s="28">
        <f t="shared" si="2"/>
        <v>9012302585747.8418</v>
      </c>
      <c r="F14" s="28"/>
      <c r="G14" s="28">
        <f>'[1]1.hist_CO2_emissions'!C16</f>
        <v>665.41042200000004</v>
      </c>
      <c r="H14" s="28">
        <f t="shared" si="3"/>
        <v>7.3833564249416973E-11</v>
      </c>
      <c r="I14" s="33">
        <f t="shared" si="4"/>
        <v>73.833564249416966</v>
      </c>
      <c r="J14" s="22"/>
      <c r="K14" s="28"/>
      <c r="L14" s="28"/>
    </row>
    <row r="15" spans="1:12">
      <c r="A15" s="28">
        <v>2003</v>
      </c>
      <c r="B15" s="35">
        <v>4606.009</v>
      </c>
      <c r="C15" s="28">
        <f t="shared" si="0"/>
        <v>267341410.1418975</v>
      </c>
      <c r="D15" s="28">
        <f t="shared" si="1"/>
        <v>8961284.0679564048</v>
      </c>
      <c r="E15" s="28">
        <f>D15*10^6</f>
        <v>8961284067956.4043</v>
      </c>
      <c r="F15" s="28"/>
      <c r="G15" s="28">
        <f>'[1]1.hist_CO2_emissions'!C17</f>
        <v>661.25329600000009</v>
      </c>
      <c r="H15" s="28">
        <f t="shared" si="3"/>
        <v>7.3790016138925624E-11</v>
      </c>
      <c r="I15" s="33">
        <f t="shared" si="4"/>
        <v>73.790016138925623</v>
      </c>
      <c r="J15" s="22"/>
      <c r="K15" s="28"/>
      <c r="L15" s="28"/>
    </row>
    <row r="16" spans="1:12">
      <c r="A16" s="28">
        <v>2004</v>
      </c>
      <c r="B16" s="35">
        <v>4900.1189999999997</v>
      </c>
      <c r="C16" s="28">
        <f t="shared" si="0"/>
        <v>284412106.73342252</v>
      </c>
      <c r="D16" s="28">
        <f t="shared" si="1"/>
        <v>9533493.8177043237</v>
      </c>
      <c r="E16" s="28">
        <f t="shared" si="2"/>
        <v>9533493817704.3242</v>
      </c>
      <c r="F16" s="28"/>
      <c r="G16" s="28">
        <f>'[1]1.hist_CO2_emissions'!C18</f>
        <v>703.9308860000001</v>
      </c>
      <c r="H16" s="28">
        <f t="shared" si="3"/>
        <v>7.3837661140845789E-11</v>
      </c>
      <c r="I16" s="33">
        <f t="shared" si="4"/>
        <v>73.837661140845782</v>
      </c>
      <c r="J16" s="22"/>
      <c r="K16" s="28"/>
      <c r="L16" s="28"/>
    </row>
    <row r="17" spans="1:12">
      <c r="A17" s="28">
        <v>2005</v>
      </c>
      <c r="B17" s="35">
        <v>5115.6469999999999</v>
      </c>
      <c r="C17" s="28">
        <f t="shared" si="0"/>
        <v>296921756.5072425</v>
      </c>
      <c r="D17" s="28">
        <f t="shared" si="1"/>
        <v>9952817.2781227697</v>
      </c>
      <c r="E17" s="28">
        <f t="shared" si="2"/>
        <v>9952817278122.7695</v>
      </c>
      <c r="F17" s="28"/>
      <c r="G17" s="28">
        <f>'[1]1.hist_CO2_emissions'!C19</f>
        <v>732.05280799999991</v>
      </c>
      <c r="H17" s="28">
        <f t="shared" si="3"/>
        <v>7.3552320668954806E-11</v>
      </c>
      <c r="I17" s="33">
        <f t="shared" si="4"/>
        <v>73.552320668954806</v>
      </c>
      <c r="J17" s="22"/>
      <c r="K17" s="28"/>
      <c r="L17" s="28"/>
    </row>
    <row r="18" spans="1:12">
      <c r="A18" s="28">
        <v>2006</v>
      </c>
      <c r="B18" s="35">
        <v>5173.8010000000004</v>
      </c>
      <c r="C18" s="28">
        <f t="shared" si="0"/>
        <v>300297123.85137749</v>
      </c>
      <c r="D18" s="28">
        <f t="shared" si="1"/>
        <v>10065959.591498174</v>
      </c>
      <c r="E18" s="28">
        <f t="shared" si="2"/>
        <v>10065959591498.174</v>
      </c>
      <c r="F18" s="28"/>
      <c r="G18" s="28">
        <f>'[1]1.hist_CO2_emissions'!C20</f>
        <v>740.87568299999998</v>
      </c>
      <c r="H18" s="28">
        <f t="shared" si="3"/>
        <v>7.3602091908430889E-11</v>
      </c>
      <c r="I18" s="33">
        <f t="shared" si="4"/>
        <v>73.602091908430893</v>
      </c>
      <c r="J18" s="22"/>
      <c r="K18" s="28"/>
      <c r="L18" s="28"/>
    </row>
    <row r="19" spans="1:12">
      <c r="A19" s="28">
        <v>2007</v>
      </c>
      <c r="B19" s="35">
        <v>5314.1329999999998</v>
      </c>
      <c r="C19" s="28">
        <f t="shared" si="0"/>
        <v>308442256.60470748</v>
      </c>
      <c r="D19" s="28">
        <f t="shared" si="1"/>
        <v>10338984.441389795</v>
      </c>
      <c r="E19" s="28">
        <f t="shared" si="2"/>
        <v>10338984441389.795</v>
      </c>
      <c r="F19" s="28"/>
      <c r="G19" s="28">
        <f>'[1]1.hist_CO2_emissions'!C21</f>
        <v>759.77471099999991</v>
      </c>
      <c r="H19" s="28">
        <f t="shared" si="3"/>
        <v>7.3486396590211807E-11</v>
      </c>
      <c r="I19" s="33">
        <f t="shared" si="4"/>
        <v>73.486396590211811</v>
      </c>
      <c r="J19" s="22"/>
      <c r="K19" s="28"/>
      <c r="L19" s="28"/>
    </row>
    <row r="20" spans="1:12">
      <c r="A20" s="28">
        <v>2008</v>
      </c>
      <c r="B20" s="35">
        <v>5249.5510000000004</v>
      </c>
      <c r="C20" s="28">
        <f t="shared" si="0"/>
        <v>304693796.07200247</v>
      </c>
      <c r="D20" s="28">
        <f t="shared" si="1"/>
        <v>10213336.044333523</v>
      </c>
      <c r="E20" s="28">
        <f t="shared" si="2"/>
        <v>10213336044333.523</v>
      </c>
      <c r="F20" s="28"/>
      <c r="G20" s="28">
        <f>'[1]1.hist_CO2_emissions'!C22</f>
        <v>752.56760900000006</v>
      </c>
      <c r="H20" s="28">
        <f t="shared" si="3"/>
        <v>7.368479855487896E-11</v>
      </c>
      <c r="I20" s="33">
        <f t="shared" si="4"/>
        <v>73.684798554878967</v>
      </c>
      <c r="J20" s="22"/>
      <c r="K20" s="28"/>
      <c r="L20" s="28"/>
    </row>
    <row r="21" spans="1:12">
      <c r="A21" s="28">
        <v>2009</v>
      </c>
      <c r="B21" s="35">
        <v>4984.1499999999996</v>
      </c>
      <c r="C21" s="28">
        <f t="shared" si="0"/>
        <v>289289423.74162501</v>
      </c>
      <c r="D21" s="28">
        <f t="shared" si="1"/>
        <v>9696981.4838192724</v>
      </c>
      <c r="E21" s="28">
        <f t="shared" si="2"/>
        <v>9696981483819.2715</v>
      </c>
      <c r="F21" s="28"/>
      <c r="G21" s="28">
        <f>'[1]1.hist_CO2_emissions'!C23</f>
        <v>712.09145899999999</v>
      </c>
      <c r="H21" s="28">
        <f t="shared" si="3"/>
        <v>7.3434342448546608E-11</v>
      </c>
      <c r="I21" s="33">
        <f t="shared" si="4"/>
        <v>73.434342448546602</v>
      </c>
      <c r="J21" s="22"/>
      <c r="K21" s="28"/>
      <c r="L21" s="28"/>
    </row>
    <row r="22" spans="1:12">
      <c r="A22" s="28">
        <v>2010</v>
      </c>
      <c r="B22" s="35">
        <v>5254.7780000000002</v>
      </c>
      <c r="C22" s="28">
        <f t="shared" si="0"/>
        <v>304997180.96569496</v>
      </c>
      <c r="D22" s="28">
        <f t="shared" si="1"/>
        <v>10223505.505970096</v>
      </c>
      <c r="E22" s="28">
        <f t="shared" si="2"/>
        <v>10223505505970.096</v>
      </c>
      <c r="F22" s="28"/>
      <c r="G22" s="28">
        <f>'[1]1.hist_CO2_emissions'!C24</f>
        <v>750.39058399999999</v>
      </c>
      <c r="H22" s="28">
        <f t="shared" si="3"/>
        <v>7.3398560167234577E-11</v>
      </c>
      <c r="I22" s="33">
        <f t="shared" si="4"/>
        <v>73.398560167234578</v>
      </c>
      <c r="J22" s="22"/>
      <c r="K22" s="28"/>
      <c r="L22" s="28"/>
    </row>
    <row r="23" spans="1:12">
      <c r="A23" s="28">
        <v>2011</v>
      </c>
      <c r="B23" s="35">
        <v>5379.7709999999997</v>
      </c>
      <c r="C23" s="28">
        <f t="shared" si="0"/>
        <v>312252009.36005247</v>
      </c>
      <c r="D23" s="28">
        <f t="shared" si="1"/>
        <v>10466687.35374896</v>
      </c>
      <c r="E23" s="28">
        <f t="shared" si="2"/>
        <v>10466687353748.961</v>
      </c>
      <c r="F23" s="28"/>
      <c r="G23" s="28">
        <f>'[1]1.hist_CO2_emissions'!C25</f>
        <v>771.19166600000005</v>
      </c>
      <c r="H23" s="28">
        <f t="shared" si="3"/>
        <v>7.3680586792704229E-11</v>
      </c>
      <c r="I23" s="33">
        <f t="shared" si="4"/>
        <v>73.680586792704233</v>
      </c>
      <c r="J23" s="22"/>
      <c r="K23" s="28"/>
      <c r="L23" s="28"/>
    </row>
    <row r="24" spans="1:12">
      <c r="A24" s="28">
        <v>2012</v>
      </c>
      <c r="B24" s="35">
        <v>5419.1030000000001</v>
      </c>
      <c r="C24" s="28">
        <f t="shared" si="0"/>
        <v>314534912.48588252</v>
      </c>
      <c r="D24" s="28">
        <f t="shared" si="1"/>
        <v>10543210.266526783</v>
      </c>
      <c r="E24" s="28">
        <f t="shared" si="2"/>
        <v>10543210266526.783</v>
      </c>
      <c r="F24" s="28"/>
      <c r="G24" s="28">
        <f>'[1]1.hist_CO2_emissions'!C26</f>
        <v>780.59377800000004</v>
      </c>
      <c r="H24" s="28">
        <f t="shared" si="3"/>
        <v>7.403758042066903E-11</v>
      </c>
      <c r="I24" s="33">
        <f t="shared" si="4"/>
        <v>74.03758042066903</v>
      </c>
      <c r="J24" s="22"/>
      <c r="K24" s="28"/>
      <c r="L24" s="28"/>
    </row>
    <row r="25" spans="1:12">
      <c r="A25" s="28">
        <v>2013</v>
      </c>
      <c r="B25" s="35">
        <v>5592.1629999999996</v>
      </c>
      <c r="C25" s="28">
        <f t="shared" si="0"/>
        <v>324579639.80603248</v>
      </c>
      <c r="D25" s="28">
        <f t="shared" si="1"/>
        <v>10879909.52629821</v>
      </c>
      <c r="E25" s="28">
        <f t="shared" si="2"/>
        <v>10879909526298.211</v>
      </c>
      <c r="F25" s="28"/>
      <c r="G25" s="28">
        <f>'[1]1.hist_CO2_emissions'!C27</f>
        <v>799.93578000000002</v>
      </c>
      <c r="H25" s="28">
        <f t="shared" si="3"/>
        <v>7.3524120588176515E-11</v>
      </c>
      <c r="I25" s="33">
        <f t="shared" si="4"/>
        <v>73.524120588176515</v>
      </c>
      <c r="J25" s="22"/>
      <c r="K25" s="28"/>
      <c r="L25" s="28"/>
    </row>
    <row r="26" spans="1:12">
      <c r="A26" s="28">
        <v>2014</v>
      </c>
      <c r="B26" s="35">
        <v>5771.1890000000003</v>
      </c>
      <c r="C26" s="28">
        <f t="shared" si="0"/>
        <v>334970644.9673475</v>
      </c>
      <c r="D26" s="28">
        <f t="shared" si="1"/>
        <v>11228216.01930549</v>
      </c>
      <c r="E26" s="28">
        <f t="shared" si="2"/>
        <v>11228216019305.49</v>
      </c>
      <c r="F26" s="28"/>
      <c r="G26" s="28">
        <f>'[1]1.hist_CO2_emissions'!C28</f>
        <v>826.32976600000006</v>
      </c>
      <c r="H26" s="28">
        <f t="shared" si="3"/>
        <v>7.359403885525814E-11</v>
      </c>
      <c r="I26" s="33">
        <f t="shared" si="4"/>
        <v>73.594038855258134</v>
      </c>
      <c r="J26" s="22"/>
      <c r="K26" s="28"/>
      <c r="L26" s="28"/>
    </row>
    <row r="27" spans="1:12">
      <c r="A27" s="28">
        <v>2015</v>
      </c>
      <c r="B27" s="35">
        <v>6089.4709999999995</v>
      </c>
      <c r="C27" s="28">
        <f t="shared" si="0"/>
        <v>353444329.8218025</v>
      </c>
      <c r="D27" s="28">
        <f t="shared" si="1"/>
        <v>11847453.935626822</v>
      </c>
      <c r="E27" s="28">
        <f t="shared" si="2"/>
        <v>11847453935626.822</v>
      </c>
      <c r="F27" s="28"/>
      <c r="G27" s="28">
        <f>'[1]1.hist_CO2_emissions'!C29</f>
        <v>871.93010700000002</v>
      </c>
      <c r="H27" s="28">
        <f t="shared" si="3"/>
        <v>7.3596412506656274E-11</v>
      </c>
      <c r="I27" s="33">
        <f t="shared" si="4"/>
        <v>73.596412506656279</v>
      </c>
      <c r="J27" s="22"/>
      <c r="K27" s="28"/>
      <c r="L27" s="28"/>
    </row>
    <row r="28" spans="1:12">
      <c r="A28" s="28">
        <v>2016</v>
      </c>
      <c r="B28" s="35">
        <v>6355.7820000000002</v>
      </c>
      <c r="C28" s="28">
        <f t="shared" si="0"/>
        <v>368901520.26070499</v>
      </c>
      <c r="D28" s="28">
        <f t="shared" si="1"/>
        <v>12365578.959138831</v>
      </c>
      <c r="E28" s="28">
        <f t="shared" si="2"/>
        <v>12365578959138.832</v>
      </c>
      <c r="F28" s="28"/>
      <c r="G28" s="28">
        <f>'[1]1.hist_CO2_emissions'!C30</f>
        <v>913.1549940000001</v>
      </c>
      <c r="H28" s="28">
        <f t="shared" si="3"/>
        <v>7.3846521624054584E-11</v>
      </c>
      <c r="I28" s="33">
        <f t="shared" si="4"/>
        <v>73.846521624054589</v>
      </c>
      <c r="J28" s="22"/>
      <c r="K28" s="28"/>
      <c r="L28" s="28"/>
    </row>
    <row r="29" spans="1:12">
      <c r="A29" s="28">
        <v>2017</v>
      </c>
      <c r="B29" s="35">
        <v>6776.9219999999996</v>
      </c>
      <c r="C29" s="28">
        <f t="shared" si="0"/>
        <v>393345276.55105501</v>
      </c>
      <c r="D29" s="28">
        <f t="shared" si="1"/>
        <v>13184933.669991365</v>
      </c>
      <c r="E29" s="28">
        <f t="shared" si="2"/>
        <v>13184933669991.365</v>
      </c>
      <c r="F29" s="28"/>
      <c r="G29" s="28">
        <f>'[1]1.hist_CO2_emissions'!C31</f>
        <v>970.62137300000006</v>
      </c>
      <c r="H29" s="28">
        <f t="shared" si="3"/>
        <v>7.3615946601924442E-11</v>
      </c>
      <c r="I29" s="33">
        <f t="shared" si="4"/>
        <v>73.615946601924435</v>
      </c>
      <c r="J29" s="22"/>
      <c r="K29" s="28"/>
      <c r="L29" s="28"/>
    </row>
    <row r="30" spans="1:12">
      <c r="A30" s="28">
        <v>2018</v>
      </c>
      <c r="B30" s="35">
        <v>7076.4549999999999</v>
      </c>
      <c r="C30" s="28">
        <f t="shared" si="0"/>
        <v>410730734.24426252</v>
      </c>
      <c r="D30" s="28">
        <f t="shared" si="1"/>
        <v>13767694.211867681</v>
      </c>
      <c r="E30" s="28">
        <f t="shared" si="2"/>
        <v>13767694211867.682</v>
      </c>
      <c r="F30" s="28"/>
      <c r="G30" s="28">
        <f>'[1]1.hist_CO2_emissions'!C32</f>
        <v>1007.615221</v>
      </c>
      <c r="H30" s="28">
        <f t="shared" si="3"/>
        <v>7.3186926256064064E-11</v>
      </c>
      <c r="I30" s="33">
        <f t="shared" si="4"/>
        <v>73.186926256064069</v>
      </c>
      <c r="J30" s="22"/>
      <c r="K30" s="28"/>
      <c r="L30" s="28"/>
    </row>
    <row r="31" spans="1:12">
      <c r="A31" s="28">
        <v>2019</v>
      </c>
      <c r="B31" s="35">
        <v>7185.0249999999996</v>
      </c>
      <c r="C31" s="28">
        <f t="shared" si="0"/>
        <v>417032340.8844375</v>
      </c>
      <c r="D31" s="28">
        <f t="shared" si="1"/>
        <v>13978924.066446345</v>
      </c>
      <c r="E31" s="28">
        <f t="shared" si="2"/>
        <v>13978924066446.346</v>
      </c>
      <c r="F31" s="28"/>
      <c r="G31" s="28">
        <f>'[1]1.hist_CO2_emissions'!C33</f>
        <v>1027</v>
      </c>
      <c r="H31" s="28">
        <f t="shared" si="3"/>
        <v>7.346774294776458E-11</v>
      </c>
      <c r="I31" s="33">
        <f t="shared" si="4"/>
        <v>73.467742947764577</v>
      </c>
      <c r="J31" s="22"/>
      <c r="K31" s="28"/>
      <c r="L31" s="28"/>
    </row>
    <row r="32" spans="1:12">
      <c r="A32" s="28">
        <v>2020</v>
      </c>
      <c r="B32" s="28">
        <f>(G32*B31)/G31</f>
        <v>4239.6544790652379</v>
      </c>
      <c r="C32" s="28">
        <f t="shared" si="0"/>
        <v>246077505.91623083</v>
      </c>
      <c r="D32" s="28">
        <f t="shared" si="1"/>
        <v>8248517.9983120579</v>
      </c>
      <c r="E32" s="28">
        <f>D32*10^6</f>
        <v>8248517998312.0576</v>
      </c>
      <c r="F32" s="28"/>
      <c r="G32" s="28">
        <f>'[1]1.hist_CO2_emissions'!C34</f>
        <v>606</v>
      </c>
      <c r="H32" s="28">
        <f t="shared" si="3"/>
        <v>7.3467742947764593E-11</v>
      </c>
      <c r="I32" s="33">
        <f t="shared" si="4"/>
        <v>73.467742947764592</v>
      </c>
      <c r="J32" s="23"/>
      <c r="K32" s="25"/>
      <c r="L32" s="28"/>
    </row>
    <row r="33" spans="1:12">
      <c r="A33" s="28">
        <v>2021</v>
      </c>
      <c r="B33" s="28">
        <f>(G33*B31)/G31</f>
        <v>5081.245032770963</v>
      </c>
      <c r="C33" s="28">
        <f t="shared" si="0"/>
        <v>294925001.73957574</v>
      </c>
      <c r="D33" s="28">
        <f t="shared" si="1"/>
        <v>9885886.0583105795</v>
      </c>
      <c r="E33" s="28">
        <f t="shared" si="2"/>
        <v>9885886058310.5801</v>
      </c>
      <c r="F33" s="28"/>
      <c r="G33" s="28">
        <f>'[1]1.hist_CO2_emissions'!C35</f>
        <v>726.29373574285114</v>
      </c>
      <c r="H33" s="28">
        <f t="shared" si="3"/>
        <v>7.3467742947764567E-11</v>
      </c>
      <c r="I33" s="33">
        <f t="shared" si="4"/>
        <v>73.467742947764563</v>
      </c>
      <c r="J33" s="23"/>
      <c r="K33" s="28"/>
      <c r="L33" s="28"/>
    </row>
    <row r="34" spans="1:1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</row>
    <row r="35" spans="1:1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</row>
    <row r="36" spans="1:12">
      <c r="H36" s="10"/>
    </row>
    <row r="37" spans="1:12">
      <c r="A37" s="321" t="s">
        <v>2</v>
      </c>
      <c r="B37" t="s">
        <v>70</v>
      </c>
    </row>
    <row r="38" spans="1:12">
      <c r="A38" s="321"/>
      <c r="B38" s="21" t="s">
        <v>59</v>
      </c>
    </row>
    <row r="39" spans="1:12">
      <c r="A39" s="321"/>
      <c r="B39" t="s">
        <v>60</v>
      </c>
    </row>
    <row r="40" spans="1:12">
      <c r="A40" s="321"/>
      <c r="B40" t="s">
        <v>61</v>
      </c>
      <c r="G40" s="26"/>
      <c r="H40" s="27"/>
      <c r="I40" s="27"/>
    </row>
    <row r="41" spans="1:12">
      <c r="B41" t="s">
        <v>71</v>
      </c>
      <c r="G41" s="26"/>
      <c r="H41" s="27"/>
      <c r="I41" s="27"/>
    </row>
    <row r="43" spans="1:12">
      <c r="J43" s="27"/>
    </row>
    <row r="44" spans="1:12">
      <c r="A44" s="10" t="s">
        <v>72</v>
      </c>
    </row>
    <row r="45" spans="1:12">
      <c r="A45" t="s">
        <v>73</v>
      </c>
    </row>
    <row r="46" spans="1:12">
      <c r="A46" t="s">
        <v>63</v>
      </c>
      <c r="B46" t="s">
        <v>64</v>
      </c>
      <c r="C46">
        <v>0.15891</v>
      </c>
      <c r="D46" t="s">
        <v>65</v>
      </c>
    </row>
    <row r="47" spans="1:12">
      <c r="A47" t="s">
        <v>66</v>
      </c>
      <c r="B47" t="s">
        <v>64</v>
      </c>
      <c r="C47">
        <v>33.520000000000003</v>
      </c>
      <c r="D47" t="s">
        <v>67</v>
      </c>
    </row>
    <row r="48" spans="1:12">
      <c r="A48" t="s">
        <v>68</v>
      </c>
      <c r="B48" t="s">
        <v>64</v>
      </c>
      <c r="C48">
        <v>704.4</v>
      </c>
      <c r="D48" t="s">
        <v>69</v>
      </c>
    </row>
  </sheetData>
  <sheetProtection algorithmName="SHA-512" hashValue="2abO28848SVKB+aeFrgLZraBPGXxXeDbWXYHalpDUwN+mIcjMrtd0YSg2bPutnA6+Gxgwz/VD68nPwBeu4d8lQ==" saltValue="EVIQ7mdGMp1w5x1J9n4aVQ==" spinCount="100000" sheet="1" objects="1" scenarios="1" selectLockedCells="1"/>
  <mergeCells count="1">
    <mergeCell ref="A37:A40"/>
  </mergeCells>
  <hyperlinks>
    <hyperlink ref="B38" r:id="rId1" xr:uid="{34270588-485C-CC4D-B59C-4553B0D6D2A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5ACD-6093-BB43-A0D5-C80255C6EC21}">
  <dimension ref="A1:N53"/>
  <sheetViews>
    <sheetView zoomScale="82" workbookViewId="0">
      <pane xSplit="1" topLeftCell="B1" activePane="topRight" state="frozen"/>
      <selection pane="topRight" activeCell="J2" sqref="J2:K2"/>
    </sheetView>
  </sheetViews>
  <sheetFormatPr baseColWidth="10" defaultRowHeight="16"/>
  <cols>
    <col min="2" max="2" width="16.83203125" customWidth="1"/>
    <col min="3" max="4" width="19.1640625" customWidth="1"/>
    <col min="5" max="6" width="13.6640625" customWidth="1"/>
    <col min="7" max="7" width="21.1640625" bestFit="1" customWidth="1"/>
    <col min="8" max="8" width="21.1640625" customWidth="1"/>
    <col min="9" max="9" width="12.1640625" style="299" hidden="1" customWidth="1"/>
    <col min="10" max="10" width="14" bestFit="1" customWidth="1"/>
    <col min="11" max="11" width="14" customWidth="1"/>
    <col min="14" max="14" width="15" customWidth="1"/>
    <col min="16" max="16" width="12.1640625" bestFit="1" customWidth="1"/>
  </cols>
  <sheetData>
    <row r="1" spans="1:14">
      <c r="J1" t="s">
        <v>430</v>
      </c>
    </row>
    <row r="2" spans="1:14" ht="47" customHeight="1">
      <c r="A2" s="319" t="s">
        <v>0</v>
      </c>
      <c r="B2" s="223" t="s">
        <v>1</v>
      </c>
      <c r="C2" s="322" t="s">
        <v>7</v>
      </c>
      <c r="D2" s="322"/>
      <c r="E2" s="322" t="s">
        <v>15</v>
      </c>
      <c r="F2" s="322"/>
      <c r="G2" s="322" t="s">
        <v>45</v>
      </c>
      <c r="H2" s="318"/>
      <c r="I2" s="297" t="s">
        <v>74</v>
      </c>
      <c r="J2" s="317" t="s">
        <v>51</v>
      </c>
      <c r="K2" s="318"/>
      <c r="L2" s="228" t="s">
        <v>81</v>
      </c>
      <c r="N2" s="7" t="s">
        <v>326</v>
      </c>
    </row>
    <row r="3" spans="1:14" ht="42" customHeight="1" thickBot="1">
      <c r="A3" s="320"/>
      <c r="B3" s="224" t="s">
        <v>9</v>
      </c>
      <c r="C3" s="220" t="s">
        <v>10</v>
      </c>
      <c r="D3" s="221" t="s">
        <v>46</v>
      </c>
      <c r="E3" s="221" t="s">
        <v>16</v>
      </c>
      <c r="F3" s="220" t="s">
        <v>362</v>
      </c>
      <c r="G3" s="221" t="s">
        <v>46</v>
      </c>
      <c r="H3" s="225" t="s">
        <v>361</v>
      </c>
      <c r="I3" s="298" t="s">
        <v>75</v>
      </c>
      <c r="J3" s="221" t="s">
        <v>96</v>
      </c>
      <c r="K3" s="225" t="s">
        <v>363</v>
      </c>
      <c r="L3" s="227" t="s">
        <v>82</v>
      </c>
      <c r="N3" s="222" t="s">
        <v>329</v>
      </c>
    </row>
    <row r="4" spans="1:14">
      <c r="A4">
        <v>1990</v>
      </c>
      <c r="B4" s="58">
        <v>542.69777999999997</v>
      </c>
      <c r="C4" s="2">
        <v>1964</v>
      </c>
      <c r="D4" s="2">
        <f>((C4*10^3)*90)/10^3</f>
        <v>176760</v>
      </c>
      <c r="E4" s="2">
        <v>56124.900350108401</v>
      </c>
      <c r="F4" s="9">
        <f>((E4*10^3)/90)</f>
        <v>623610.0038900933</v>
      </c>
      <c r="G4" s="9">
        <f>D4+E4</f>
        <v>232884.90035010839</v>
      </c>
      <c r="H4" s="226">
        <f t="shared" ref="H4:H35" si="0">(C4*10^3)+F4</f>
        <v>2587610.0038900934</v>
      </c>
      <c r="I4" s="300">
        <f>other_IEA_fuel_consumption!E2</f>
        <v>7367260354089.2588</v>
      </c>
      <c r="J4" s="9">
        <f t="shared" ref="J4:J35" si="1">I4/(G4*10^6)</f>
        <v>31.634770408101428</v>
      </c>
      <c r="K4" s="226">
        <f t="shared" ref="K4:K35" si="2">I4/(H4*10^6)</f>
        <v>2.8471293367291284</v>
      </c>
      <c r="L4" s="229">
        <f t="shared" ref="L4:L35" si="3">(B4*10^12)/I4</f>
        <v>73.663445285841036</v>
      </c>
      <c r="N4" s="2">
        <v>5558.1197912684902</v>
      </c>
    </row>
    <row r="5" spans="1:14">
      <c r="A5">
        <v>1991</v>
      </c>
      <c r="B5" s="58">
        <v>525.62075600000003</v>
      </c>
      <c r="C5" s="2">
        <v>1918.9</v>
      </c>
      <c r="D5" s="2">
        <f t="shared" ref="D5:D35" si="4">((C5*10^3)*90)/10^3</f>
        <v>172701</v>
      </c>
      <c r="E5" s="2">
        <v>56142.300080954701</v>
      </c>
      <c r="F5" s="9">
        <f t="shared" ref="F5:F35" si="5">((E5*10^3)/90)</f>
        <v>623803.33423282998</v>
      </c>
      <c r="G5" s="9">
        <f t="shared" ref="G5:G35" si="6">D5+E5</f>
        <v>228843.30008095471</v>
      </c>
      <c r="H5" s="226">
        <f t="shared" si="0"/>
        <v>2542703.33423283</v>
      </c>
      <c r="I5" s="300">
        <f>other_IEA_fuel_consumption!E3</f>
        <v>7126335360241.6045</v>
      </c>
      <c r="J5" s="9">
        <f t="shared" si="1"/>
        <v>31.140677300670895</v>
      </c>
      <c r="K5" s="226">
        <f t="shared" si="2"/>
        <v>2.8026609570603807</v>
      </c>
      <c r="L5" s="229">
        <f t="shared" si="3"/>
        <v>73.757510617937001</v>
      </c>
      <c r="N5" s="2">
        <v>5764.0750430085</v>
      </c>
    </row>
    <row r="6" spans="1:14">
      <c r="A6">
        <v>1992</v>
      </c>
      <c r="B6" s="58">
        <v>529.16584599999999</v>
      </c>
      <c r="C6" s="2">
        <v>1995.8</v>
      </c>
      <c r="D6" s="2">
        <f t="shared" si="4"/>
        <v>179622</v>
      </c>
      <c r="E6" s="2">
        <v>61025.199738494703</v>
      </c>
      <c r="F6" s="9">
        <f t="shared" si="5"/>
        <v>678057.77487216331</v>
      </c>
      <c r="G6" s="9">
        <f t="shared" si="6"/>
        <v>240647.1997384947</v>
      </c>
      <c r="H6" s="226">
        <f t="shared" si="0"/>
        <v>2673857.7748721633</v>
      </c>
      <c r="I6" s="300">
        <f>other_IEA_fuel_consumption!E4</f>
        <v>7146755997191.5684</v>
      </c>
      <c r="J6" s="9">
        <f t="shared" si="1"/>
        <v>29.698064240754807</v>
      </c>
      <c r="K6" s="226">
        <f t="shared" si="2"/>
        <v>2.6728257816679326</v>
      </c>
      <c r="L6" s="229">
        <f t="shared" si="3"/>
        <v>74.042802945552381</v>
      </c>
      <c r="N6" s="2">
        <v>5933.60190270973</v>
      </c>
    </row>
    <row r="7" spans="1:14">
      <c r="A7">
        <v>1993</v>
      </c>
      <c r="B7" s="58">
        <v>533.631754</v>
      </c>
      <c r="C7" s="2">
        <v>2027</v>
      </c>
      <c r="D7" s="2">
        <f t="shared" si="4"/>
        <v>182430</v>
      </c>
      <c r="E7" s="2">
        <v>67522.600189991703</v>
      </c>
      <c r="F7" s="9">
        <f t="shared" si="5"/>
        <v>750251.11322212999</v>
      </c>
      <c r="G7" s="9">
        <f t="shared" si="6"/>
        <v>249952.6001899917</v>
      </c>
      <c r="H7" s="226">
        <f t="shared" si="0"/>
        <v>2777251.1132221301</v>
      </c>
      <c r="I7" s="300">
        <f>other_IEA_fuel_consumption!E5</f>
        <v>7215973318148.9707</v>
      </c>
      <c r="J7" s="9">
        <f t="shared" si="1"/>
        <v>28.869366882617065</v>
      </c>
      <c r="K7" s="226">
        <f t="shared" si="2"/>
        <v>2.5982430194355359</v>
      </c>
      <c r="L7" s="229">
        <f t="shared" si="3"/>
        <v>73.951458863887026</v>
      </c>
      <c r="N7" s="2">
        <v>6096.0582062763497</v>
      </c>
    </row>
    <row r="8" spans="1:14">
      <c r="A8">
        <v>1994</v>
      </c>
      <c r="B8" s="58">
        <v>556.70766700000013</v>
      </c>
      <c r="C8" s="2">
        <v>2195.4</v>
      </c>
      <c r="D8" s="2">
        <f t="shared" si="4"/>
        <v>197586</v>
      </c>
      <c r="E8" s="2">
        <v>77183.300331168095</v>
      </c>
      <c r="F8" s="9">
        <f t="shared" si="5"/>
        <v>857592.22590186773</v>
      </c>
      <c r="G8" s="9">
        <f t="shared" si="6"/>
        <v>274769.30033116811</v>
      </c>
      <c r="H8" s="226">
        <f t="shared" si="0"/>
        <v>3052992.2259018677</v>
      </c>
      <c r="I8" s="300">
        <f>other_IEA_fuel_consumption!E6</f>
        <v>7543623760994.4961</v>
      </c>
      <c r="J8" s="9">
        <f t="shared" si="1"/>
        <v>27.454390835884784</v>
      </c>
      <c r="K8" s="226">
        <f t="shared" si="2"/>
        <v>2.4708951752296309</v>
      </c>
      <c r="L8" s="229">
        <f t="shared" si="3"/>
        <v>73.798440197739637</v>
      </c>
      <c r="N8" s="2">
        <v>6326.4985537420698</v>
      </c>
    </row>
    <row r="9" spans="1:14">
      <c r="A9">
        <v>1995</v>
      </c>
      <c r="B9" s="58">
        <v>570.76552600000002</v>
      </c>
      <c r="C9" s="2">
        <v>2333.3000000000002</v>
      </c>
      <c r="D9" s="2">
        <f t="shared" si="4"/>
        <v>209997</v>
      </c>
      <c r="E9" s="2">
        <v>83098.200397834502</v>
      </c>
      <c r="F9" s="9">
        <f t="shared" si="5"/>
        <v>923313.33775371662</v>
      </c>
      <c r="G9" s="9">
        <f t="shared" si="6"/>
        <v>293095.20039783453</v>
      </c>
      <c r="H9" s="226">
        <f t="shared" si="0"/>
        <v>3256613.3377537169</v>
      </c>
      <c r="I9" s="300">
        <f>other_IEA_fuel_consumption!E7</f>
        <v>7732911547783.3652</v>
      </c>
      <c r="J9" s="9">
        <f t="shared" si="1"/>
        <v>26.383617122651792</v>
      </c>
      <c r="K9" s="226">
        <f t="shared" si="2"/>
        <v>2.3745255410386612</v>
      </c>
      <c r="L9" s="229">
        <f t="shared" si="3"/>
        <v>73.809912666544022</v>
      </c>
      <c r="N9" s="2">
        <v>6581.4656939820798</v>
      </c>
    </row>
    <row r="10" spans="1:14">
      <c r="A10">
        <v>1996</v>
      </c>
      <c r="B10" s="58">
        <v>597.12128200000018</v>
      </c>
      <c r="C10" s="2">
        <v>2532.1</v>
      </c>
      <c r="D10" s="2">
        <f t="shared" si="4"/>
        <v>227889</v>
      </c>
      <c r="E10" s="2">
        <v>89164.599980600004</v>
      </c>
      <c r="F10" s="9">
        <f t="shared" si="5"/>
        <v>990717.77756222221</v>
      </c>
      <c r="G10" s="9">
        <f t="shared" si="6"/>
        <v>317053.5999806</v>
      </c>
      <c r="H10" s="226">
        <f t="shared" si="0"/>
        <v>3522817.7775622224</v>
      </c>
      <c r="I10" s="300">
        <f>other_IEA_fuel_consumption!E8</f>
        <v>8061065891635.9414</v>
      </c>
      <c r="J10" s="9">
        <f t="shared" si="1"/>
        <v>25.424930964761749</v>
      </c>
      <c r="K10" s="226">
        <f t="shared" si="2"/>
        <v>2.288243786828557</v>
      </c>
      <c r="L10" s="229">
        <f t="shared" si="3"/>
        <v>74.074730318178581</v>
      </c>
      <c r="N10" s="2">
        <v>6874.0599249664401</v>
      </c>
    </row>
    <row r="11" spans="1:14">
      <c r="A11">
        <v>1997</v>
      </c>
      <c r="B11" s="58">
        <v>616.2284830000001</v>
      </c>
      <c r="C11" s="2">
        <v>2654.7</v>
      </c>
      <c r="D11" s="2">
        <f t="shared" si="4"/>
        <v>238923</v>
      </c>
      <c r="E11" s="2">
        <v>102876.10121963199</v>
      </c>
      <c r="F11" s="9">
        <f t="shared" si="5"/>
        <v>1143067.7913292444</v>
      </c>
      <c r="G11" s="9">
        <f t="shared" si="6"/>
        <v>341799.10121963196</v>
      </c>
      <c r="H11" s="226">
        <f t="shared" si="0"/>
        <v>3797767.7913292442</v>
      </c>
      <c r="I11" s="300">
        <f>other_IEA_fuel_consumption!E9</f>
        <v>8337289248305.9316</v>
      </c>
      <c r="J11" s="9">
        <f t="shared" si="1"/>
        <v>24.392367383519211</v>
      </c>
      <c r="K11" s="226">
        <f t="shared" si="2"/>
        <v>2.1953130645167289</v>
      </c>
      <c r="L11" s="229">
        <f t="shared" si="3"/>
        <v>73.912331052351661</v>
      </c>
      <c r="N11" s="2">
        <v>7164.99840040253</v>
      </c>
    </row>
    <row r="12" spans="1:14">
      <c r="A12">
        <v>1998</v>
      </c>
      <c r="B12" s="58">
        <v>628.00909200000001</v>
      </c>
      <c r="C12" s="2">
        <v>2747</v>
      </c>
      <c r="D12" s="2">
        <f t="shared" si="4"/>
        <v>247230</v>
      </c>
      <c r="E12" s="2">
        <v>101788.27430563699</v>
      </c>
      <c r="F12" s="9">
        <f t="shared" si="5"/>
        <v>1130980.8256181888</v>
      </c>
      <c r="G12" s="9">
        <f t="shared" si="6"/>
        <v>349018.27430563699</v>
      </c>
      <c r="H12" s="226">
        <f t="shared" si="0"/>
        <v>3877980.8256181888</v>
      </c>
      <c r="I12" s="300">
        <f>other_IEA_fuel_consumption!E10</f>
        <v>8524617852414.8652</v>
      </c>
      <c r="J12" s="9">
        <f t="shared" si="1"/>
        <v>24.424560202110836</v>
      </c>
      <c r="K12" s="226">
        <f t="shared" si="2"/>
        <v>2.1982104181899755</v>
      </c>
      <c r="L12" s="229">
        <f t="shared" si="3"/>
        <v>73.670058045135335</v>
      </c>
      <c r="N12" s="2">
        <v>7302.4417064374302</v>
      </c>
    </row>
    <row r="13" spans="1:14">
      <c r="A13">
        <v>1999</v>
      </c>
      <c r="B13" s="58">
        <v>649.14668200000006</v>
      </c>
      <c r="C13" s="2">
        <v>2930.6</v>
      </c>
      <c r="D13" s="2">
        <f t="shared" si="4"/>
        <v>263754</v>
      </c>
      <c r="E13" s="2">
        <v>108629.618245873</v>
      </c>
      <c r="F13" s="9">
        <f t="shared" si="5"/>
        <v>1206995.7582874778</v>
      </c>
      <c r="G13" s="9">
        <f t="shared" si="6"/>
        <v>372383.61824587302</v>
      </c>
      <c r="H13" s="226">
        <f t="shared" si="0"/>
        <v>4137595.7582874778</v>
      </c>
      <c r="I13" s="300">
        <f>other_IEA_fuel_consumption!E11</f>
        <v>8820133419069.2148</v>
      </c>
      <c r="J13" s="9">
        <f t="shared" si="1"/>
        <v>23.685610716757044</v>
      </c>
      <c r="K13" s="226">
        <f t="shared" si="2"/>
        <v>2.1317049645081343</v>
      </c>
      <c r="L13" s="229">
        <f t="shared" si="3"/>
        <v>73.598283739851198</v>
      </c>
      <c r="N13" s="2">
        <v>7559.1614675437004</v>
      </c>
    </row>
    <row r="14" spans="1:14">
      <c r="A14">
        <v>2000</v>
      </c>
      <c r="B14" s="58">
        <v>674.77179700000011</v>
      </c>
      <c r="C14" s="2">
        <v>3129.4</v>
      </c>
      <c r="D14" s="2">
        <f t="shared" si="4"/>
        <v>281646</v>
      </c>
      <c r="E14" s="2">
        <v>118257.211</v>
      </c>
      <c r="F14" s="9">
        <f t="shared" si="5"/>
        <v>1313969.0111111111</v>
      </c>
      <c r="G14" s="9">
        <f t="shared" si="6"/>
        <v>399903.21100000001</v>
      </c>
      <c r="H14" s="226">
        <f t="shared" si="0"/>
        <v>4443369.0111111114</v>
      </c>
      <c r="I14" s="300">
        <f>other_IEA_fuel_consumption!E12</f>
        <v>9125448790250.7148</v>
      </c>
      <c r="J14" s="9">
        <f t="shared" si="1"/>
        <v>22.819143580846905</v>
      </c>
      <c r="K14" s="226">
        <f t="shared" si="2"/>
        <v>2.0537229222762212</v>
      </c>
      <c r="L14" s="229">
        <f t="shared" si="3"/>
        <v>73.943957443594542</v>
      </c>
      <c r="N14" s="2">
        <v>8016.7051883968797</v>
      </c>
    </row>
    <row r="15" spans="1:14">
      <c r="A15">
        <v>2001</v>
      </c>
      <c r="B15" s="58">
        <v>659.39666399999999</v>
      </c>
      <c r="C15" s="2">
        <v>3038.6</v>
      </c>
      <c r="D15" s="2">
        <f t="shared" si="4"/>
        <v>273474</v>
      </c>
      <c r="E15" s="2">
        <v>110860.835000095</v>
      </c>
      <c r="F15" s="9">
        <f t="shared" si="5"/>
        <v>1231787.0555566112</v>
      </c>
      <c r="G15" s="9">
        <f t="shared" si="6"/>
        <v>384334.83500009502</v>
      </c>
      <c r="H15" s="226">
        <f t="shared" si="0"/>
        <v>4270387.0555566112</v>
      </c>
      <c r="I15" s="300">
        <f>other_IEA_fuel_consumption!E13</f>
        <v>8939925669286.748</v>
      </c>
      <c r="J15" s="9">
        <f t="shared" si="1"/>
        <v>23.260773823128829</v>
      </c>
      <c r="K15" s="226">
        <f t="shared" si="2"/>
        <v>2.0934696440815945</v>
      </c>
      <c r="L15" s="229">
        <f t="shared" si="3"/>
        <v>73.758629365942866</v>
      </c>
      <c r="N15" s="2">
        <v>8292.8706039812696</v>
      </c>
    </row>
    <row r="16" spans="1:14">
      <c r="A16">
        <v>2002</v>
      </c>
      <c r="B16" s="58">
        <v>665.41042200000004</v>
      </c>
      <c r="C16" s="2">
        <v>3069.8</v>
      </c>
      <c r="D16" s="2">
        <f t="shared" si="4"/>
        <v>276282</v>
      </c>
      <c r="E16" s="2">
        <v>117506.673</v>
      </c>
      <c r="F16" s="9">
        <f t="shared" si="5"/>
        <v>1305629.7</v>
      </c>
      <c r="G16" s="9">
        <f t="shared" si="6"/>
        <v>393788.67300000001</v>
      </c>
      <c r="H16" s="226">
        <f t="shared" si="0"/>
        <v>4375429.7</v>
      </c>
      <c r="I16" s="300">
        <f>other_IEA_fuel_consumption!E14</f>
        <v>9012302585747.8418</v>
      </c>
      <c r="J16" s="9">
        <f t="shared" si="1"/>
        <v>22.886139708106437</v>
      </c>
      <c r="K16" s="226">
        <f t="shared" si="2"/>
        <v>2.0597525737295794</v>
      </c>
      <c r="L16" s="229">
        <f t="shared" si="3"/>
        <v>73.83356424941698</v>
      </c>
      <c r="N16" s="2">
        <v>8581.6669730034191</v>
      </c>
    </row>
    <row r="17" spans="1:14">
      <c r="A17">
        <v>2003</v>
      </c>
      <c r="B17" s="58">
        <v>661.25329600000009</v>
      </c>
      <c r="C17" s="2">
        <v>3177.2</v>
      </c>
      <c r="D17" s="2">
        <f t="shared" si="4"/>
        <v>285948</v>
      </c>
      <c r="E17" s="2">
        <v>124203.19899999999</v>
      </c>
      <c r="F17" s="9">
        <f t="shared" si="5"/>
        <v>1380035.5444444444</v>
      </c>
      <c r="G17" s="9">
        <f t="shared" si="6"/>
        <v>410151.19900000002</v>
      </c>
      <c r="H17" s="226">
        <f t="shared" si="0"/>
        <v>4557235.5444444446</v>
      </c>
      <c r="I17" s="300">
        <f>other_IEA_fuel_consumption!E15</f>
        <v>8961284067956.4043</v>
      </c>
      <c r="J17" s="9">
        <f t="shared" si="1"/>
        <v>21.848733076497489</v>
      </c>
      <c r="K17" s="226">
        <f t="shared" si="2"/>
        <v>1.9663859768847742</v>
      </c>
      <c r="L17" s="229">
        <f t="shared" si="3"/>
        <v>73.790016138925623</v>
      </c>
      <c r="N17" s="2">
        <v>8949.5436519754203</v>
      </c>
    </row>
    <row r="18" spans="1:14">
      <c r="A18">
        <v>2004</v>
      </c>
      <c r="B18" s="58">
        <v>703.9308860000001</v>
      </c>
      <c r="C18" s="2">
        <v>3589.5</v>
      </c>
      <c r="D18" s="2">
        <f t="shared" si="4"/>
        <v>323055</v>
      </c>
      <c r="E18" s="2">
        <v>139032.94</v>
      </c>
      <c r="F18" s="9">
        <f t="shared" si="5"/>
        <v>1544810.4444444445</v>
      </c>
      <c r="G18" s="9">
        <f t="shared" si="6"/>
        <v>462087.94</v>
      </c>
      <c r="H18" s="226">
        <f t="shared" si="0"/>
        <v>5134310.444444444</v>
      </c>
      <c r="I18" s="300">
        <f>other_IEA_fuel_consumption!E16</f>
        <v>9533493817704.3242</v>
      </c>
      <c r="J18" s="9">
        <f t="shared" si="1"/>
        <v>20.631340903864153</v>
      </c>
      <c r="K18" s="226">
        <f t="shared" si="2"/>
        <v>1.8568206813477737</v>
      </c>
      <c r="L18" s="229">
        <f t="shared" si="3"/>
        <v>73.837661140845782</v>
      </c>
      <c r="N18" s="2">
        <v>9554.3306097642308</v>
      </c>
    </row>
    <row r="19" spans="1:14">
      <c r="A19">
        <v>2005</v>
      </c>
      <c r="B19" s="58">
        <v>732.05280799999991</v>
      </c>
      <c r="C19" s="2">
        <v>3879.8</v>
      </c>
      <c r="D19" s="2">
        <f t="shared" si="4"/>
        <v>349182</v>
      </c>
      <c r="E19" s="2">
        <v>141483.603</v>
      </c>
      <c r="F19" s="9">
        <f t="shared" si="5"/>
        <v>1572040.0333333334</v>
      </c>
      <c r="G19" s="9">
        <f t="shared" si="6"/>
        <v>490665.603</v>
      </c>
      <c r="H19" s="226">
        <f t="shared" si="0"/>
        <v>5451840.0333333332</v>
      </c>
      <c r="I19" s="300">
        <f>other_IEA_fuel_consumption!E17</f>
        <v>9952817278122.7695</v>
      </c>
      <c r="J19" s="9">
        <f t="shared" si="1"/>
        <v>20.284318316323407</v>
      </c>
      <c r="K19" s="226">
        <f t="shared" si="2"/>
        <v>1.8255886484691068</v>
      </c>
      <c r="L19" s="229">
        <f t="shared" si="3"/>
        <v>73.552320668954806</v>
      </c>
      <c r="N19" s="2">
        <v>10164.324430729501</v>
      </c>
    </row>
    <row r="20" spans="1:14">
      <c r="A20">
        <v>2006</v>
      </c>
      <c r="B20" s="58">
        <v>740.87568299999998</v>
      </c>
      <c r="C20" s="2">
        <v>4124.5</v>
      </c>
      <c r="D20" s="2">
        <f t="shared" si="4"/>
        <v>371205</v>
      </c>
      <c r="E20" s="2">
        <v>148937.60399999999</v>
      </c>
      <c r="F20" s="9">
        <f t="shared" si="5"/>
        <v>1654862.2666666666</v>
      </c>
      <c r="G20" s="9">
        <f t="shared" si="6"/>
        <v>520142.60399999999</v>
      </c>
      <c r="H20" s="226">
        <f t="shared" si="0"/>
        <v>5779362.2666666666</v>
      </c>
      <c r="I20" s="300">
        <f>other_IEA_fuel_consumption!E18</f>
        <v>10065959591498.174</v>
      </c>
      <c r="J20" s="9">
        <f t="shared" si="1"/>
        <v>19.352307452012091</v>
      </c>
      <c r="K20" s="226">
        <f t="shared" si="2"/>
        <v>1.7417076706810881</v>
      </c>
      <c r="L20" s="229">
        <f t="shared" si="3"/>
        <v>73.602091908430879</v>
      </c>
      <c r="N20" s="2">
        <v>10991.4775298446</v>
      </c>
    </row>
    <row r="21" spans="1:14">
      <c r="A21">
        <v>2007</v>
      </c>
      <c r="B21" s="58">
        <v>759.77471099999991</v>
      </c>
      <c r="C21" s="2">
        <v>4414.8</v>
      </c>
      <c r="D21" s="2">
        <f t="shared" si="4"/>
        <v>397332</v>
      </c>
      <c r="E21" s="2">
        <v>158205.946</v>
      </c>
      <c r="F21" s="9">
        <f t="shared" si="5"/>
        <v>1757843.8444444444</v>
      </c>
      <c r="G21" s="9">
        <f t="shared" si="6"/>
        <v>555537.946</v>
      </c>
      <c r="H21" s="226">
        <f t="shared" si="0"/>
        <v>6172643.8444444444</v>
      </c>
      <c r="I21" s="300">
        <f>other_IEA_fuel_consumption!E19</f>
        <v>10338984441389.795</v>
      </c>
      <c r="J21" s="9">
        <f t="shared" si="1"/>
        <v>18.610761903543839</v>
      </c>
      <c r="K21" s="226">
        <f t="shared" si="2"/>
        <v>1.6749685713189457</v>
      </c>
      <c r="L21" s="229">
        <f t="shared" si="3"/>
        <v>73.486396590211797</v>
      </c>
      <c r="N21" s="2">
        <v>11752.499073708201</v>
      </c>
    </row>
    <row r="22" spans="1:14">
      <c r="A22">
        <v>2008</v>
      </c>
      <c r="B22" s="58">
        <v>752.56760900000006</v>
      </c>
      <c r="C22" s="2">
        <v>4476.3999999999996</v>
      </c>
      <c r="D22" s="2">
        <f t="shared" si="4"/>
        <v>402876</v>
      </c>
      <c r="E22" s="2">
        <v>158487.87400000001</v>
      </c>
      <c r="F22" s="9">
        <f t="shared" si="5"/>
        <v>1760976.3777777778</v>
      </c>
      <c r="G22" s="9">
        <f t="shared" si="6"/>
        <v>561363.87400000007</v>
      </c>
      <c r="H22" s="226">
        <f t="shared" si="0"/>
        <v>6237376.3777777776</v>
      </c>
      <c r="I22" s="300">
        <f>other_IEA_fuel_consumption!E20</f>
        <v>10213336044333.523</v>
      </c>
      <c r="J22" s="9">
        <f t="shared" si="1"/>
        <v>18.193789300259677</v>
      </c>
      <c r="K22" s="226">
        <f t="shared" si="2"/>
        <v>1.6374410370233714</v>
      </c>
      <c r="L22" s="229">
        <f t="shared" si="3"/>
        <v>73.684798554878967</v>
      </c>
      <c r="N22" s="2">
        <v>12289.4702309975</v>
      </c>
    </row>
    <row r="23" spans="1:14">
      <c r="A23">
        <v>2009</v>
      </c>
      <c r="B23" s="58">
        <v>712.09145899999999</v>
      </c>
      <c r="C23" s="2">
        <v>4492.3</v>
      </c>
      <c r="D23" s="2">
        <f t="shared" si="4"/>
        <v>404307</v>
      </c>
      <c r="E23" s="2">
        <v>175509.34365439601</v>
      </c>
      <c r="F23" s="9">
        <f t="shared" si="5"/>
        <v>1950103.8183821777</v>
      </c>
      <c r="G23" s="9">
        <f t="shared" si="6"/>
        <v>579816.34365439601</v>
      </c>
      <c r="H23" s="226">
        <f t="shared" si="0"/>
        <v>6442403.8183821775</v>
      </c>
      <c r="I23" s="300">
        <f>other_IEA_fuel_consumption!E21</f>
        <v>9696981483819.2715</v>
      </c>
      <c r="J23" s="9">
        <f t="shared" si="1"/>
        <v>16.72422930113062</v>
      </c>
      <c r="K23" s="226">
        <f t="shared" si="2"/>
        <v>1.505180637101756</v>
      </c>
      <c r="L23" s="229">
        <f t="shared" si="3"/>
        <v>73.434342448546602</v>
      </c>
      <c r="N23" s="2">
        <v>12252.007339523199</v>
      </c>
    </row>
    <row r="24" spans="1:14">
      <c r="A24">
        <v>2010</v>
      </c>
      <c r="B24" s="58">
        <v>750.39058399999999</v>
      </c>
      <c r="C24" s="2">
        <v>4922.634</v>
      </c>
      <c r="D24" s="2">
        <f t="shared" si="4"/>
        <v>443037.06</v>
      </c>
      <c r="E24" s="2">
        <v>182025.62707797001</v>
      </c>
      <c r="F24" s="9">
        <f t="shared" si="5"/>
        <v>2022506.9675330003</v>
      </c>
      <c r="G24" s="9">
        <f t="shared" si="6"/>
        <v>625062.68707797001</v>
      </c>
      <c r="H24" s="226">
        <f t="shared" si="0"/>
        <v>6945140.9675329998</v>
      </c>
      <c r="I24" s="300">
        <f>other_IEA_fuel_consumption!E22</f>
        <v>10223505505970.096</v>
      </c>
      <c r="J24" s="9">
        <f t="shared" si="1"/>
        <v>16.355968316974295</v>
      </c>
      <c r="K24" s="226">
        <f t="shared" si="2"/>
        <v>1.4720371485276866</v>
      </c>
      <c r="L24" s="229">
        <f t="shared" si="3"/>
        <v>73.398560167234578</v>
      </c>
      <c r="N24" s="2">
        <v>12896.3902457367</v>
      </c>
    </row>
    <row r="25" spans="1:14">
      <c r="A25">
        <v>2011</v>
      </c>
      <c r="B25" s="58">
        <v>771.19166600000005</v>
      </c>
      <c r="C25" s="2">
        <v>5246.44</v>
      </c>
      <c r="D25" s="2">
        <f t="shared" si="4"/>
        <v>472179.6</v>
      </c>
      <c r="E25" s="2">
        <v>183037.23005902299</v>
      </c>
      <c r="F25" s="9">
        <f t="shared" si="5"/>
        <v>2033747.000655811</v>
      </c>
      <c r="G25" s="9">
        <f t="shared" si="6"/>
        <v>655216.83005902299</v>
      </c>
      <c r="H25" s="226">
        <f t="shared" si="0"/>
        <v>7280187.0006558113</v>
      </c>
      <c r="I25" s="300">
        <f>other_IEA_fuel_consumption!E23</f>
        <v>10466687353748.961</v>
      </c>
      <c r="J25" s="9">
        <f t="shared" si="1"/>
        <v>15.974387215917677</v>
      </c>
      <c r="K25" s="226">
        <f t="shared" si="2"/>
        <v>1.4376948494325907</v>
      </c>
      <c r="L25" s="229">
        <f t="shared" si="3"/>
        <v>73.680586792704219</v>
      </c>
      <c r="N25" s="2">
        <v>13581.4497933523</v>
      </c>
    </row>
    <row r="26" spans="1:14">
      <c r="A26">
        <v>2012</v>
      </c>
      <c r="B26" s="58">
        <v>780.59377800000004</v>
      </c>
      <c r="C26" s="2">
        <v>5527.0889999999999</v>
      </c>
      <c r="D26" s="2">
        <f t="shared" si="4"/>
        <v>497438.01</v>
      </c>
      <c r="E26" s="2">
        <v>175051.34224884299</v>
      </c>
      <c r="F26" s="9">
        <f t="shared" si="5"/>
        <v>1945014.9138760332</v>
      </c>
      <c r="G26" s="9">
        <f t="shared" si="6"/>
        <v>672489.35224884306</v>
      </c>
      <c r="H26" s="226">
        <f t="shared" si="0"/>
        <v>7472103.9138760334</v>
      </c>
      <c r="I26" s="300">
        <f>other_IEA_fuel_consumption!E24</f>
        <v>10543210266526.783</v>
      </c>
      <c r="J26" s="9">
        <f t="shared" si="1"/>
        <v>15.677884313364491</v>
      </c>
      <c r="K26" s="226">
        <f t="shared" si="2"/>
        <v>1.4110095882028042</v>
      </c>
      <c r="L26" s="229">
        <f t="shared" si="3"/>
        <v>74.03758042066903</v>
      </c>
      <c r="N26" s="2">
        <v>14112.1967897992</v>
      </c>
    </row>
    <row r="27" spans="1:14">
      <c r="A27">
        <v>2013</v>
      </c>
      <c r="B27" s="58">
        <v>799.93578000000002</v>
      </c>
      <c r="C27" s="2">
        <v>5830.6750000000002</v>
      </c>
      <c r="D27" s="2">
        <f t="shared" si="4"/>
        <v>524760.75</v>
      </c>
      <c r="E27" s="2">
        <v>175829.55781354799</v>
      </c>
      <c r="F27" s="9">
        <f t="shared" si="5"/>
        <v>1953661.7534838666</v>
      </c>
      <c r="G27" s="9">
        <f t="shared" si="6"/>
        <v>700590.30781354802</v>
      </c>
      <c r="H27" s="226">
        <f t="shared" si="0"/>
        <v>7784336.7534838663</v>
      </c>
      <c r="I27" s="300">
        <f>other_IEA_fuel_consumption!E25</f>
        <v>10879909526298.211</v>
      </c>
      <c r="J27" s="9">
        <f t="shared" si="1"/>
        <v>15.529631804717662</v>
      </c>
      <c r="K27" s="226">
        <f t="shared" si="2"/>
        <v>1.3976668624245896</v>
      </c>
      <c r="L27" s="229">
        <f t="shared" si="3"/>
        <v>73.524120588176501</v>
      </c>
      <c r="N27" s="2">
        <v>14628.034244688801</v>
      </c>
    </row>
    <row r="28" spans="1:14">
      <c r="A28">
        <v>2014</v>
      </c>
      <c r="B28" s="58">
        <v>826.32976600000006</v>
      </c>
      <c r="C28" s="2">
        <v>6179.1750000000002</v>
      </c>
      <c r="D28" s="2">
        <f t="shared" si="4"/>
        <v>556125.75</v>
      </c>
      <c r="E28" s="2">
        <v>184831.10946141899</v>
      </c>
      <c r="F28" s="9">
        <f t="shared" si="5"/>
        <v>2053678.9940157665</v>
      </c>
      <c r="G28" s="9">
        <f t="shared" si="6"/>
        <v>740956.85946141905</v>
      </c>
      <c r="H28" s="226">
        <f t="shared" si="0"/>
        <v>8232853.9940157663</v>
      </c>
      <c r="I28" s="300">
        <f>other_IEA_fuel_consumption!E26</f>
        <v>11228216019305.49</v>
      </c>
      <c r="J28" s="9">
        <f t="shared" si="1"/>
        <v>15.153670387054609</v>
      </c>
      <c r="K28" s="226">
        <f t="shared" si="2"/>
        <v>1.363830334834915</v>
      </c>
      <c r="L28" s="229">
        <f t="shared" si="3"/>
        <v>73.594038855258134</v>
      </c>
      <c r="N28" s="2">
        <v>14997.6682101551</v>
      </c>
    </row>
    <row r="29" spans="1:14">
      <c r="A29">
        <v>2015</v>
      </c>
      <c r="B29" s="58">
        <v>871.93010700000002</v>
      </c>
      <c r="C29" s="2">
        <v>6642.5140000000001</v>
      </c>
      <c r="D29" s="2">
        <f t="shared" si="4"/>
        <v>597826.26</v>
      </c>
      <c r="E29" s="2">
        <v>187769.41631234501</v>
      </c>
      <c r="F29" s="9">
        <f t="shared" si="5"/>
        <v>2086326.8479149444</v>
      </c>
      <c r="G29" s="9">
        <f t="shared" si="6"/>
        <v>785595.67631234508</v>
      </c>
      <c r="H29" s="226">
        <f t="shared" si="0"/>
        <v>8728840.8479149453</v>
      </c>
      <c r="I29" s="300">
        <f>other_IEA_fuel_consumption!E27</f>
        <v>11847453935626.822</v>
      </c>
      <c r="J29" s="9">
        <f t="shared" si="1"/>
        <v>15.080854303119143</v>
      </c>
      <c r="K29" s="226">
        <f t="shared" si="2"/>
        <v>1.3572768872807228</v>
      </c>
      <c r="L29" s="229">
        <f t="shared" si="3"/>
        <v>73.596412506656279</v>
      </c>
      <c r="N29" s="2">
        <v>15139.8316812344</v>
      </c>
    </row>
    <row r="30" spans="1:14">
      <c r="A30">
        <v>2016</v>
      </c>
      <c r="B30" s="58">
        <v>913.1549940000001</v>
      </c>
      <c r="C30" s="2">
        <v>7133.4610000000002</v>
      </c>
      <c r="D30" s="2">
        <f t="shared" si="4"/>
        <v>642011.49</v>
      </c>
      <c r="E30" s="2">
        <v>194898.275094034</v>
      </c>
      <c r="F30" s="9">
        <f t="shared" si="5"/>
        <v>2165536.3899337114</v>
      </c>
      <c r="G30" s="9">
        <f t="shared" si="6"/>
        <v>836909.76509403402</v>
      </c>
      <c r="H30" s="226">
        <f t="shared" si="0"/>
        <v>9298997.3899337109</v>
      </c>
      <c r="I30" s="300">
        <f>other_IEA_fuel_consumption!E28</f>
        <v>12365578959138.832</v>
      </c>
      <c r="J30" s="9">
        <f t="shared" si="1"/>
        <v>14.775283399578271</v>
      </c>
      <c r="K30" s="226">
        <f t="shared" si="2"/>
        <v>1.3297755059620446</v>
      </c>
      <c r="L30" s="229">
        <f t="shared" si="3"/>
        <v>73.846521624054589</v>
      </c>
      <c r="N30" s="2">
        <v>15563.7995959076</v>
      </c>
    </row>
    <row r="31" spans="1:14">
      <c r="A31">
        <v>2017</v>
      </c>
      <c r="B31" s="58">
        <v>970.62137300000006</v>
      </c>
      <c r="C31" s="2">
        <v>7699.42</v>
      </c>
      <c r="D31" s="2">
        <f t="shared" si="4"/>
        <v>692947.8</v>
      </c>
      <c r="E31" s="2">
        <v>212866.64717206199</v>
      </c>
      <c r="F31" s="9">
        <f t="shared" si="5"/>
        <v>2365184.9685784662</v>
      </c>
      <c r="G31" s="9">
        <f t="shared" si="6"/>
        <v>905814.44717206201</v>
      </c>
      <c r="H31" s="226">
        <f t="shared" si="0"/>
        <v>10064604.968578465</v>
      </c>
      <c r="I31" s="300">
        <f>other_IEA_fuel_consumption!E29</f>
        <v>13184933669991.365</v>
      </c>
      <c r="J31" s="9">
        <f t="shared" si="1"/>
        <v>14.555888031102301</v>
      </c>
      <c r="K31" s="226">
        <f t="shared" si="2"/>
        <v>1.3100299227992074</v>
      </c>
      <c r="L31" s="229">
        <f t="shared" si="3"/>
        <v>73.615946601924435</v>
      </c>
      <c r="N31" s="2">
        <v>16210.553770009999</v>
      </c>
    </row>
    <row r="32" spans="1:14">
      <c r="A32">
        <v>2018</v>
      </c>
      <c r="B32" s="58">
        <v>1007.615221</v>
      </c>
      <c r="C32" s="2">
        <v>8148.1362783487639</v>
      </c>
      <c r="D32" s="2">
        <f t="shared" si="4"/>
        <v>733332.26505138876</v>
      </c>
      <c r="E32" s="2">
        <v>221165.70077933499</v>
      </c>
      <c r="F32" s="9">
        <f t="shared" si="5"/>
        <v>2457396.6753259446</v>
      </c>
      <c r="G32" s="9">
        <f t="shared" si="6"/>
        <v>954497.96583072376</v>
      </c>
      <c r="H32" s="226">
        <f t="shared" si="0"/>
        <v>10605532.953674708</v>
      </c>
      <c r="I32" s="300">
        <f>other_IEA_fuel_consumption!E30</f>
        <v>13767694211867.682</v>
      </c>
      <c r="J32" s="9">
        <f t="shared" si="1"/>
        <v>14.424016294141925</v>
      </c>
      <c r="K32" s="226">
        <f t="shared" si="2"/>
        <v>1.2981614664727734</v>
      </c>
      <c r="L32" s="229">
        <f t="shared" si="3"/>
        <v>73.186926256064055</v>
      </c>
      <c r="N32" s="2">
        <v>17009.810205936701</v>
      </c>
    </row>
    <row r="33" spans="1:14">
      <c r="A33">
        <v>2019</v>
      </c>
      <c r="B33" s="58">
        <v>1027</v>
      </c>
      <c r="C33" s="2">
        <v>8596.8525566975295</v>
      </c>
      <c r="D33" s="2">
        <f t="shared" si="4"/>
        <v>773716.7301027776</v>
      </c>
      <c r="E33" s="2">
        <v>221495.759188436</v>
      </c>
      <c r="F33" s="9">
        <f t="shared" si="5"/>
        <v>2461063.9909826224</v>
      </c>
      <c r="G33" s="9">
        <f t="shared" si="6"/>
        <v>995212.48929121357</v>
      </c>
      <c r="H33" s="226">
        <f t="shared" si="0"/>
        <v>11057916.547680151</v>
      </c>
      <c r="I33" s="300">
        <f>other_IEA_fuel_consumption!E31</f>
        <v>13978924066446.346</v>
      </c>
      <c r="J33" s="9">
        <f t="shared" si="1"/>
        <v>14.046170256969022</v>
      </c>
      <c r="K33" s="226">
        <f t="shared" si="2"/>
        <v>1.264155323127212</v>
      </c>
      <c r="L33" s="229">
        <f t="shared" si="3"/>
        <v>73.467742947764577</v>
      </c>
      <c r="N33" s="2">
        <v>17548.1472151454</v>
      </c>
    </row>
    <row r="34" spans="1:14">
      <c r="A34">
        <v>2020</v>
      </c>
      <c r="B34" s="58">
        <v>606</v>
      </c>
      <c r="C34" s="2">
        <v>2990.002</v>
      </c>
      <c r="D34" s="2">
        <f t="shared" si="4"/>
        <v>269100.18</v>
      </c>
      <c r="E34" s="2">
        <v>180530.796503552</v>
      </c>
      <c r="F34" s="9">
        <f t="shared" si="5"/>
        <v>2005897.7389283555</v>
      </c>
      <c r="G34" s="9">
        <f t="shared" si="6"/>
        <v>449630.976503552</v>
      </c>
      <c r="H34" s="226">
        <f t="shared" si="0"/>
        <v>4995899.7389283553</v>
      </c>
      <c r="I34" s="300">
        <f>other_IEA_fuel_consumption!E32</f>
        <v>8248517998312.0576</v>
      </c>
      <c r="J34" s="9">
        <f t="shared" si="1"/>
        <v>18.345083922942074</v>
      </c>
      <c r="K34" s="226">
        <f t="shared" si="2"/>
        <v>1.6510575530647869</v>
      </c>
      <c r="L34" s="229">
        <f t="shared" si="3"/>
        <v>73.467742947764592</v>
      </c>
      <c r="N34" s="2">
        <v>17135.477059720601</v>
      </c>
    </row>
    <row r="35" spans="1:14">
      <c r="A35">
        <v>2021</v>
      </c>
      <c r="B35" s="58">
        <v>726.29373574285114</v>
      </c>
      <c r="C35" s="9">
        <f>(B35*C33)/B33</f>
        <v>6079.6885677062601</v>
      </c>
      <c r="D35" s="2">
        <f t="shared" si="4"/>
        <v>547171.97109356348</v>
      </c>
      <c r="E35" s="2">
        <v>238993.92416432244</v>
      </c>
      <c r="F35" s="9">
        <f t="shared" si="5"/>
        <v>2655488.0462702494</v>
      </c>
      <c r="G35" s="9">
        <f t="shared" si="6"/>
        <v>786165.89525788592</v>
      </c>
      <c r="H35" s="226">
        <f t="shared" si="0"/>
        <v>8735176.6139765084</v>
      </c>
      <c r="I35" s="300">
        <f>other_IEA_fuel_consumption!E33</f>
        <v>9885886058310.5801</v>
      </c>
      <c r="J35" s="9">
        <f t="shared" si="1"/>
        <v>12.574809105739336</v>
      </c>
      <c r="K35" s="226">
        <f t="shared" si="2"/>
        <v>1.1317328195165404</v>
      </c>
      <c r="L35" s="229">
        <f t="shared" si="3"/>
        <v>73.467742947764563</v>
      </c>
    </row>
    <row r="36" spans="1:14">
      <c r="B36" s="30"/>
      <c r="C36" s="9"/>
      <c r="D36" s="2"/>
      <c r="E36" s="2"/>
      <c r="F36" s="2"/>
      <c r="G36" s="9"/>
      <c r="H36" s="9"/>
      <c r="J36" s="9"/>
      <c r="K36" s="9"/>
      <c r="L36" s="30"/>
    </row>
    <row r="37" spans="1:14">
      <c r="H37" s="245"/>
    </row>
    <row r="38" spans="1:14">
      <c r="A38" s="321" t="s">
        <v>2</v>
      </c>
      <c r="B38" t="s">
        <v>3</v>
      </c>
      <c r="C38" t="s">
        <v>8</v>
      </c>
      <c r="D38" t="s">
        <v>78</v>
      </c>
      <c r="E38" t="s">
        <v>17</v>
      </c>
      <c r="G38" t="s">
        <v>78</v>
      </c>
      <c r="I38" s="299" t="s">
        <v>76</v>
      </c>
      <c r="J38" t="s">
        <v>78</v>
      </c>
      <c r="K38" t="s">
        <v>78</v>
      </c>
      <c r="L38" t="s">
        <v>78</v>
      </c>
      <c r="N38" t="s">
        <v>328</v>
      </c>
    </row>
    <row r="39" spans="1:14">
      <c r="A39" s="321"/>
      <c r="B39" t="s">
        <v>5</v>
      </c>
      <c r="C39" t="s">
        <v>14</v>
      </c>
      <c r="D39" t="s">
        <v>47</v>
      </c>
      <c r="E39" t="s">
        <v>19</v>
      </c>
      <c r="G39" t="s">
        <v>47</v>
      </c>
      <c r="I39" s="299" t="s">
        <v>70</v>
      </c>
      <c r="J39" t="s">
        <v>79</v>
      </c>
      <c r="K39" t="s">
        <v>364</v>
      </c>
      <c r="L39" t="s">
        <v>83</v>
      </c>
      <c r="N39" t="s">
        <v>327</v>
      </c>
    </row>
    <row r="40" spans="1:14">
      <c r="A40" s="321"/>
      <c r="B40" t="s">
        <v>6</v>
      </c>
      <c r="C40" t="s">
        <v>13</v>
      </c>
      <c r="D40" t="s">
        <v>48</v>
      </c>
      <c r="E40" t="s">
        <v>18</v>
      </c>
      <c r="G40" t="s">
        <v>48</v>
      </c>
      <c r="I40" s="299" t="s">
        <v>77</v>
      </c>
      <c r="J40" t="s">
        <v>80</v>
      </c>
      <c r="K40" t="s">
        <v>80</v>
      </c>
      <c r="L40" t="s">
        <v>84</v>
      </c>
    </row>
    <row r="41" spans="1:14">
      <c r="A41" s="321"/>
      <c r="B41" t="s">
        <v>4</v>
      </c>
      <c r="C41" t="s">
        <v>11</v>
      </c>
      <c r="D41" t="s">
        <v>49</v>
      </c>
      <c r="G41" t="s">
        <v>49</v>
      </c>
    </row>
    <row r="42" spans="1:14">
      <c r="A42" s="321"/>
      <c r="C42" t="s">
        <v>12</v>
      </c>
      <c r="G42" t="s">
        <v>50</v>
      </c>
    </row>
    <row r="43" spans="1:14">
      <c r="H43" s="9"/>
    </row>
    <row r="44" spans="1:14">
      <c r="G44" s="9"/>
      <c r="H44" s="9"/>
    </row>
    <row r="45" spans="1:14">
      <c r="A45" t="s">
        <v>253</v>
      </c>
      <c r="B45" t="s">
        <v>250</v>
      </c>
    </row>
    <row r="46" spans="1:14">
      <c r="B46" t="s">
        <v>248</v>
      </c>
      <c r="C46" s="14">
        <f>D33/G33</f>
        <v>0.77743872633051014</v>
      </c>
    </row>
    <row r="47" spans="1:14">
      <c r="B47" t="s">
        <v>249</v>
      </c>
      <c r="C47" s="14">
        <f>E33/G33</f>
        <v>0.22256127366948983</v>
      </c>
    </row>
    <row r="49" spans="2:6">
      <c r="B49" t="s">
        <v>251</v>
      </c>
    </row>
    <row r="50" spans="2:6">
      <c r="B50" t="s">
        <v>248</v>
      </c>
      <c r="C50" s="14">
        <f>(C33-C34)/C33</f>
        <v>0.65219805966422129</v>
      </c>
      <c r="E50" s="14"/>
      <c r="F50" s="14"/>
    </row>
    <row r="51" spans="2:6">
      <c r="B51" t="s">
        <v>249</v>
      </c>
      <c r="C51" s="14">
        <f>(E33-E34)/E33</f>
        <v>0.18494693909707471</v>
      </c>
      <c r="E51" s="14"/>
      <c r="F51" s="14"/>
    </row>
    <row r="53" spans="2:6">
      <c r="B53" t="s">
        <v>252</v>
      </c>
      <c r="C53" s="14">
        <f>(C33-C35)/C33</f>
        <v>0.29280064679371853</v>
      </c>
      <c r="E53" s="14"/>
      <c r="F53" s="14"/>
    </row>
  </sheetData>
  <sheetProtection algorithmName="SHA-512" hashValue="j20zQ2d+jg2LwDjm6J7Zpp6z+J9pz+Dq5iCZqebtkCa/jY6orSEWxvz+QvcHUbDX6NP7xh4JY8iFLr2bDw5oxA==" saltValue="EI7ts35UXLuqKwh+g/fxkw==" spinCount="100000" sheet="1" objects="1" scenarios="1" selectLockedCells="1"/>
  <mergeCells count="6">
    <mergeCell ref="J2:K2"/>
    <mergeCell ref="A2:A3"/>
    <mergeCell ref="A38:A42"/>
    <mergeCell ref="C2:D2"/>
    <mergeCell ref="E2:F2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4CC7-D6E6-9C44-B9AC-F9BAE5B45E49}">
  <dimension ref="A1:BF67"/>
  <sheetViews>
    <sheetView zoomScale="60" zoomScaleNormal="60" workbookViewId="0">
      <pane xSplit="1" topLeftCell="B1" activePane="topRight" state="frozen"/>
      <selection pane="topRight" activeCell="D23" sqref="D23"/>
    </sheetView>
  </sheetViews>
  <sheetFormatPr baseColWidth="10" defaultRowHeight="16"/>
  <cols>
    <col min="2" max="2" width="15.83203125" bestFit="1" customWidth="1"/>
    <col min="3" max="3" width="17.6640625" customWidth="1"/>
    <col min="4" max="4" width="19.6640625" customWidth="1"/>
    <col min="6" max="6" width="15.83203125" bestFit="1" customWidth="1"/>
    <col min="7" max="7" width="17.33203125" bestFit="1" customWidth="1"/>
    <col min="8" max="8" width="19.1640625" bestFit="1" customWidth="1"/>
    <col min="9" max="9" width="11.5" bestFit="1" customWidth="1"/>
    <col min="10" max="10" width="16.83203125" bestFit="1" customWidth="1"/>
    <col min="11" max="11" width="17.33203125" bestFit="1" customWidth="1"/>
    <col min="12" max="12" width="19.1640625" bestFit="1" customWidth="1"/>
    <col min="13" max="13" width="8.5" customWidth="1"/>
    <col min="14" max="16" width="19.1640625" customWidth="1"/>
    <col min="18" max="18" width="17" customWidth="1"/>
    <col min="19" max="19" width="17.6640625" customWidth="1"/>
    <col min="20" max="20" width="18.83203125" customWidth="1"/>
    <col min="27" max="27" width="15.6640625" customWidth="1"/>
    <col min="28" max="28" width="15.83203125" customWidth="1"/>
    <col min="36" max="36" width="16.6640625" bestFit="1" customWidth="1"/>
    <col min="37" max="37" width="14.33203125" bestFit="1" customWidth="1"/>
    <col min="40" max="40" width="17.33203125" bestFit="1" customWidth="1"/>
    <col min="41" max="41" width="15.33203125" customWidth="1"/>
    <col min="44" max="44" width="16.6640625" customWidth="1"/>
    <col min="45" max="45" width="15.1640625" customWidth="1"/>
    <col min="48" max="48" width="15.33203125" bestFit="1" customWidth="1"/>
    <col min="49" max="49" width="11.1640625" bestFit="1" customWidth="1"/>
    <col min="52" max="53" width="15.33203125" bestFit="1" customWidth="1"/>
  </cols>
  <sheetData>
    <row r="1" spans="1:58" s="81" customFormat="1" ht="34" customHeight="1">
      <c r="A1" s="149"/>
      <c r="B1" s="323" t="s">
        <v>135</v>
      </c>
      <c r="C1" s="323"/>
      <c r="D1" s="323"/>
      <c r="E1" s="149"/>
      <c r="F1" s="323" t="s">
        <v>136</v>
      </c>
      <c r="G1" s="323"/>
      <c r="H1" s="323"/>
      <c r="I1" s="149"/>
      <c r="J1" s="323" t="s">
        <v>137</v>
      </c>
      <c r="K1" s="323"/>
      <c r="L1" s="323"/>
      <c r="M1" s="323"/>
      <c r="N1" s="323"/>
      <c r="O1" s="323"/>
      <c r="P1" s="323"/>
      <c r="Q1" s="149"/>
      <c r="R1" s="328" t="s">
        <v>144</v>
      </c>
      <c r="S1" s="328"/>
      <c r="T1" s="328"/>
      <c r="U1" s="328"/>
      <c r="V1" s="328"/>
      <c r="W1" s="328"/>
      <c r="X1" s="328"/>
      <c r="Y1" s="328"/>
      <c r="Z1" s="149"/>
      <c r="AA1" s="323" t="s">
        <v>138</v>
      </c>
      <c r="AB1" s="323"/>
      <c r="AC1" s="323"/>
      <c r="AD1" s="149"/>
      <c r="AE1" s="323" t="s">
        <v>138</v>
      </c>
      <c r="AF1" s="323"/>
      <c r="AG1" s="323"/>
      <c r="AH1" s="149"/>
      <c r="AI1" s="149"/>
      <c r="AJ1" s="323" t="s">
        <v>139</v>
      </c>
      <c r="AK1" s="323"/>
      <c r="AL1" s="323"/>
      <c r="AM1" s="323"/>
      <c r="AN1" s="323"/>
      <c r="AO1" s="323"/>
      <c r="AP1" s="323"/>
      <c r="AQ1" s="323"/>
      <c r="AR1" s="323"/>
      <c r="AS1" s="323"/>
      <c r="AT1" s="323"/>
      <c r="AV1" s="323" t="s">
        <v>420</v>
      </c>
      <c r="AW1" s="323"/>
      <c r="AX1" s="323"/>
      <c r="AY1" s="323"/>
      <c r="AZ1" s="323"/>
      <c r="BA1" s="323"/>
      <c r="BB1" s="323"/>
      <c r="BC1" s="323"/>
      <c r="BD1" s="323"/>
      <c r="BE1" s="323"/>
      <c r="BF1" s="323"/>
    </row>
    <row r="2" spans="1:58" ht="51" customHeight="1">
      <c r="A2" s="68"/>
      <c r="B2" s="327" t="s">
        <v>10</v>
      </c>
      <c r="C2" s="327"/>
      <c r="D2" s="327"/>
      <c r="E2" s="68"/>
      <c r="F2" s="327" t="s">
        <v>91</v>
      </c>
      <c r="G2" s="327"/>
      <c r="H2" s="327"/>
      <c r="I2" s="68"/>
      <c r="J2" s="327" t="s">
        <v>46</v>
      </c>
      <c r="K2" s="327"/>
      <c r="L2" s="327"/>
      <c r="M2" s="207"/>
      <c r="N2" s="327" t="s">
        <v>365</v>
      </c>
      <c r="O2" s="327"/>
      <c r="P2" s="327"/>
      <c r="Q2" s="68"/>
      <c r="R2" s="327" t="s">
        <v>96</v>
      </c>
      <c r="S2" s="327"/>
      <c r="T2" s="327"/>
      <c r="U2" s="150"/>
      <c r="V2" s="207"/>
      <c r="W2" s="327" t="s">
        <v>363</v>
      </c>
      <c r="X2" s="327"/>
      <c r="Y2" s="327"/>
      <c r="Z2" s="68"/>
      <c r="AA2" s="329" t="s">
        <v>82</v>
      </c>
      <c r="AB2" s="329"/>
      <c r="AC2" s="329"/>
      <c r="AD2" s="142"/>
      <c r="AE2" s="329" t="s">
        <v>247</v>
      </c>
      <c r="AF2" s="329"/>
      <c r="AG2" s="329"/>
      <c r="AH2" s="142"/>
      <c r="AI2" s="151" t="s">
        <v>133</v>
      </c>
      <c r="AJ2" s="324" t="s">
        <v>414</v>
      </c>
      <c r="AK2" s="324"/>
      <c r="AL2" s="324"/>
      <c r="AM2" s="68"/>
      <c r="AN2" s="325" t="s">
        <v>415</v>
      </c>
      <c r="AO2" s="325"/>
      <c r="AP2" s="325"/>
      <c r="AQ2" s="68"/>
      <c r="AR2" s="326" t="s">
        <v>416</v>
      </c>
      <c r="AS2" s="326"/>
      <c r="AT2" s="326"/>
      <c r="AV2" s="324" t="s">
        <v>417</v>
      </c>
      <c r="AW2" s="324"/>
      <c r="AX2" s="324"/>
      <c r="AY2" s="68"/>
      <c r="AZ2" s="325" t="s">
        <v>418</v>
      </c>
      <c r="BA2" s="325"/>
      <c r="BB2" s="325"/>
      <c r="BC2" s="68"/>
      <c r="BD2" s="326" t="s">
        <v>419</v>
      </c>
      <c r="BE2" s="326"/>
      <c r="BF2" s="326"/>
    </row>
    <row r="3" spans="1:58" s="5" customFormat="1" ht="17" customHeight="1" thickBot="1">
      <c r="A3" s="152" t="s">
        <v>0</v>
      </c>
      <c r="B3" s="153" t="s">
        <v>85</v>
      </c>
      <c r="C3" s="154" t="s">
        <v>86</v>
      </c>
      <c r="D3" s="155" t="s">
        <v>87</v>
      </c>
      <c r="E3" s="152"/>
      <c r="F3" s="153" t="s">
        <v>85</v>
      </c>
      <c r="G3" s="154" t="s">
        <v>86</v>
      </c>
      <c r="H3" s="155" t="s">
        <v>87</v>
      </c>
      <c r="I3" s="152"/>
      <c r="J3" s="153" t="s">
        <v>85</v>
      </c>
      <c r="K3" s="154" t="s">
        <v>86</v>
      </c>
      <c r="L3" s="155" t="s">
        <v>87</v>
      </c>
      <c r="M3" s="155"/>
      <c r="N3" s="153" t="s">
        <v>85</v>
      </c>
      <c r="O3" s="154" t="s">
        <v>86</v>
      </c>
      <c r="P3" s="155" t="s">
        <v>87</v>
      </c>
      <c r="Q3" s="152"/>
      <c r="R3" s="153" t="s">
        <v>85</v>
      </c>
      <c r="S3" s="154" t="s">
        <v>86</v>
      </c>
      <c r="T3" s="155" t="s">
        <v>87</v>
      </c>
      <c r="U3" s="152" t="s">
        <v>104</v>
      </c>
      <c r="V3" s="152"/>
      <c r="W3" s="153" t="s">
        <v>85</v>
      </c>
      <c r="X3" s="154" t="s">
        <v>86</v>
      </c>
      <c r="Y3" s="155" t="s">
        <v>87</v>
      </c>
      <c r="Z3" s="152"/>
      <c r="AA3" s="153" t="s">
        <v>121</v>
      </c>
      <c r="AB3" s="154" t="s">
        <v>122</v>
      </c>
      <c r="AC3" s="155" t="s">
        <v>126</v>
      </c>
      <c r="AD3" s="155"/>
      <c r="AE3" s="153" t="s">
        <v>121</v>
      </c>
      <c r="AF3" s="154" t="s">
        <v>122</v>
      </c>
      <c r="AG3" s="155" t="s">
        <v>126</v>
      </c>
      <c r="AH3" s="155"/>
      <c r="AI3" s="156" t="s">
        <v>134</v>
      </c>
      <c r="AJ3" s="153" t="s">
        <v>121</v>
      </c>
      <c r="AK3" s="154" t="s">
        <v>122</v>
      </c>
      <c r="AL3" s="155" t="s">
        <v>126</v>
      </c>
      <c r="AM3" s="152"/>
      <c r="AN3" s="153" t="s">
        <v>121</v>
      </c>
      <c r="AO3" s="154" t="s">
        <v>122</v>
      </c>
      <c r="AP3" s="155" t="s">
        <v>126</v>
      </c>
      <c r="AQ3" s="152"/>
      <c r="AR3" s="153" t="s">
        <v>121</v>
      </c>
      <c r="AS3" s="154" t="s">
        <v>122</v>
      </c>
      <c r="AT3" s="155" t="s">
        <v>126</v>
      </c>
      <c r="AV3" s="153" t="s">
        <v>121</v>
      </c>
      <c r="AW3" s="154" t="s">
        <v>122</v>
      </c>
      <c r="AX3" s="155" t="s">
        <v>126</v>
      </c>
      <c r="AY3" s="152"/>
      <c r="AZ3" s="153" t="s">
        <v>121</v>
      </c>
      <c r="BA3" s="154" t="s">
        <v>122</v>
      </c>
      <c r="BB3" s="155" t="s">
        <v>126</v>
      </c>
      <c r="BC3" s="152"/>
      <c r="BD3" s="153" t="s">
        <v>121</v>
      </c>
      <c r="BE3" s="154" t="s">
        <v>122</v>
      </c>
      <c r="BF3" s="155" t="s">
        <v>126</v>
      </c>
    </row>
    <row r="4" spans="1:58" s="5" customFormat="1">
      <c r="A4" s="10">
        <v>1990</v>
      </c>
      <c r="B4" s="9">
        <f>Fig1_historical_Kaya!$C4</f>
        <v>1964</v>
      </c>
      <c r="C4" s="9">
        <f>Fig1_historical_Kaya!$C4</f>
        <v>1964</v>
      </c>
      <c r="D4" s="9">
        <f>Fig1_historical_Kaya!$C4</f>
        <v>1964</v>
      </c>
      <c r="F4" s="9">
        <f>Fig1_historical_Kaya!$E4</f>
        <v>56124.900350108401</v>
      </c>
      <c r="G4" s="9">
        <f>Fig1_historical_Kaya!$E4</f>
        <v>56124.900350108401</v>
      </c>
      <c r="H4" s="9">
        <f>Fig1_historical_Kaya!$E4</f>
        <v>56124.900350108401</v>
      </c>
      <c r="J4" s="9">
        <f t="shared" ref="J4:J35" si="0">(((B4*10^3)*90)/10^3)+F4</f>
        <v>232884.90035010839</v>
      </c>
      <c r="K4" s="9">
        <f t="shared" ref="K4:K35" si="1">(((C4*10^3)*90)/10^3)+G4</f>
        <v>232884.90035010839</v>
      </c>
      <c r="L4" s="9">
        <f t="shared" ref="L4:L35" si="2">(((D4*10^3)*90)/10^3)+H4</f>
        <v>232884.90035010839</v>
      </c>
      <c r="M4" s="9"/>
      <c r="N4" s="9">
        <f>(($F4*10^3)/90)+($B4*10^3)</f>
        <v>2587610.0038900934</v>
      </c>
      <c r="O4" s="9">
        <f>(($F4*10^3)/90)+($B4*10^3)</f>
        <v>2587610.0038900934</v>
      </c>
      <c r="P4" s="9">
        <f>(($F4*10^3)/90)+($B4*10^3)</f>
        <v>2587610.0038900934</v>
      </c>
      <c r="R4" s="50">
        <f>Fig1_historical_Kaya!$J4</f>
        <v>31.634770408101428</v>
      </c>
      <c r="S4" s="50">
        <f>Fig1_historical_Kaya!$J4</f>
        <v>31.634770408101428</v>
      </c>
      <c r="T4" s="50">
        <f>Fig1_historical_Kaya!$J4</f>
        <v>31.634770408101428</v>
      </c>
      <c r="V4" s="208"/>
      <c r="W4" s="209">
        <f>Fig1_historical_Kaya!$K4</f>
        <v>2.8471293367291284</v>
      </c>
      <c r="X4" s="209">
        <f>Fig1_historical_Kaya!$K4</f>
        <v>2.8471293367291284</v>
      </c>
      <c r="Y4" s="209">
        <f>Fig1_historical_Kaya!$K4</f>
        <v>2.8471293367291284</v>
      </c>
      <c r="AA4" s="31">
        <f>Fig1_historical_Kaya!$L4</f>
        <v>73.663445285841036</v>
      </c>
      <c r="AB4" s="31">
        <f>Fig1_historical_Kaya!$L4</f>
        <v>73.663445285841036</v>
      </c>
      <c r="AC4" s="31">
        <f>Fig1_historical_Kaya!$L4</f>
        <v>73.663445285841036</v>
      </c>
      <c r="AD4" s="9"/>
      <c r="AE4" s="31">
        <f>Fig1_carbon_eq_intensity!$Q4</f>
        <v>125.22785698592975</v>
      </c>
      <c r="AF4" s="31">
        <f>Fig1_carbon_eq_intensity!$Q4</f>
        <v>125.22785698592975</v>
      </c>
      <c r="AG4" s="31">
        <f>Fig1_carbon_eq_intensity!$Q4</f>
        <v>125.22785698592975</v>
      </c>
      <c r="AH4" s="9"/>
      <c r="AI4" s="85"/>
      <c r="AJ4" s="9">
        <f>Fig1_historical_Kaya!$B4/10^3</f>
        <v>0.54269778000000002</v>
      </c>
      <c r="AK4" s="9">
        <f>($J4*$R4*AB4)/10^9</f>
        <v>0.54269778000000002</v>
      </c>
      <c r="AL4" s="9">
        <f>($J4*$R4*AC4)/10^9</f>
        <v>0.54269778000000002</v>
      </c>
      <c r="AN4" s="9">
        <f>Fig1_historical_Kaya!$B4/10^3</f>
        <v>0.54269778000000002</v>
      </c>
      <c r="AO4" s="9">
        <f>Fig1_historical_Kaya!$B4/10^3</f>
        <v>0.54269778000000002</v>
      </c>
      <c r="AP4" s="9">
        <f>Fig1_historical_Kaya!$B4/10^3</f>
        <v>0.54269778000000002</v>
      </c>
      <c r="AR4" s="9">
        <f>Fig1_historical_Kaya!$B4/10^3</f>
        <v>0.54269778000000002</v>
      </c>
      <c r="AS4" s="9">
        <f>Fig1_historical_Kaya!$B4/10^3</f>
        <v>0.54269778000000002</v>
      </c>
      <c r="AT4" s="9">
        <f>Fig1_historical_Kaya!$B4/10^3</f>
        <v>0.54269778000000002</v>
      </c>
      <c r="AV4" s="9">
        <f>(J4*R4*AE4)/10^9</f>
        <v>0.92258622599999984</v>
      </c>
      <c r="AW4" s="9">
        <f>(J4*R4*AF4)/10^9</f>
        <v>0.92258622599999984</v>
      </c>
      <c r="AX4" s="9">
        <f>(J4*R4*AG4)/10^9</f>
        <v>0.92258622599999984</v>
      </c>
      <c r="AY4" s="252"/>
      <c r="AZ4" s="9">
        <f>(K4*S4*AE4)/10^9</f>
        <v>0.92258622599999984</v>
      </c>
      <c r="BA4" s="9">
        <f>(K4*S4*AF4)/10^9</f>
        <v>0.92258622599999984</v>
      </c>
      <c r="BB4" s="9">
        <f>(K4*S4*AG4)/10^9</f>
        <v>0.92258622599999984</v>
      </c>
      <c r="BC4" s="252"/>
      <c r="BD4" s="9">
        <f>($L4*$T4*AE4)/10^9</f>
        <v>0.92258622599999984</v>
      </c>
      <c r="BE4" s="9">
        <f t="shared" ref="BE4:BF4" si="3">($L4*$T4*AF4)/10^9</f>
        <v>0.92258622599999984</v>
      </c>
      <c r="BF4" s="9">
        <f t="shared" si="3"/>
        <v>0.92258622599999984</v>
      </c>
    </row>
    <row r="5" spans="1:58" s="5" customFormat="1">
      <c r="A5" s="10">
        <v>1991</v>
      </c>
      <c r="B5" s="9">
        <f>Fig1_historical_Kaya!$C5</f>
        <v>1918.9</v>
      </c>
      <c r="C5" s="9">
        <f>Fig1_historical_Kaya!$C5</f>
        <v>1918.9</v>
      </c>
      <c r="D5" s="9">
        <f>Fig1_historical_Kaya!$C5</f>
        <v>1918.9</v>
      </c>
      <c r="F5" s="9">
        <f>Fig1_historical_Kaya!$E5</f>
        <v>56142.300080954701</v>
      </c>
      <c r="G5" s="9">
        <f>Fig1_historical_Kaya!$E5</f>
        <v>56142.300080954701</v>
      </c>
      <c r="H5" s="9">
        <f>Fig1_historical_Kaya!$E5</f>
        <v>56142.300080954701</v>
      </c>
      <c r="J5" s="9">
        <f t="shared" si="0"/>
        <v>228843.30008095471</v>
      </c>
      <c r="K5" s="9">
        <f t="shared" si="1"/>
        <v>228843.30008095471</v>
      </c>
      <c r="L5" s="9">
        <f t="shared" si="2"/>
        <v>228843.30008095471</v>
      </c>
      <c r="M5" s="9"/>
      <c r="N5" s="9">
        <f t="shared" ref="N5:P35" si="4">(($F5*10^3)/90)+($B5*10^3)</f>
        <v>2542703.33423283</v>
      </c>
      <c r="O5" s="9">
        <f t="shared" si="4"/>
        <v>2542703.33423283</v>
      </c>
      <c r="P5" s="9">
        <f t="shared" si="4"/>
        <v>2542703.33423283</v>
      </c>
      <c r="R5" s="50">
        <f>Fig1_historical_Kaya!$J5</f>
        <v>31.140677300670895</v>
      </c>
      <c r="S5" s="50">
        <f>Fig1_historical_Kaya!$J5</f>
        <v>31.140677300670895</v>
      </c>
      <c r="T5" s="50">
        <f>Fig1_historical_Kaya!$J5</f>
        <v>31.140677300670895</v>
      </c>
      <c r="V5" s="208"/>
      <c r="W5" s="209">
        <f>Fig1_historical_Kaya!$K5</f>
        <v>2.8026609570603807</v>
      </c>
      <c r="X5" s="209">
        <f>Fig1_historical_Kaya!$K5</f>
        <v>2.8026609570603807</v>
      </c>
      <c r="Y5" s="209">
        <f>Fig1_historical_Kaya!$K5</f>
        <v>2.8026609570603807</v>
      </c>
      <c r="AA5" s="31">
        <f>Fig1_historical_Kaya!$L5</f>
        <v>73.757510617937001</v>
      </c>
      <c r="AB5" s="31">
        <f>Fig1_historical_Kaya!$L5</f>
        <v>73.757510617937001</v>
      </c>
      <c r="AC5" s="31">
        <f>Fig1_historical_Kaya!$L5</f>
        <v>73.757510617937001</v>
      </c>
      <c r="AD5" s="9"/>
      <c r="AE5" s="31">
        <f>Fig1_carbon_eq_intensity!$Q5</f>
        <v>125.38776805049291</v>
      </c>
      <c r="AF5" s="31">
        <f>Fig1_carbon_eq_intensity!$Q5</f>
        <v>125.38776805049291</v>
      </c>
      <c r="AG5" s="31">
        <f>Fig1_carbon_eq_intensity!$Q5</f>
        <v>125.38776805049291</v>
      </c>
      <c r="AH5" s="9"/>
      <c r="AI5" s="85"/>
      <c r="AJ5" s="9">
        <f>Fig1_historical_Kaya!$B5/10^3</f>
        <v>0.52562075600000002</v>
      </c>
      <c r="AK5" s="9">
        <f t="shared" ref="AK5:AK35" si="5">($J5*$R5*AB5)/10^9</f>
        <v>0.52562075600000002</v>
      </c>
      <c r="AL5" s="9">
        <f t="shared" ref="AL5:AL64" si="6">($J5*$R5*AC5)/10^9</f>
        <v>0.52562075600000002</v>
      </c>
      <c r="AN5" s="9">
        <f>Fig1_historical_Kaya!$B5/10^3</f>
        <v>0.52562075600000002</v>
      </c>
      <c r="AO5" s="9">
        <f>Fig1_historical_Kaya!$B5/10^3</f>
        <v>0.52562075600000002</v>
      </c>
      <c r="AP5" s="9">
        <f>Fig1_historical_Kaya!$B5/10^3</f>
        <v>0.52562075600000002</v>
      </c>
      <c r="AR5" s="9">
        <f>Fig1_historical_Kaya!$B5/10^3</f>
        <v>0.52562075600000002</v>
      </c>
      <c r="AS5" s="9">
        <f>Fig1_historical_Kaya!$B5/10^3</f>
        <v>0.52562075600000002</v>
      </c>
      <c r="AT5" s="9">
        <f>Fig1_historical_Kaya!$B5/10^3</f>
        <v>0.52562075600000002</v>
      </c>
      <c r="AV5" s="9">
        <f t="shared" ref="AV5:AV64" si="7">(J5*R5*AE5)/10^9</f>
        <v>0.89355528520000005</v>
      </c>
      <c r="AW5" s="9">
        <f t="shared" ref="AW5:AW64" si="8">(J5*R5*AF5)/10^9</f>
        <v>0.89355528520000005</v>
      </c>
      <c r="AX5" s="9">
        <f t="shared" ref="AX5:AX64" si="9">(J5*R5*AG5)/10^9</f>
        <v>0.89355528520000005</v>
      </c>
      <c r="AY5" s="252"/>
      <c r="AZ5" s="9">
        <f t="shared" ref="AZ5:AZ64" si="10">(K5*S5*AE5)/10^9</f>
        <v>0.89355528520000005</v>
      </c>
      <c r="BA5" s="9">
        <f t="shared" ref="BA5:BA64" si="11">(K5*S5*AF5)/10^9</f>
        <v>0.89355528520000005</v>
      </c>
      <c r="BB5" s="9">
        <f t="shared" ref="BB5:BB64" si="12">(K5*S5*AG5)/10^9</f>
        <v>0.89355528520000005</v>
      </c>
      <c r="BC5" s="252"/>
      <c r="BD5" s="9">
        <f t="shared" ref="BD5:BD64" si="13">($L5*$T5*AE5)/10^9</f>
        <v>0.89355528520000005</v>
      </c>
      <c r="BE5" s="9">
        <f t="shared" ref="BE5:BE64" si="14">($L5*$T5*AF5)/10^9</f>
        <v>0.89355528520000005</v>
      </c>
      <c r="BF5" s="9">
        <f t="shared" ref="BF5:BF64" si="15">($L5*$T5*AG5)/10^9</f>
        <v>0.89355528520000005</v>
      </c>
    </row>
    <row r="6" spans="1:58" s="5" customFormat="1">
      <c r="A6" s="10">
        <v>1992</v>
      </c>
      <c r="B6" s="9">
        <f>Fig1_historical_Kaya!$C6</f>
        <v>1995.8</v>
      </c>
      <c r="C6" s="9">
        <f>Fig1_historical_Kaya!$C6</f>
        <v>1995.8</v>
      </c>
      <c r="D6" s="9">
        <f>Fig1_historical_Kaya!$C6</f>
        <v>1995.8</v>
      </c>
      <c r="F6" s="9">
        <f>Fig1_historical_Kaya!$E6</f>
        <v>61025.199738494703</v>
      </c>
      <c r="G6" s="9">
        <f>Fig1_historical_Kaya!$E6</f>
        <v>61025.199738494703</v>
      </c>
      <c r="H6" s="9">
        <f>Fig1_historical_Kaya!$E6</f>
        <v>61025.199738494703</v>
      </c>
      <c r="J6" s="9">
        <f t="shared" si="0"/>
        <v>240647.1997384947</v>
      </c>
      <c r="K6" s="9">
        <f t="shared" si="1"/>
        <v>240647.1997384947</v>
      </c>
      <c r="L6" s="9">
        <f t="shared" si="2"/>
        <v>240647.1997384947</v>
      </c>
      <c r="M6" s="9"/>
      <c r="N6" s="9">
        <f t="shared" si="4"/>
        <v>2673857.7748721633</v>
      </c>
      <c r="O6" s="9">
        <f t="shared" si="4"/>
        <v>2673857.7748721633</v>
      </c>
      <c r="P6" s="9">
        <f t="shared" si="4"/>
        <v>2673857.7748721633</v>
      </c>
      <c r="R6" s="50">
        <f>Fig1_historical_Kaya!$J6</f>
        <v>29.698064240754807</v>
      </c>
      <c r="S6" s="50">
        <f>Fig1_historical_Kaya!$J6</f>
        <v>29.698064240754807</v>
      </c>
      <c r="T6" s="50">
        <f>Fig1_historical_Kaya!$J6</f>
        <v>29.698064240754807</v>
      </c>
      <c r="V6" s="208"/>
      <c r="W6" s="209">
        <f>Fig1_historical_Kaya!$K6</f>
        <v>2.6728257816679326</v>
      </c>
      <c r="X6" s="209">
        <f>Fig1_historical_Kaya!$K6</f>
        <v>2.6728257816679326</v>
      </c>
      <c r="Y6" s="209">
        <f>Fig1_historical_Kaya!$K6</f>
        <v>2.6728257816679326</v>
      </c>
      <c r="AA6" s="31">
        <f>Fig1_historical_Kaya!$L6</f>
        <v>74.042802945552381</v>
      </c>
      <c r="AB6" s="31">
        <f>Fig1_historical_Kaya!$L6</f>
        <v>74.042802945552381</v>
      </c>
      <c r="AC6" s="31">
        <f>Fig1_historical_Kaya!$L6</f>
        <v>74.042802945552381</v>
      </c>
      <c r="AD6" s="9"/>
      <c r="AE6" s="31">
        <f>Fig1_carbon_eq_intensity!$Q6</f>
        <v>125.87276500743906</v>
      </c>
      <c r="AF6" s="31">
        <f>Fig1_carbon_eq_intensity!$Q6</f>
        <v>125.87276500743906</v>
      </c>
      <c r="AG6" s="31">
        <f>Fig1_carbon_eq_intensity!$Q6</f>
        <v>125.87276500743906</v>
      </c>
      <c r="AH6" s="9"/>
      <c r="AI6" s="85"/>
      <c r="AJ6" s="9">
        <f>Fig1_historical_Kaya!$B6/10^3</f>
        <v>0.52916584599999994</v>
      </c>
      <c r="AK6" s="9">
        <f t="shared" si="5"/>
        <v>0.52916584600000005</v>
      </c>
      <c r="AL6" s="9">
        <f t="shared" si="6"/>
        <v>0.52916584600000005</v>
      </c>
      <c r="AN6" s="9">
        <f>Fig1_historical_Kaya!$B6/10^3</f>
        <v>0.52916584599999994</v>
      </c>
      <c r="AO6" s="9">
        <f>Fig1_historical_Kaya!$B6/10^3</f>
        <v>0.52916584599999994</v>
      </c>
      <c r="AP6" s="9">
        <f>Fig1_historical_Kaya!$B6/10^3</f>
        <v>0.52916584599999994</v>
      </c>
      <c r="AR6" s="9">
        <f>Fig1_historical_Kaya!$B6/10^3</f>
        <v>0.52916584599999994</v>
      </c>
      <c r="AS6" s="9">
        <f>Fig1_historical_Kaya!$B6/10^3</f>
        <v>0.52916584599999994</v>
      </c>
      <c r="AT6" s="9">
        <f>Fig1_historical_Kaya!$B6/10^3</f>
        <v>0.52916584599999994</v>
      </c>
      <c r="AV6" s="9">
        <f t="shared" si="7"/>
        <v>0.89958193820000021</v>
      </c>
      <c r="AW6" s="9">
        <f t="shared" si="8"/>
        <v>0.89958193820000021</v>
      </c>
      <c r="AX6" s="9">
        <f t="shared" si="9"/>
        <v>0.89958193820000021</v>
      </c>
      <c r="AY6" s="252"/>
      <c r="AZ6" s="9">
        <f t="shared" si="10"/>
        <v>0.89958193820000021</v>
      </c>
      <c r="BA6" s="9">
        <f t="shared" si="11"/>
        <v>0.89958193820000021</v>
      </c>
      <c r="BB6" s="9">
        <f t="shared" si="12"/>
        <v>0.89958193820000021</v>
      </c>
      <c r="BC6" s="252"/>
      <c r="BD6" s="9">
        <f t="shared" si="13"/>
        <v>0.89958193820000021</v>
      </c>
      <c r="BE6" s="9">
        <f t="shared" si="14"/>
        <v>0.89958193820000021</v>
      </c>
      <c r="BF6" s="9">
        <f t="shared" si="15"/>
        <v>0.89958193820000021</v>
      </c>
    </row>
    <row r="7" spans="1:58" s="5" customFormat="1">
      <c r="A7" s="10">
        <v>1993</v>
      </c>
      <c r="B7" s="9">
        <f>Fig1_historical_Kaya!$C7</f>
        <v>2027</v>
      </c>
      <c r="C7" s="9">
        <f>Fig1_historical_Kaya!$C7</f>
        <v>2027</v>
      </c>
      <c r="D7" s="9">
        <f>Fig1_historical_Kaya!$C7</f>
        <v>2027</v>
      </c>
      <c r="F7" s="9">
        <f>Fig1_historical_Kaya!$E7</f>
        <v>67522.600189991703</v>
      </c>
      <c r="G7" s="9">
        <f>Fig1_historical_Kaya!$E7</f>
        <v>67522.600189991703</v>
      </c>
      <c r="H7" s="9">
        <f>Fig1_historical_Kaya!$E7</f>
        <v>67522.600189991703</v>
      </c>
      <c r="J7" s="9">
        <f t="shared" si="0"/>
        <v>249952.6001899917</v>
      </c>
      <c r="K7" s="9">
        <f t="shared" si="1"/>
        <v>249952.6001899917</v>
      </c>
      <c r="L7" s="9">
        <f t="shared" si="2"/>
        <v>249952.6001899917</v>
      </c>
      <c r="M7" s="9"/>
      <c r="N7" s="9">
        <f t="shared" si="4"/>
        <v>2777251.1132221301</v>
      </c>
      <c r="O7" s="9">
        <f t="shared" si="4"/>
        <v>2777251.1132221301</v>
      </c>
      <c r="P7" s="9">
        <f t="shared" si="4"/>
        <v>2777251.1132221301</v>
      </c>
      <c r="R7" s="50">
        <f>Fig1_historical_Kaya!$J7</f>
        <v>28.869366882617065</v>
      </c>
      <c r="S7" s="50">
        <f>Fig1_historical_Kaya!$J7</f>
        <v>28.869366882617065</v>
      </c>
      <c r="T7" s="50">
        <f>Fig1_historical_Kaya!$J7</f>
        <v>28.869366882617065</v>
      </c>
      <c r="V7" s="208"/>
      <c r="W7" s="209">
        <f>Fig1_historical_Kaya!$K7</f>
        <v>2.5982430194355359</v>
      </c>
      <c r="X7" s="209">
        <f>Fig1_historical_Kaya!$K7</f>
        <v>2.5982430194355359</v>
      </c>
      <c r="Y7" s="209">
        <f>Fig1_historical_Kaya!$K7</f>
        <v>2.5982430194355359</v>
      </c>
      <c r="AA7" s="31">
        <f>Fig1_historical_Kaya!$L7</f>
        <v>73.951458863887026</v>
      </c>
      <c r="AB7" s="31">
        <f>Fig1_historical_Kaya!$L7</f>
        <v>73.951458863887026</v>
      </c>
      <c r="AC7" s="31">
        <f>Fig1_historical_Kaya!$L7</f>
        <v>73.951458863887026</v>
      </c>
      <c r="AD7" s="9"/>
      <c r="AE7" s="31">
        <f>Fig1_carbon_eq_intensity!$Q7</f>
        <v>125.71748006860794</v>
      </c>
      <c r="AF7" s="31">
        <f>Fig1_carbon_eq_intensity!$Q7</f>
        <v>125.71748006860794</v>
      </c>
      <c r="AG7" s="31">
        <f>Fig1_carbon_eq_intensity!$Q7</f>
        <v>125.71748006860794</v>
      </c>
      <c r="AH7" s="9"/>
      <c r="AI7" s="85"/>
      <c r="AJ7" s="9">
        <f>Fig1_historical_Kaya!$B7/10^3</f>
        <v>0.53363175399999996</v>
      </c>
      <c r="AK7" s="9">
        <f t="shared" si="5"/>
        <v>0.53363175399999996</v>
      </c>
      <c r="AL7" s="9">
        <f t="shared" si="6"/>
        <v>0.53363175399999996</v>
      </c>
      <c r="AN7" s="9">
        <f>Fig1_historical_Kaya!$B7/10^3</f>
        <v>0.53363175399999996</v>
      </c>
      <c r="AO7" s="9">
        <f>Fig1_historical_Kaya!$B7/10^3</f>
        <v>0.53363175399999996</v>
      </c>
      <c r="AP7" s="9">
        <f>Fig1_historical_Kaya!$B7/10^3</f>
        <v>0.53363175399999996</v>
      </c>
      <c r="AR7" s="9">
        <f>Fig1_historical_Kaya!$B7/10^3</f>
        <v>0.53363175399999996</v>
      </c>
      <c r="AS7" s="9">
        <f>Fig1_historical_Kaya!$B7/10^3</f>
        <v>0.53363175399999996</v>
      </c>
      <c r="AT7" s="9">
        <f>Fig1_historical_Kaya!$B7/10^3</f>
        <v>0.53363175399999996</v>
      </c>
      <c r="AV7" s="9">
        <f t="shared" si="7"/>
        <v>0.90717398179999997</v>
      </c>
      <c r="AW7" s="9">
        <f t="shared" si="8"/>
        <v>0.90717398179999997</v>
      </c>
      <c r="AX7" s="9">
        <f t="shared" si="9"/>
        <v>0.90717398179999997</v>
      </c>
      <c r="AY7" s="252"/>
      <c r="AZ7" s="9">
        <f t="shared" si="10"/>
        <v>0.90717398179999997</v>
      </c>
      <c r="BA7" s="9">
        <f t="shared" si="11"/>
        <v>0.90717398179999997</v>
      </c>
      <c r="BB7" s="9">
        <f t="shared" si="12"/>
        <v>0.90717398179999997</v>
      </c>
      <c r="BC7" s="252"/>
      <c r="BD7" s="9">
        <f t="shared" si="13"/>
        <v>0.90717398179999997</v>
      </c>
      <c r="BE7" s="9">
        <f t="shared" si="14"/>
        <v>0.90717398179999997</v>
      </c>
      <c r="BF7" s="9">
        <f t="shared" si="15"/>
        <v>0.90717398179999997</v>
      </c>
    </row>
    <row r="8" spans="1:58" s="5" customFormat="1">
      <c r="A8" s="10">
        <v>1994</v>
      </c>
      <c r="B8" s="9">
        <f>Fig1_historical_Kaya!$C8</f>
        <v>2195.4</v>
      </c>
      <c r="C8" s="9">
        <f>Fig1_historical_Kaya!$C8</f>
        <v>2195.4</v>
      </c>
      <c r="D8" s="9">
        <f>Fig1_historical_Kaya!$C8</f>
        <v>2195.4</v>
      </c>
      <c r="F8" s="9">
        <f>Fig1_historical_Kaya!$E8</f>
        <v>77183.300331168095</v>
      </c>
      <c r="G8" s="9">
        <f>Fig1_historical_Kaya!$E8</f>
        <v>77183.300331168095</v>
      </c>
      <c r="H8" s="9">
        <f>Fig1_historical_Kaya!$E8</f>
        <v>77183.300331168095</v>
      </c>
      <c r="J8" s="9">
        <f t="shared" si="0"/>
        <v>274769.30033116811</v>
      </c>
      <c r="K8" s="9">
        <f t="shared" si="1"/>
        <v>274769.30033116811</v>
      </c>
      <c r="L8" s="9">
        <f t="shared" si="2"/>
        <v>274769.30033116811</v>
      </c>
      <c r="M8" s="9"/>
      <c r="N8" s="9">
        <f t="shared" si="4"/>
        <v>3052992.2259018677</v>
      </c>
      <c r="O8" s="9">
        <f t="shared" si="4"/>
        <v>3052992.2259018677</v>
      </c>
      <c r="P8" s="9">
        <f t="shared" si="4"/>
        <v>3052992.2259018677</v>
      </c>
      <c r="R8" s="50">
        <f>Fig1_historical_Kaya!$J8</f>
        <v>27.454390835884784</v>
      </c>
      <c r="S8" s="50">
        <f>Fig1_historical_Kaya!$J8</f>
        <v>27.454390835884784</v>
      </c>
      <c r="T8" s="50">
        <f>Fig1_historical_Kaya!$J8</f>
        <v>27.454390835884784</v>
      </c>
      <c r="V8" s="208"/>
      <c r="W8" s="209">
        <f>Fig1_historical_Kaya!$K8</f>
        <v>2.4708951752296309</v>
      </c>
      <c r="X8" s="209">
        <f>Fig1_historical_Kaya!$K8</f>
        <v>2.4708951752296309</v>
      </c>
      <c r="Y8" s="209">
        <f>Fig1_historical_Kaya!$K8</f>
        <v>2.4708951752296309</v>
      </c>
      <c r="AA8" s="31">
        <f>Fig1_historical_Kaya!$L8</f>
        <v>73.798440197739637</v>
      </c>
      <c r="AB8" s="31">
        <f>Fig1_historical_Kaya!$L8</f>
        <v>73.798440197739637</v>
      </c>
      <c r="AC8" s="31">
        <f>Fig1_historical_Kaya!$L8</f>
        <v>73.798440197739637</v>
      </c>
      <c r="AD8" s="9"/>
      <c r="AE8" s="31">
        <f>Fig1_carbon_eq_intensity!$Q8</f>
        <v>125.45734833615738</v>
      </c>
      <c r="AF8" s="31">
        <f>Fig1_carbon_eq_intensity!$Q8</f>
        <v>125.45734833615738</v>
      </c>
      <c r="AG8" s="31">
        <f>Fig1_carbon_eq_intensity!$Q8</f>
        <v>125.45734833615738</v>
      </c>
      <c r="AH8" s="9"/>
      <c r="AI8" s="85"/>
      <c r="AJ8" s="9">
        <f>Fig1_historical_Kaya!$B8/10^3</f>
        <v>0.55670766700000018</v>
      </c>
      <c r="AK8" s="9">
        <f t="shared" si="5"/>
        <v>0.55670766700000007</v>
      </c>
      <c r="AL8" s="9">
        <f t="shared" si="6"/>
        <v>0.55670766700000007</v>
      </c>
      <c r="AN8" s="9">
        <f>Fig1_historical_Kaya!$B8/10^3</f>
        <v>0.55670766700000018</v>
      </c>
      <c r="AO8" s="9">
        <f>Fig1_historical_Kaya!$B8/10^3</f>
        <v>0.55670766700000018</v>
      </c>
      <c r="AP8" s="9">
        <f>Fig1_historical_Kaya!$B8/10^3</f>
        <v>0.55670766700000018</v>
      </c>
      <c r="AR8" s="9">
        <f>Fig1_historical_Kaya!$B8/10^3</f>
        <v>0.55670766700000018</v>
      </c>
      <c r="AS8" s="9">
        <f>Fig1_historical_Kaya!$B8/10^3</f>
        <v>0.55670766700000018</v>
      </c>
      <c r="AT8" s="9">
        <f>Fig1_historical_Kaya!$B8/10^3</f>
        <v>0.55670766700000018</v>
      </c>
      <c r="AV8" s="9">
        <f t="shared" si="7"/>
        <v>0.94640303390000013</v>
      </c>
      <c r="AW8" s="9">
        <f t="shared" si="8"/>
        <v>0.94640303390000013</v>
      </c>
      <c r="AX8" s="9">
        <f t="shared" si="9"/>
        <v>0.94640303390000013</v>
      </c>
      <c r="AY8" s="252"/>
      <c r="AZ8" s="9">
        <f t="shared" si="10"/>
        <v>0.94640303390000013</v>
      </c>
      <c r="BA8" s="9">
        <f t="shared" si="11"/>
        <v>0.94640303390000013</v>
      </c>
      <c r="BB8" s="9">
        <f t="shared" si="12"/>
        <v>0.94640303390000013</v>
      </c>
      <c r="BC8" s="252"/>
      <c r="BD8" s="9">
        <f t="shared" si="13"/>
        <v>0.94640303390000013</v>
      </c>
      <c r="BE8" s="9">
        <f t="shared" si="14"/>
        <v>0.94640303390000013</v>
      </c>
      <c r="BF8" s="9">
        <f t="shared" si="15"/>
        <v>0.94640303390000013</v>
      </c>
    </row>
    <row r="9" spans="1:58" s="5" customFormat="1">
      <c r="A9" s="10">
        <v>1995</v>
      </c>
      <c r="B9" s="9">
        <f>Fig1_historical_Kaya!$C9</f>
        <v>2333.3000000000002</v>
      </c>
      <c r="C9" s="9">
        <f>Fig1_historical_Kaya!$C9</f>
        <v>2333.3000000000002</v>
      </c>
      <c r="D9" s="9">
        <f>Fig1_historical_Kaya!$C9</f>
        <v>2333.3000000000002</v>
      </c>
      <c r="F9" s="9">
        <f>Fig1_historical_Kaya!$E9</f>
        <v>83098.200397834502</v>
      </c>
      <c r="G9" s="9">
        <f>Fig1_historical_Kaya!$E9</f>
        <v>83098.200397834502</v>
      </c>
      <c r="H9" s="9">
        <f>Fig1_historical_Kaya!$E9</f>
        <v>83098.200397834502</v>
      </c>
      <c r="J9" s="9">
        <f t="shared" si="0"/>
        <v>293095.20039783453</v>
      </c>
      <c r="K9" s="9">
        <f t="shared" si="1"/>
        <v>293095.20039783453</v>
      </c>
      <c r="L9" s="9">
        <f t="shared" si="2"/>
        <v>293095.20039783453</v>
      </c>
      <c r="M9" s="9"/>
      <c r="N9" s="9">
        <f t="shared" si="4"/>
        <v>3256613.3377537169</v>
      </c>
      <c r="O9" s="9">
        <f t="shared" si="4"/>
        <v>3256613.3377537169</v>
      </c>
      <c r="P9" s="9">
        <f t="shared" si="4"/>
        <v>3256613.3377537169</v>
      </c>
      <c r="R9" s="50">
        <f>Fig1_historical_Kaya!$J9</f>
        <v>26.383617122651792</v>
      </c>
      <c r="S9" s="50">
        <f>Fig1_historical_Kaya!$J9</f>
        <v>26.383617122651792</v>
      </c>
      <c r="T9" s="50">
        <f>Fig1_historical_Kaya!$J9</f>
        <v>26.383617122651792</v>
      </c>
      <c r="V9" s="208"/>
      <c r="W9" s="209">
        <f>Fig1_historical_Kaya!$K9</f>
        <v>2.3745255410386612</v>
      </c>
      <c r="X9" s="209">
        <f>Fig1_historical_Kaya!$K9</f>
        <v>2.3745255410386612</v>
      </c>
      <c r="Y9" s="209">
        <f>Fig1_historical_Kaya!$K9</f>
        <v>2.3745255410386612</v>
      </c>
      <c r="AA9" s="31">
        <f>Fig1_historical_Kaya!$L9</f>
        <v>73.809912666544022</v>
      </c>
      <c r="AB9" s="31">
        <f>Fig1_historical_Kaya!$L9</f>
        <v>73.809912666544022</v>
      </c>
      <c r="AC9" s="31">
        <f>Fig1_historical_Kaya!$L9</f>
        <v>73.809912666544022</v>
      </c>
      <c r="AD9" s="9"/>
      <c r="AE9" s="31">
        <f>Fig1_carbon_eq_intensity!$Q9</f>
        <v>125.47685153312484</v>
      </c>
      <c r="AF9" s="31">
        <f>Fig1_carbon_eq_intensity!$Q9</f>
        <v>125.47685153312484</v>
      </c>
      <c r="AG9" s="31">
        <f>Fig1_carbon_eq_intensity!$Q9</f>
        <v>125.47685153312484</v>
      </c>
      <c r="AH9" s="9"/>
      <c r="AI9" s="85"/>
      <c r="AJ9" s="9">
        <f>Fig1_historical_Kaya!$B9/10^3</f>
        <v>0.57076552599999997</v>
      </c>
      <c r="AK9" s="9">
        <f t="shared" si="5"/>
        <v>0.57076552599999997</v>
      </c>
      <c r="AL9" s="9">
        <f t="shared" si="6"/>
        <v>0.57076552599999997</v>
      </c>
      <c r="AN9" s="9">
        <f>Fig1_historical_Kaya!$B9/10^3</f>
        <v>0.57076552599999997</v>
      </c>
      <c r="AO9" s="9">
        <f>Fig1_historical_Kaya!$B9/10^3</f>
        <v>0.57076552599999997</v>
      </c>
      <c r="AP9" s="9">
        <f>Fig1_historical_Kaya!$B9/10^3</f>
        <v>0.57076552599999997</v>
      </c>
      <c r="AR9" s="9">
        <f>Fig1_historical_Kaya!$B9/10^3</f>
        <v>0.57076552599999997</v>
      </c>
      <c r="AS9" s="9">
        <f>Fig1_historical_Kaya!$B9/10^3</f>
        <v>0.57076552599999997</v>
      </c>
      <c r="AT9" s="9">
        <f>Fig1_historical_Kaya!$B9/10^3</f>
        <v>0.57076552599999997</v>
      </c>
      <c r="AV9" s="9">
        <f t="shared" si="7"/>
        <v>0.97030139420000006</v>
      </c>
      <c r="AW9" s="9">
        <f t="shared" si="8"/>
        <v>0.97030139420000006</v>
      </c>
      <c r="AX9" s="9">
        <f t="shared" si="9"/>
        <v>0.97030139420000006</v>
      </c>
      <c r="AY9" s="252"/>
      <c r="AZ9" s="9">
        <f t="shared" si="10"/>
        <v>0.97030139420000006</v>
      </c>
      <c r="BA9" s="9">
        <f t="shared" si="11"/>
        <v>0.97030139420000006</v>
      </c>
      <c r="BB9" s="9">
        <f t="shared" si="12"/>
        <v>0.97030139420000006</v>
      </c>
      <c r="BC9" s="252"/>
      <c r="BD9" s="9">
        <f t="shared" si="13"/>
        <v>0.97030139420000006</v>
      </c>
      <c r="BE9" s="9">
        <f t="shared" si="14"/>
        <v>0.97030139420000006</v>
      </c>
      <c r="BF9" s="9">
        <f t="shared" si="15"/>
        <v>0.97030139420000006</v>
      </c>
    </row>
    <row r="10" spans="1:58" s="5" customFormat="1">
      <c r="A10" s="10">
        <v>1996</v>
      </c>
      <c r="B10" s="9">
        <f>Fig1_historical_Kaya!$C10</f>
        <v>2532.1</v>
      </c>
      <c r="C10" s="9">
        <f>Fig1_historical_Kaya!$C10</f>
        <v>2532.1</v>
      </c>
      <c r="D10" s="9">
        <f>Fig1_historical_Kaya!$C10</f>
        <v>2532.1</v>
      </c>
      <c r="F10" s="9">
        <f>Fig1_historical_Kaya!$E10</f>
        <v>89164.599980600004</v>
      </c>
      <c r="G10" s="9">
        <f>Fig1_historical_Kaya!$E10</f>
        <v>89164.599980600004</v>
      </c>
      <c r="H10" s="9">
        <f>Fig1_historical_Kaya!$E10</f>
        <v>89164.599980600004</v>
      </c>
      <c r="J10" s="9">
        <f t="shared" si="0"/>
        <v>317053.5999806</v>
      </c>
      <c r="K10" s="9">
        <f t="shared" si="1"/>
        <v>317053.5999806</v>
      </c>
      <c r="L10" s="9">
        <f t="shared" si="2"/>
        <v>317053.5999806</v>
      </c>
      <c r="M10" s="9"/>
      <c r="N10" s="9">
        <f t="shared" si="4"/>
        <v>3522817.7775622224</v>
      </c>
      <c r="O10" s="9">
        <f t="shared" si="4"/>
        <v>3522817.7775622224</v>
      </c>
      <c r="P10" s="9">
        <f t="shared" si="4"/>
        <v>3522817.7775622224</v>
      </c>
      <c r="R10" s="50">
        <f>Fig1_historical_Kaya!$J10</f>
        <v>25.424930964761749</v>
      </c>
      <c r="S10" s="50">
        <f>Fig1_historical_Kaya!$J10</f>
        <v>25.424930964761749</v>
      </c>
      <c r="T10" s="50">
        <f>Fig1_historical_Kaya!$J10</f>
        <v>25.424930964761749</v>
      </c>
      <c r="V10" s="208"/>
      <c r="W10" s="209">
        <f>Fig1_historical_Kaya!$K10</f>
        <v>2.288243786828557</v>
      </c>
      <c r="X10" s="209">
        <f>Fig1_historical_Kaya!$K10</f>
        <v>2.288243786828557</v>
      </c>
      <c r="Y10" s="209">
        <f>Fig1_historical_Kaya!$K10</f>
        <v>2.288243786828557</v>
      </c>
      <c r="AA10" s="31">
        <f>Fig1_historical_Kaya!$L10</f>
        <v>74.074730318178581</v>
      </c>
      <c r="AB10" s="31">
        <f>Fig1_historical_Kaya!$L10</f>
        <v>74.074730318178581</v>
      </c>
      <c r="AC10" s="31">
        <f>Fig1_historical_Kaya!$L10</f>
        <v>74.074730318178581</v>
      </c>
      <c r="AD10" s="9"/>
      <c r="AE10" s="31">
        <f>Fig1_carbon_eq_intensity!$Q10</f>
        <v>125.9270415409036</v>
      </c>
      <c r="AF10" s="31">
        <f>Fig1_carbon_eq_intensity!$Q10</f>
        <v>125.9270415409036</v>
      </c>
      <c r="AG10" s="31">
        <f>Fig1_carbon_eq_intensity!$Q10</f>
        <v>125.9270415409036</v>
      </c>
      <c r="AH10" s="9"/>
      <c r="AI10" s="85"/>
      <c r="AJ10" s="9">
        <f>Fig1_historical_Kaya!$B10/10^3</f>
        <v>0.59712128200000014</v>
      </c>
      <c r="AK10" s="9">
        <f t="shared" si="5"/>
        <v>0.59712128200000025</v>
      </c>
      <c r="AL10" s="9">
        <f t="shared" si="6"/>
        <v>0.59712128200000025</v>
      </c>
      <c r="AN10" s="9">
        <f>Fig1_historical_Kaya!$B10/10^3</f>
        <v>0.59712128200000014</v>
      </c>
      <c r="AO10" s="9">
        <f>Fig1_historical_Kaya!$B10/10^3</f>
        <v>0.59712128200000014</v>
      </c>
      <c r="AP10" s="9">
        <f>Fig1_historical_Kaya!$B10/10^3</f>
        <v>0.59712128200000014</v>
      </c>
      <c r="AR10" s="9">
        <f>Fig1_historical_Kaya!$B10/10^3</f>
        <v>0.59712128200000014</v>
      </c>
      <c r="AS10" s="9">
        <f>Fig1_historical_Kaya!$B10/10^3</f>
        <v>0.59712128200000014</v>
      </c>
      <c r="AT10" s="9">
        <f>Fig1_historical_Kaya!$B10/10^3</f>
        <v>0.59712128200000014</v>
      </c>
      <c r="AV10" s="9">
        <f t="shared" si="7"/>
        <v>1.0151061794000005</v>
      </c>
      <c r="AW10" s="9">
        <f t="shared" si="8"/>
        <v>1.0151061794000005</v>
      </c>
      <c r="AX10" s="9">
        <f t="shared" si="9"/>
        <v>1.0151061794000005</v>
      </c>
      <c r="AY10" s="252"/>
      <c r="AZ10" s="9">
        <f t="shared" si="10"/>
        <v>1.0151061794000005</v>
      </c>
      <c r="BA10" s="9">
        <f t="shared" si="11"/>
        <v>1.0151061794000005</v>
      </c>
      <c r="BB10" s="9">
        <f t="shared" si="12"/>
        <v>1.0151061794000005</v>
      </c>
      <c r="BC10" s="252"/>
      <c r="BD10" s="9">
        <f t="shared" si="13"/>
        <v>1.0151061794000005</v>
      </c>
      <c r="BE10" s="9">
        <f t="shared" si="14"/>
        <v>1.0151061794000005</v>
      </c>
      <c r="BF10" s="9">
        <f t="shared" si="15"/>
        <v>1.0151061794000005</v>
      </c>
    </row>
    <row r="11" spans="1:58" s="5" customFormat="1">
      <c r="A11" s="10">
        <v>1997</v>
      </c>
      <c r="B11" s="9">
        <f>Fig1_historical_Kaya!$C11</f>
        <v>2654.7</v>
      </c>
      <c r="C11" s="9">
        <f>Fig1_historical_Kaya!$C11</f>
        <v>2654.7</v>
      </c>
      <c r="D11" s="9">
        <f>Fig1_historical_Kaya!$C11</f>
        <v>2654.7</v>
      </c>
      <c r="F11" s="9">
        <f>Fig1_historical_Kaya!$E11</f>
        <v>102876.10121963199</v>
      </c>
      <c r="G11" s="9">
        <f>Fig1_historical_Kaya!$E11</f>
        <v>102876.10121963199</v>
      </c>
      <c r="H11" s="9">
        <f>Fig1_historical_Kaya!$E11</f>
        <v>102876.10121963199</v>
      </c>
      <c r="J11" s="9">
        <f t="shared" si="0"/>
        <v>341799.10121963196</v>
      </c>
      <c r="K11" s="9">
        <f t="shared" si="1"/>
        <v>341799.10121963196</v>
      </c>
      <c r="L11" s="9">
        <f t="shared" si="2"/>
        <v>341799.10121963196</v>
      </c>
      <c r="M11" s="9"/>
      <c r="N11" s="9">
        <f t="shared" si="4"/>
        <v>3797767.7913292442</v>
      </c>
      <c r="O11" s="9">
        <f t="shared" si="4"/>
        <v>3797767.7913292442</v>
      </c>
      <c r="P11" s="9">
        <f t="shared" si="4"/>
        <v>3797767.7913292442</v>
      </c>
      <c r="R11" s="50">
        <f>Fig1_historical_Kaya!$J11</f>
        <v>24.392367383519211</v>
      </c>
      <c r="S11" s="50">
        <f>Fig1_historical_Kaya!$J11</f>
        <v>24.392367383519211</v>
      </c>
      <c r="T11" s="50">
        <f>Fig1_historical_Kaya!$J11</f>
        <v>24.392367383519211</v>
      </c>
      <c r="V11" s="208"/>
      <c r="W11" s="209">
        <f>Fig1_historical_Kaya!$K11</f>
        <v>2.1953130645167289</v>
      </c>
      <c r="X11" s="209">
        <f>Fig1_historical_Kaya!$K11</f>
        <v>2.1953130645167289</v>
      </c>
      <c r="Y11" s="209">
        <f>Fig1_historical_Kaya!$K11</f>
        <v>2.1953130645167289</v>
      </c>
      <c r="AA11" s="31">
        <f>Fig1_historical_Kaya!$L11</f>
        <v>73.912331052351661</v>
      </c>
      <c r="AB11" s="31">
        <f>Fig1_historical_Kaya!$L11</f>
        <v>73.912331052351661</v>
      </c>
      <c r="AC11" s="31">
        <f>Fig1_historical_Kaya!$L11</f>
        <v>73.912331052351661</v>
      </c>
      <c r="AD11" s="9"/>
      <c r="AE11" s="31">
        <f>Fig1_carbon_eq_intensity!$Q11</f>
        <v>125.65096278899783</v>
      </c>
      <c r="AF11" s="31">
        <f>Fig1_carbon_eq_intensity!$Q11</f>
        <v>125.65096278899783</v>
      </c>
      <c r="AG11" s="31">
        <f>Fig1_carbon_eq_intensity!$Q11</f>
        <v>125.65096278899783</v>
      </c>
      <c r="AH11" s="9"/>
      <c r="AI11" s="85"/>
      <c r="AJ11" s="9">
        <f>Fig1_historical_Kaya!$B11/10^3</f>
        <v>0.6162284830000001</v>
      </c>
      <c r="AK11" s="9">
        <f t="shared" si="5"/>
        <v>0.61622848300000022</v>
      </c>
      <c r="AL11" s="9">
        <f t="shared" si="6"/>
        <v>0.61622848300000022</v>
      </c>
      <c r="AN11" s="9">
        <f>Fig1_historical_Kaya!$B11/10^3</f>
        <v>0.6162284830000001</v>
      </c>
      <c r="AO11" s="9">
        <f>Fig1_historical_Kaya!$B11/10^3</f>
        <v>0.6162284830000001</v>
      </c>
      <c r="AP11" s="9">
        <f>Fig1_historical_Kaya!$B11/10^3</f>
        <v>0.6162284830000001</v>
      </c>
      <c r="AR11" s="9">
        <f>Fig1_historical_Kaya!$B11/10^3</f>
        <v>0.6162284830000001</v>
      </c>
      <c r="AS11" s="9">
        <f>Fig1_historical_Kaya!$B11/10^3</f>
        <v>0.6162284830000001</v>
      </c>
      <c r="AT11" s="9">
        <f>Fig1_historical_Kaya!$B11/10^3</f>
        <v>0.6162284830000001</v>
      </c>
      <c r="AV11" s="9">
        <f t="shared" si="7"/>
        <v>1.0475884211000004</v>
      </c>
      <c r="AW11" s="9">
        <f t="shared" si="8"/>
        <v>1.0475884211000004</v>
      </c>
      <c r="AX11" s="9">
        <f t="shared" si="9"/>
        <v>1.0475884211000004</v>
      </c>
      <c r="AY11" s="252"/>
      <c r="AZ11" s="9">
        <f t="shared" si="10"/>
        <v>1.0475884211000004</v>
      </c>
      <c r="BA11" s="9">
        <f t="shared" si="11"/>
        <v>1.0475884211000004</v>
      </c>
      <c r="BB11" s="9">
        <f t="shared" si="12"/>
        <v>1.0475884211000004</v>
      </c>
      <c r="BC11" s="252"/>
      <c r="BD11" s="9">
        <f t="shared" si="13"/>
        <v>1.0475884211000004</v>
      </c>
      <c r="BE11" s="9">
        <f t="shared" si="14"/>
        <v>1.0475884211000004</v>
      </c>
      <c r="BF11" s="9">
        <f t="shared" si="15"/>
        <v>1.0475884211000004</v>
      </c>
    </row>
    <row r="12" spans="1:58" s="5" customFormat="1">
      <c r="A12" s="10">
        <v>1998</v>
      </c>
      <c r="B12" s="9">
        <f>Fig1_historical_Kaya!$C12</f>
        <v>2747</v>
      </c>
      <c r="C12" s="9">
        <f>Fig1_historical_Kaya!$C12</f>
        <v>2747</v>
      </c>
      <c r="D12" s="9">
        <f>Fig1_historical_Kaya!$C12</f>
        <v>2747</v>
      </c>
      <c r="F12" s="9">
        <f>Fig1_historical_Kaya!$E12</f>
        <v>101788.27430563699</v>
      </c>
      <c r="G12" s="9">
        <f>Fig1_historical_Kaya!$E12</f>
        <v>101788.27430563699</v>
      </c>
      <c r="H12" s="9">
        <f>Fig1_historical_Kaya!$E12</f>
        <v>101788.27430563699</v>
      </c>
      <c r="J12" s="9">
        <f t="shared" si="0"/>
        <v>349018.27430563699</v>
      </c>
      <c r="K12" s="9">
        <f t="shared" si="1"/>
        <v>349018.27430563699</v>
      </c>
      <c r="L12" s="9">
        <f t="shared" si="2"/>
        <v>349018.27430563699</v>
      </c>
      <c r="M12" s="9"/>
      <c r="N12" s="9">
        <f t="shared" si="4"/>
        <v>3877980.8256181888</v>
      </c>
      <c r="O12" s="9">
        <f t="shared" si="4"/>
        <v>3877980.8256181888</v>
      </c>
      <c r="P12" s="9">
        <f t="shared" si="4"/>
        <v>3877980.8256181888</v>
      </c>
      <c r="R12" s="50">
        <f>Fig1_historical_Kaya!$J12</f>
        <v>24.424560202110836</v>
      </c>
      <c r="S12" s="50">
        <f>Fig1_historical_Kaya!$J12</f>
        <v>24.424560202110836</v>
      </c>
      <c r="T12" s="50">
        <f>Fig1_historical_Kaya!$J12</f>
        <v>24.424560202110836</v>
      </c>
      <c r="V12" s="208"/>
      <c r="W12" s="209">
        <f>Fig1_historical_Kaya!$K12</f>
        <v>2.1982104181899755</v>
      </c>
      <c r="X12" s="209">
        <f>Fig1_historical_Kaya!$K12</f>
        <v>2.1982104181899755</v>
      </c>
      <c r="Y12" s="209">
        <f>Fig1_historical_Kaya!$K12</f>
        <v>2.1982104181899755</v>
      </c>
      <c r="AA12" s="31">
        <f>Fig1_historical_Kaya!$L12</f>
        <v>73.670058045135335</v>
      </c>
      <c r="AB12" s="31">
        <f>Fig1_historical_Kaya!$L12</f>
        <v>73.670058045135335</v>
      </c>
      <c r="AC12" s="31">
        <f>Fig1_historical_Kaya!$L12</f>
        <v>73.670058045135335</v>
      </c>
      <c r="AD12" s="9"/>
      <c r="AE12" s="31">
        <f>Fig1_carbon_eq_intensity!$Q12</f>
        <v>125.23909867673007</v>
      </c>
      <c r="AF12" s="31">
        <f>Fig1_carbon_eq_intensity!$Q12</f>
        <v>125.23909867673007</v>
      </c>
      <c r="AG12" s="31">
        <f>Fig1_carbon_eq_intensity!$Q12</f>
        <v>125.23909867673007</v>
      </c>
      <c r="AH12" s="9"/>
      <c r="AI12" s="85"/>
      <c r="AJ12" s="9">
        <f>Fig1_historical_Kaya!$B12/10^3</f>
        <v>0.62800909199999999</v>
      </c>
      <c r="AK12" s="9">
        <f t="shared" si="5"/>
        <v>0.62800909199999999</v>
      </c>
      <c r="AL12" s="9">
        <f t="shared" si="6"/>
        <v>0.62800909199999999</v>
      </c>
      <c r="AN12" s="9">
        <f>Fig1_historical_Kaya!$B12/10^3</f>
        <v>0.62800909199999999</v>
      </c>
      <c r="AO12" s="9">
        <f>Fig1_historical_Kaya!$B12/10^3</f>
        <v>0.62800909199999999</v>
      </c>
      <c r="AP12" s="9">
        <f>Fig1_historical_Kaya!$B12/10^3</f>
        <v>0.62800909199999999</v>
      </c>
      <c r="AR12" s="9">
        <f>Fig1_historical_Kaya!$B12/10^3</f>
        <v>0.62800909199999999</v>
      </c>
      <c r="AS12" s="9">
        <f>Fig1_historical_Kaya!$B12/10^3</f>
        <v>0.62800909199999999</v>
      </c>
      <c r="AT12" s="9">
        <f>Fig1_historical_Kaya!$B12/10^3</f>
        <v>0.62800909199999999</v>
      </c>
      <c r="AV12" s="9">
        <f t="shared" si="7"/>
        <v>1.0676154564</v>
      </c>
      <c r="AW12" s="9">
        <f t="shared" si="8"/>
        <v>1.0676154564</v>
      </c>
      <c r="AX12" s="9">
        <f t="shared" si="9"/>
        <v>1.0676154564</v>
      </c>
      <c r="AY12" s="252"/>
      <c r="AZ12" s="9">
        <f t="shared" si="10"/>
        <v>1.0676154564</v>
      </c>
      <c r="BA12" s="9">
        <f t="shared" si="11"/>
        <v>1.0676154564</v>
      </c>
      <c r="BB12" s="9">
        <f t="shared" si="12"/>
        <v>1.0676154564</v>
      </c>
      <c r="BC12" s="252"/>
      <c r="BD12" s="9">
        <f t="shared" si="13"/>
        <v>1.0676154564</v>
      </c>
      <c r="BE12" s="9">
        <f t="shared" si="14"/>
        <v>1.0676154564</v>
      </c>
      <c r="BF12" s="9">
        <f t="shared" si="15"/>
        <v>1.0676154564</v>
      </c>
    </row>
    <row r="13" spans="1:58" s="5" customFormat="1">
      <c r="A13" s="10">
        <v>1999</v>
      </c>
      <c r="B13" s="9">
        <f>Fig1_historical_Kaya!$C13</f>
        <v>2930.6</v>
      </c>
      <c r="C13" s="9">
        <f>Fig1_historical_Kaya!$C13</f>
        <v>2930.6</v>
      </c>
      <c r="D13" s="9">
        <f>Fig1_historical_Kaya!$C13</f>
        <v>2930.6</v>
      </c>
      <c r="F13" s="9">
        <f>Fig1_historical_Kaya!$E13</f>
        <v>108629.618245873</v>
      </c>
      <c r="G13" s="9">
        <f>Fig1_historical_Kaya!$E13</f>
        <v>108629.618245873</v>
      </c>
      <c r="H13" s="9">
        <f>Fig1_historical_Kaya!$E13</f>
        <v>108629.618245873</v>
      </c>
      <c r="J13" s="9">
        <f t="shared" si="0"/>
        <v>372383.61824587302</v>
      </c>
      <c r="K13" s="9">
        <f t="shared" si="1"/>
        <v>372383.61824587302</v>
      </c>
      <c r="L13" s="9">
        <f t="shared" si="2"/>
        <v>372383.61824587302</v>
      </c>
      <c r="M13" s="9"/>
      <c r="N13" s="9">
        <f t="shared" si="4"/>
        <v>4137595.7582874778</v>
      </c>
      <c r="O13" s="9">
        <f t="shared" si="4"/>
        <v>4137595.7582874778</v>
      </c>
      <c r="P13" s="9">
        <f t="shared" si="4"/>
        <v>4137595.7582874778</v>
      </c>
      <c r="R13" s="50">
        <f>Fig1_historical_Kaya!$J13</f>
        <v>23.685610716757044</v>
      </c>
      <c r="S13" s="50">
        <f>Fig1_historical_Kaya!$J13</f>
        <v>23.685610716757044</v>
      </c>
      <c r="T13" s="50">
        <f>Fig1_historical_Kaya!$J13</f>
        <v>23.685610716757044</v>
      </c>
      <c r="V13" s="208"/>
      <c r="W13" s="209">
        <f>Fig1_historical_Kaya!$K13</f>
        <v>2.1317049645081343</v>
      </c>
      <c r="X13" s="209">
        <f>Fig1_historical_Kaya!$K13</f>
        <v>2.1317049645081343</v>
      </c>
      <c r="Y13" s="209">
        <f>Fig1_historical_Kaya!$K13</f>
        <v>2.1317049645081343</v>
      </c>
      <c r="AA13" s="31">
        <f>Fig1_historical_Kaya!$L13</f>
        <v>73.598283739851198</v>
      </c>
      <c r="AB13" s="31">
        <f>Fig1_historical_Kaya!$L13</f>
        <v>73.598283739851198</v>
      </c>
      <c r="AC13" s="31">
        <f>Fig1_historical_Kaya!$L13</f>
        <v>73.598283739851198</v>
      </c>
      <c r="AD13" s="9"/>
      <c r="AE13" s="31">
        <f>Fig1_carbon_eq_intensity!$Q13</f>
        <v>125.11708235774705</v>
      </c>
      <c r="AF13" s="31">
        <f>Fig1_carbon_eq_intensity!$Q13</f>
        <v>125.11708235774705</v>
      </c>
      <c r="AG13" s="31">
        <f>Fig1_carbon_eq_intensity!$Q13</f>
        <v>125.11708235774705</v>
      </c>
      <c r="AH13" s="9"/>
      <c r="AI13" s="85"/>
      <c r="AJ13" s="9">
        <f>Fig1_historical_Kaya!$B13/10^3</f>
        <v>0.64914668200000003</v>
      </c>
      <c r="AK13" s="9">
        <f t="shared" si="5"/>
        <v>0.64914668199999992</v>
      </c>
      <c r="AL13" s="9">
        <f t="shared" si="6"/>
        <v>0.64914668199999992</v>
      </c>
      <c r="AN13" s="9">
        <f>Fig1_historical_Kaya!$B13/10^3</f>
        <v>0.64914668200000003</v>
      </c>
      <c r="AO13" s="9">
        <f>Fig1_historical_Kaya!$B13/10^3</f>
        <v>0.64914668200000003</v>
      </c>
      <c r="AP13" s="9">
        <f>Fig1_historical_Kaya!$B13/10^3</f>
        <v>0.64914668200000003</v>
      </c>
      <c r="AR13" s="9">
        <f>Fig1_historical_Kaya!$B13/10^3</f>
        <v>0.64914668200000003</v>
      </c>
      <c r="AS13" s="9">
        <f>Fig1_historical_Kaya!$B13/10^3</f>
        <v>0.64914668200000003</v>
      </c>
      <c r="AT13" s="9">
        <f>Fig1_historical_Kaya!$B13/10^3</f>
        <v>0.64914668200000003</v>
      </c>
      <c r="AV13" s="9">
        <f t="shared" si="7"/>
        <v>1.1035493593999999</v>
      </c>
      <c r="AW13" s="9">
        <f t="shared" si="8"/>
        <v>1.1035493593999999</v>
      </c>
      <c r="AX13" s="9">
        <f t="shared" si="9"/>
        <v>1.1035493593999999</v>
      </c>
      <c r="AY13" s="252"/>
      <c r="AZ13" s="9">
        <f t="shared" si="10"/>
        <v>1.1035493593999999</v>
      </c>
      <c r="BA13" s="9">
        <f t="shared" si="11"/>
        <v>1.1035493593999999</v>
      </c>
      <c r="BB13" s="9">
        <f t="shared" si="12"/>
        <v>1.1035493593999999</v>
      </c>
      <c r="BC13" s="252"/>
      <c r="BD13" s="9">
        <f t="shared" si="13"/>
        <v>1.1035493593999999</v>
      </c>
      <c r="BE13" s="9">
        <f t="shared" si="14"/>
        <v>1.1035493593999999</v>
      </c>
      <c r="BF13" s="9">
        <f t="shared" si="15"/>
        <v>1.1035493593999999</v>
      </c>
    </row>
    <row r="14" spans="1:58" s="5" customFormat="1">
      <c r="A14" s="10">
        <v>2000</v>
      </c>
      <c r="B14" s="9">
        <f>Fig1_historical_Kaya!$C14</f>
        <v>3129.4</v>
      </c>
      <c r="C14" s="9">
        <f>Fig1_historical_Kaya!$C14</f>
        <v>3129.4</v>
      </c>
      <c r="D14" s="9">
        <f>Fig1_historical_Kaya!$C14</f>
        <v>3129.4</v>
      </c>
      <c r="F14" s="9">
        <f>Fig1_historical_Kaya!$E14</f>
        <v>118257.211</v>
      </c>
      <c r="G14" s="9">
        <f>Fig1_historical_Kaya!$E14</f>
        <v>118257.211</v>
      </c>
      <c r="H14" s="9">
        <f>Fig1_historical_Kaya!$E14</f>
        <v>118257.211</v>
      </c>
      <c r="J14" s="9">
        <f t="shared" si="0"/>
        <v>399903.21100000001</v>
      </c>
      <c r="K14" s="9">
        <f t="shared" si="1"/>
        <v>399903.21100000001</v>
      </c>
      <c r="L14" s="9">
        <f t="shared" si="2"/>
        <v>399903.21100000001</v>
      </c>
      <c r="M14" s="9"/>
      <c r="N14" s="9">
        <f t="shared" si="4"/>
        <v>4443369.0111111114</v>
      </c>
      <c r="O14" s="9">
        <f t="shared" si="4"/>
        <v>4443369.0111111114</v>
      </c>
      <c r="P14" s="9">
        <f t="shared" si="4"/>
        <v>4443369.0111111114</v>
      </c>
      <c r="R14" s="50">
        <f>Fig1_historical_Kaya!$J14</f>
        <v>22.819143580846905</v>
      </c>
      <c r="S14" s="50">
        <f>Fig1_historical_Kaya!$J14</f>
        <v>22.819143580846905</v>
      </c>
      <c r="T14" s="50">
        <f>Fig1_historical_Kaya!$J14</f>
        <v>22.819143580846905</v>
      </c>
      <c r="V14" s="208"/>
      <c r="W14" s="209">
        <f>Fig1_historical_Kaya!$K14</f>
        <v>2.0537229222762212</v>
      </c>
      <c r="X14" s="209">
        <f>Fig1_historical_Kaya!$K14</f>
        <v>2.0537229222762212</v>
      </c>
      <c r="Y14" s="209">
        <f>Fig1_historical_Kaya!$K14</f>
        <v>2.0537229222762212</v>
      </c>
      <c r="AA14" s="31">
        <f>Fig1_historical_Kaya!$L14</f>
        <v>73.943957443594542</v>
      </c>
      <c r="AB14" s="31">
        <f>Fig1_historical_Kaya!$L14</f>
        <v>73.943957443594542</v>
      </c>
      <c r="AC14" s="31">
        <f>Fig1_historical_Kaya!$L14</f>
        <v>73.943957443594542</v>
      </c>
      <c r="AD14" s="9"/>
      <c r="AE14" s="31">
        <f>Fig1_carbon_eq_intensity!$Q14</f>
        <v>125.70472765411071</v>
      </c>
      <c r="AF14" s="31">
        <f>Fig1_carbon_eq_intensity!$Q14</f>
        <v>125.70472765411071</v>
      </c>
      <c r="AG14" s="31">
        <f>Fig1_carbon_eq_intensity!$Q14</f>
        <v>125.70472765411071</v>
      </c>
      <c r="AH14" s="9"/>
      <c r="AI14" s="85"/>
      <c r="AJ14" s="9">
        <f>Fig1_historical_Kaya!$B14/10^3</f>
        <v>0.67477179700000012</v>
      </c>
      <c r="AK14" s="9">
        <f t="shared" si="5"/>
        <v>0.67477179700000012</v>
      </c>
      <c r="AL14" s="9">
        <f t="shared" si="6"/>
        <v>0.67477179700000012</v>
      </c>
      <c r="AN14" s="9">
        <f>Fig1_historical_Kaya!$B14/10^3</f>
        <v>0.67477179700000012</v>
      </c>
      <c r="AO14" s="9">
        <f>Fig1_historical_Kaya!$B14/10^3</f>
        <v>0.67477179700000012</v>
      </c>
      <c r="AP14" s="9">
        <f>Fig1_historical_Kaya!$B14/10^3</f>
        <v>0.67477179700000012</v>
      </c>
      <c r="AR14" s="9">
        <f>Fig1_historical_Kaya!$B14/10^3</f>
        <v>0.67477179700000012</v>
      </c>
      <c r="AS14" s="9">
        <f>Fig1_historical_Kaya!$B14/10^3</f>
        <v>0.67477179700000012</v>
      </c>
      <c r="AT14" s="9">
        <f>Fig1_historical_Kaya!$B14/10^3</f>
        <v>0.67477179700000012</v>
      </c>
      <c r="AV14" s="9">
        <f t="shared" si="7"/>
        <v>1.1471120549</v>
      </c>
      <c r="AW14" s="9">
        <f t="shared" si="8"/>
        <v>1.1471120549</v>
      </c>
      <c r="AX14" s="9">
        <f t="shared" si="9"/>
        <v>1.1471120549</v>
      </c>
      <c r="AY14" s="252"/>
      <c r="AZ14" s="9">
        <f t="shared" si="10"/>
        <v>1.1471120549</v>
      </c>
      <c r="BA14" s="9">
        <f t="shared" si="11"/>
        <v>1.1471120549</v>
      </c>
      <c r="BB14" s="9">
        <f t="shared" si="12"/>
        <v>1.1471120549</v>
      </c>
      <c r="BC14" s="252"/>
      <c r="BD14" s="9">
        <f t="shared" si="13"/>
        <v>1.1471120549</v>
      </c>
      <c r="BE14" s="9">
        <f t="shared" si="14"/>
        <v>1.1471120549</v>
      </c>
      <c r="BF14" s="9">
        <f t="shared" si="15"/>
        <v>1.1471120549</v>
      </c>
    </row>
    <row r="15" spans="1:58" s="5" customFormat="1">
      <c r="A15" s="10">
        <v>2001</v>
      </c>
      <c r="B15" s="9">
        <f>Fig1_historical_Kaya!$C15</f>
        <v>3038.6</v>
      </c>
      <c r="C15" s="9">
        <f>Fig1_historical_Kaya!$C15</f>
        <v>3038.6</v>
      </c>
      <c r="D15" s="9">
        <f>Fig1_historical_Kaya!$C15</f>
        <v>3038.6</v>
      </c>
      <c r="F15" s="9">
        <f>Fig1_historical_Kaya!$E15</f>
        <v>110860.835000095</v>
      </c>
      <c r="G15" s="9">
        <f>Fig1_historical_Kaya!$E15</f>
        <v>110860.835000095</v>
      </c>
      <c r="H15" s="9">
        <f>Fig1_historical_Kaya!$E15</f>
        <v>110860.835000095</v>
      </c>
      <c r="J15" s="9">
        <f t="shared" si="0"/>
        <v>384334.83500009502</v>
      </c>
      <c r="K15" s="9">
        <f t="shared" si="1"/>
        <v>384334.83500009502</v>
      </c>
      <c r="L15" s="9">
        <f t="shared" si="2"/>
        <v>384334.83500009502</v>
      </c>
      <c r="M15" s="9"/>
      <c r="N15" s="9">
        <f t="shared" si="4"/>
        <v>4270387.0555566112</v>
      </c>
      <c r="O15" s="9">
        <f t="shared" si="4"/>
        <v>4270387.0555566112</v>
      </c>
      <c r="P15" s="9">
        <f t="shared" si="4"/>
        <v>4270387.0555566112</v>
      </c>
      <c r="R15" s="50">
        <f>Fig1_historical_Kaya!$J15</f>
        <v>23.260773823128829</v>
      </c>
      <c r="S15" s="50">
        <f>Fig1_historical_Kaya!$J15</f>
        <v>23.260773823128829</v>
      </c>
      <c r="T15" s="50">
        <f>Fig1_historical_Kaya!$J15</f>
        <v>23.260773823128829</v>
      </c>
      <c r="V15" s="208"/>
      <c r="W15" s="209">
        <f>Fig1_historical_Kaya!$K15</f>
        <v>2.0934696440815945</v>
      </c>
      <c r="X15" s="209">
        <f>Fig1_historical_Kaya!$K15</f>
        <v>2.0934696440815945</v>
      </c>
      <c r="Y15" s="209">
        <f>Fig1_historical_Kaya!$K15</f>
        <v>2.0934696440815945</v>
      </c>
      <c r="AA15" s="31">
        <f>Fig1_historical_Kaya!$L15</f>
        <v>73.758629365942866</v>
      </c>
      <c r="AB15" s="31">
        <f>Fig1_historical_Kaya!$L15</f>
        <v>73.758629365942866</v>
      </c>
      <c r="AC15" s="31">
        <f>Fig1_historical_Kaya!$L15</f>
        <v>73.758629365942866</v>
      </c>
      <c r="AD15" s="9"/>
      <c r="AE15" s="31">
        <f>Fig1_carbon_eq_intensity!$Q15</f>
        <v>125.38966992210287</v>
      </c>
      <c r="AF15" s="31">
        <f>Fig1_carbon_eq_intensity!$Q15</f>
        <v>125.38966992210287</v>
      </c>
      <c r="AG15" s="31">
        <f>Fig1_carbon_eq_intensity!$Q15</f>
        <v>125.38966992210287</v>
      </c>
      <c r="AH15" s="9"/>
      <c r="AI15" s="85"/>
      <c r="AJ15" s="9">
        <f>Fig1_historical_Kaya!$B15/10^3</f>
        <v>0.65939666399999997</v>
      </c>
      <c r="AK15" s="9">
        <f t="shared" si="5"/>
        <v>0.65939666399999997</v>
      </c>
      <c r="AL15" s="9">
        <f t="shared" si="6"/>
        <v>0.65939666399999997</v>
      </c>
      <c r="AN15" s="9">
        <f>Fig1_historical_Kaya!$B15/10^3</f>
        <v>0.65939666399999997</v>
      </c>
      <c r="AO15" s="9">
        <f>Fig1_historical_Kaya!$B15/10^3</f>
        <v>0.65939666399999997</v>
      </c>
      <c r="AP15" s="9">
        <f>Fig1_historical_Kaya!$B15/10^3</f>
        <v>0.65939666399999997</v>
      </c>
      <c r="AR15" s="9">
        <f>Fig1_historical_Kaya!$B15/10^3</f>
        <v>0.65939666399999997</v>
      </c>
      <c r="AS15" s="9">
        <f>Fig1_historical_Kaya!$B15/10^3</f>
        <v>0.65939666399999997</v>
      </c>
      <c r="AT15" s="9">
        <f>Fig1_historical_Kaya!$B15/10^3</f>
        <v>0.65939666399999997</v>
      </c>
      <c r="AV15" s="9">
        <f t="shared" si="7"/>
        <v>1.1209743288</v>
      </c>
      <c r="AW15" s="9">
        <f t="shared" si="8"/>
        <v>1.1209743288</v>
      </c>
      <c r="AX15" s="9">
        <f t="shared" si="9"/>
        <v>1.1209743288</v>
      </c>
      <c r="AY15" s="252"/>
      <c r="AZ15" s="9">
        <f t="shared" si="10"/>
        <v>1.1209743288</v>
      </c>
      <c r="BA15" s="9">
        <f t="shared" si="11"/>
        <v>1.1209743288</v>
      </c>
      <c r="BB15" s="9">
        <f t="shared" si="12"/>
        <v>1.1209743288</v>
      </c>
      <c r="BC15" s="252"/>
      <c r="BD15" s="9">
        <f t="shared" si="13"/>
        <v>1.1209743288</v>
      </c>
      <c r="BE15" s="9">
        <f t="shared" si="14"/>
        <v>1.1209743288</v>
      </c>
      <c r="BF15" s="9">
        <f t="shared" si="15"/>
        <v>1.1209743288</v>
      </c>
    </row>
    <row r="16" spans="1:58" s="5" customFormat="1">
      <c r="A16" s="10">
        <v>2002</v>
      </c>
      <c r="B16" s="9">
        <f>Fig1_historical_Kaya!$C16</f>
        <v>3069.8</v>
      </c>
      <c r="C16" s="9">
        <f>Fig1_historical_Kaya!$C16</f>
        <v>3069.8</v>
      </c>
      <c r="D16" s="9">
        <f>Fig1_historical_Kaya!$C16</f>
        <v>3069.8</v>
      </c>
      <c r="F16" s="9">
        <f>Fig1_historical_Kaya!$E16</f>
        <v>117506.673</v>
      </c>
      <c r="G16" s="9">
        <f>Fig1_historical_Kaya!$E16</f>
        <v>117506.673</v>
      </c>
      <c r="H16" s="9">
        <f>Fig1_historical_Kaya!$E16</f>
        <v>117506.673</v>
      </c>
      <c r="J16" s="9">
        <f t="shared" si="0"/>
        <v>393788.67300000001</v>
      </c>
      <c r="K16" s="9">
        <f t="shared" si="1"/>
        <v>393788.67300000001</v>
      </c>
      <c r="L16" s="9">
        <f t="shared" si="2"/>
        <v>393788.67300000001</v>
      </c>
      <c r="M16" s="9"/>
      <c r="N16" s="9">
        <f t="shared" si="4"/>
        <v>4375429.7</v>
      </c>
      <c r="O16" s="9">
        <f t="shared" si="4"/>
        <v>4375429.7</v>
      </c>
      <c r="P16" s="9">
        <f t="shared" si="4"/>
        <v>4375429.7</v>
      </c>
      <c r="R16" s="50">
        <f>Fig1_historical_Kaya!$J16</f>
        <v>22.886139708106437</v>
      </c>
      <c r="S16" s="50">
        <f>Fig1_historical_Kaya!$J16</f>
        <v>22.886139708106437</v>
      </c>
      <c r="T16" s="50">
        <f>Fig1_historical_Kaya!$J16</f>
        <v>22.886139708106437</v>
      </c>
      <c r="V16" s="208"/>
      <c r="W16" s="209">
        <f>Fig1_historical_Kaya!$K16</f>
        <v>2.0597525737295794</v>
      </c>
      <c r="X16" s="209">
        <f>Fig1_historical_Kaya!$K16</f>
        <v>2.0597525737295794</v>
      </c>
      <c r="Y16" s="209">
        <f>Fig1_historical_Kaya!$K16</f>
        <v>2.0597525737295794</v>
      </c>
      <c r="AA16" s="31">
        <f>Fig1_historical_Kaya!$L16</f>
        <v>73.83356424941698</v>
      </c>
      <c r="AB16" s="31">
        <f>Fig1_historical_Kaya!$L16</f>
        <v>73.83356424941698</v>
      </c>
      <c r="AC16" s="31">
        <f>Fig1_historical_Kaya!$L16</f>
        <v>73.83356424941698</v>
      </c>
      <c r="AD16" s="9"/>
      <c r="AE16" s="31">
        <f>Fig1_carbon_eq_intensity!$Q16</f>
        <v>125.51705922400888</v>
      </c>
      <c r="AF16" s="31">
        <f>Fig1_carbon_eq_intensity!$Q16</f>
        <v>125.51705922400888</v>
      </c>
      <c r="AG16" s="31">
        <f>Fig1_carbon_eq_intensity!$Q16</f>
        <v>125.51705922400888</v>
      </c>
      <c r="AH16" s="9"/>
      <c r="AI16" s="85"/>
      <c r="AJ16" s="9">
        <f>Fig1_historical_Kaya!$B16/10^3</f>
        <v>0.665410422</v>
      </c>
      <c r="AK16" s="9">
        <f t="shared" si="5"/>
        <v>0.665410422</v>
      </c>
      <c r="AL16" s="9">
        <f t="shared" si="6"/>
        <v>0.665410422</v>
      </c>
      <c r="AN16" s="9">
        <f>Fig1_historical_Kaya!$B16/10^3</f>
        <v>0.665410422</v>
      </c>
      <c r="AO16" s="9">
        <f>Fig1_historical_Kaya!$B16/10^3</f>
        <v>0.665410422</v>
      </c>
      <c r="AP16" s="9">
        <f>Fig1_historical_Kaya!$B16/10^3</f>
        <v>0.665410422</v>
      </c>
      <c r="AR16" s="9">
        <f>Fig1_historical_Kaya!$B16/10^3</f>
        <v>0.665410422</v>
      </c>
      <c r="AS16" s="9">
        <f>Fig1_historical_Kaya!$B16/10^3</f>
        <v>0.665410422</v>
      </c>
      <c r="AT16" s="9">
        <f>Fig1_historical_Kaya!$B16/10^3</f>
        <v>0.665410422</v>
      </c>
      <c r="AV16" s="9">
        <f t="shared" si="7"/>
        <v>1.1311977174000001</v>
      </c>
      <c r="AW16" s="9">
        <f t="shared" si="8"/>
        <v>1.1311977174000001</v>
      </c>
      <c r="AX16" s="9">
        <f t="shared" si="9"/>
        <v>1.1311977174000001</v>
      </c>
      <c r="AY16" s="252"/>
      <c r="AZ16" s="9">
        <f t="shared" si="10"/>
        <v>1.1311977174000001</v>
      </c>
      <c r="BA16" s="9">
        <f t="shared" si="11"/>
        <v>1.1311977174000001</v>
      </c>
      <c r="BB16" s="9">
        <f t="shared" si="12"/>
        <v>1.1311977174000001</v>
      </c>
      <c r="BC16" s="252"/>
      <c r="BD16" s="9">
        <f t="shared" si="13"/>
        <v>1.1311977174000001</v>
      </c>
      <c r="BE16" s="9">
        <f t="shared" si="14"/>
        <v>1.1311977174000001</v>
      </c>
      <c r="BF16" s="9">
        <f t="shared" si="15"/>
        <v>1.1311977174000001</v>
      </c>
    </row>
    <row r="17" spans="1:58" s="5" customFormat="1">
      <c r="A17" s="10">
        <v>2003</v>
      </c>
      <c r="B17" s="9">
        <f>Fig1_historical_Kaya!$C17</f>
        <v>3177.2</v>
      </c>
      <c r="C17" s="9">
        <f>Fig1_historical_Kaya!$C17</f>
        <v>3177.2</v>
      </c>
      <c r="D17" s="9">
        <f>Fig1_historical_Kaya!$C17</f>
        <v>3177.2</v>
      </c>
      <c r="F17" s="9">
        <f>Fig1_historical_Kaya!$E17</f>
        <v>124203.19899999999</v>
      </c>
      <c r="G17" s="9">
        <f>Fig1_historical_Kaya!$E17</f>
        <v>124203.19899999999</v>
      </c>
      <c r="H17" s="9">
        <f>Fig1_historical_Kaya!$E17</f>
        <v>124203.19899999999</v>
      </c>
      <c r="J17" s="9">
        <f t="shared" si="0"/>
        <v>410151.19900000002</v>
      </c>
      <c r="K17" s="9">
        <f t="shared" si="1"/>
        <v>410151.19900000002</v>
      </c>
      <c r="L17" s="9">
        <f t="shared" si="2"/>
        <v>410151.19900000002</v>
      </c>
      <c r="M17" s="9"/>
      <c r="N17" s="9">
        <f t="shared" si="4"/>
        <v>4557235.5444444446</v>
      </c>
      <c r="O17" s="9">
        <f t="shared" si="4"/>
        <v>4557235.5444444446</v>
      </c>
      <c r="P17" s="9">
        <f t="shared" si="4"/>
        <v>4557235.5444444446</v>
      </c>
      <c r="R17" s="50">
        <f>Fig1_historical_Kaya!$J17</f>
        <v>21.848733076497489</v>
      </c>
      <c r="S17" s="50">
        <f>Fig1_historical_Kaya!$J17</f>
        <v>21.848733076497489</v>
      </c>
      <c r="T17" s="50">
        <f>Fig1_historical_Kaya!$J17</f>
        <v>21.848733076497489</v>
      </c>
      <c r="V17" s="208"/>
      <c r="W17" s="209">
        <f>Fig1_historical_Kaya!$K17</f>
        <v>1.9663859768847742</v>
      </c>
      <c r="X17" s="209">
        <f>Fig1_historical_Kaya!$K17</f>
        <v>1.9663859768847742</v>
      </c>
      <c r="Y17" s="209">
        <f>Fig1_historical_Kaya!$K17</f>
        <v>1.9663859768847742</v>
      </c>
      <c r="AA17" s="31">
        <f>Fig1_historical_Kaya!$L17</f>
        <v>73.790016138925623</v>
      </c>
      <c r="AB17" s="31">
        <f>Fig1_historical_Kaya!$L17</f>
        <v>73.790016138925623</v>
      </c>
      <c r="AC17" s="31">
        <f>Fig1_historical_Kaya!$L17</f>
        <v>73.790016138925623</v>
      </c>
      <c r="AD17" s="9"/>
      <c r="AE17" s="31">
        <f>Fig1_carbon_eq_intensity!$Q17</f>
        <v>125.44302743617355</v>
      </c>
      <c r="AF17" s="31">
        <f>Fig1_carbon_eq_intensity!$Q17</f>
        <v>125.44302743617355</v>
      </c>
      <c r="AG17" s="31">
        <f>Fig1_carbon_eq_intensity!$Q17</f>
        <v>125.44302743617355</v>
      </c>
      <c r="AH17" s="9"/>
      <c r="AI17" s="85"/>
      <c r="AJ17" s="9">
        <f>Fig1_historical_Kaya!$B17/10^3</f>
        <v>0.66125329600000005</v>
      </c>
      <c r="AK17" s="9">
        <f t="shared" si="5"/>
        <v>0.66125329600000016</v>
      </c>
      <c r="AL17" s="9">
        <f t="shared" si="6"/>
        <v>0.66125329600000016</v>
      </c>
      <c r="AN17" s="9">
        <f>Fig1_historical_Kaya!$B17/10^3</f>
        <v>0.66125329600000005</v>
      </c>
      <c r="AO17" s="9">
        <f>Fig1_historical_Kaya!$B17/10^3</f>
        <v>0.66125329600000005</v>
      </c>
      <c r="AP17" s="9">
        <f>Fig1_historical_Kaya!$B17/10^3</f>
        <v>0.66125329600000005</v>
      </c>
      <c r="AR17" s="9">
        <f>Fig1_historical_Kaya!$B17/10^3</f>
        <v>0.66125329600000005</v>
      </c>
      <c r="AS17" s="9">
        <f>Fig1_historical_Kaya!$B17/10^3</f>
        <v>0.66125329600000005</v>
      </c>
      <c r="AT17" s="9">
        <f>Fig1_historical_Kaya!$B17/10^3</f>
        <v>0.66125329600000005</v>
      </c>
      <c r="AV17" s="9">
        <f t="shared" si="7"/>
        <v>1.1241306032000002</v>
      </c>
      <c r="AW17" s="9">
        <f t="shared" si="8"/>
        <v>1.1241306032000002</v>
      </c>
      <c r="AX17" s="9">
        <f t="shared" si="9"/>
        <v>1.1241306032000002</v>
      </c>
      <c r="AY17" s="252"/>
      <c r="AZ17" s="9">
        <f t="shared" si="10"/>
        <v>1.1241306032000002</v>
      </c>
      <c r="BA17" s="9">
        <f t="shared" si="11"/>
        <v>1.1241306032000002</v>
      </c>
      <c r="BB17" s="9">
        <f t="shared" si="12"/>
        <v>1.1241306032000002</v>
      </c>
      <c r="BC17" s="252"/>
      <c r="BD17" s="9">
        <f t="shared" si="13"/>
        <v>1.1241306032000002</v>
      </c>
      <c r="BE17" s="9">
        <f t="shared" si="14"/>
        <v>1.1241306032000002</v>
      </c>
      <c r="BF17" s="9">
        <f t="shared" si="15"/>
        <v>1.1241306032000002</v>
      </c>
    </row>
    <row r="18" spans="1:58" s="5" customFormat="1">
      <c r="A18" s="10">
        <v>2004</v>
      </c>
      <c r="B18" s="9">
        <f>Fig1_historical_Kaya!$C18</f>
        <v>3589.5</v>
      </c>
      <c r="C18" s="9">
        <f>Fig1_historical_Kaya!$C18</f>
        <v>3589.5</v>
      </c>
      <c r="D18" s="9">
        <f>Fig1_historical_Kaya!$C18</f>
        <v>3589.5</v>
      </c>
      <c r="F18" s="9">
        <f>Fig1_historical_Kaya!$E18</f>
        <v>139032.94</v>
      </c>
      <c r="G18" s="9">
        <f>Fig1_historical_Kaya!$E18</f>
        <v>139032.94</v>
      </c>
      <c r="H18" s="9">
        <f>Fig1_historical_Kaya!$E18</f>
        <v>139032.94</v>
      </c>
      <c r="J18" s="9">
        <f t="shared" si="0"/>
        <v>462087.94</v>
      </c>
      <c r="K18" s="9">
        <f t="shared" si="1"/>
        <v>462087.94</v>
      </c>
      <c r="L18" s="9">
        <f t="shared" si="2"/>
        <v>462087.94</v>
      </c>
      <c r="M18" s="9"/>
      <c r="N18" s="9">
        <f t="shared" si="4"/>
        <v>5134310.444444444</v>
      </c>
      <c r="O18" s="9">
        <f t="shared" si="4"/>
        <v>5134310.444444444</v>
      </c>
      <c r="P18" s="9">
        <f t="shared" si="4"/>
        <v>5134310.444444444</v>
      </c>
      <c r="R18" s="50">
        <f>Fig1_historical_Kaya!$J18</f>
        <v>20.631340903864153</v>
      </c>
      <c r="S18" s="50">
        <f>Fig1_historical_Kaya!$J18</f>
        <v>20.631340903864153</v>
      </c>
      <c r="T18" s="50">
        <f>Fig1_historical_Kaya!$J18</f>
        <v>20.631340903864153</v>
      </c>
      <c r="V18" s="208"/>
      <c r="W18" s="209">
        <f>Fig1_historical_Kaya!$K18</f>
        <v>1.8568206813477737</v>
      </c>
      <c r="X18" s="209">
        <f>Fig1_historical_Kaya!$K18</f>
        <v>1.8568206813477737</v>
      </c>
      <c r="Y18" s="209">
        <f>Fig1_historical_Kaya!$K18</f>
        <v>1.8568206813477737</v>
      </c>
      <c r="AA18" s="31">
        <f>Fig1_historical_Kaya!$L18</f>
        <v>73.837661140845782</v>
      </c>
      <c r="AB18" s="31">
        <f>Fig1_historical_Kaya!$L18</f>
        <v>73.837661140845782</v>
      </c>
      <c r="AC18" s="31">
        <f>Fig1_historical_Kaya!$L18</f>
        <v>73.837661140845782</v>
      </c>
      <c r="AD18" s="9"/>
      <c r="AE18" s="31">
        <f>Fig1_carbon_eq_intensity!$Q18</f>
        <v>125.52402393943781</v>
      </c>
      <c r="AF18" s="31">
        <f>Fig1_carbon_eq_intensity!$Q18</f>
        <v>125.52402393943781</v>
      </c>
      <c r="AG18" s="31">
        <f>Fig1_carbon_eq_intensity!$Q18</f>
        <v>125.52402393943781</v>
      </c>
      <c r="AH18" s="9"/>
      <c r="AI18" s="85"/>
      <c r="AJ18" s="9">
        <f>Fig1_historical_Kaya!$B18/10^3</f>
        <v>0.70393088600000009</v>
      </c>
      <c r="AK18" s="9">
        <f t="shared" si="5"/>
        <v>0.70393088599999998</v>
      </c>
      <c r="AL18" s="9">
        <f t="shared" si="6"/>
        <v>0.70393088599999998</v>
      </c>
      <c r="AN18" s="9">
        <f>Fig1_historical_Kaya!$B18/10^3</f>
        <v>0.70393088600000009</v>
      </c>
      <c r="AO18" s="9">
        <f>Fig1_historical_Kaya!$B18/10^3</f>
        <v>0.70393088600000009</v>
      </c>
      <c r="AP18" s="9">
        <f>Fig1_historical_Kaya!$B18/10^3</f>
        <v>0.70393088600000009</v>
      </c>
      <c r="AR18" s="9">
        <f>Fig1_historical_Kaya!$B18/10^3</f>
        <v>0.70393088600000009</v>
      </c>
      <c r="AS18" s="9">
        <f>Fig1_historical_Kaya!$B18/10^3</f>
        <v>0.70393088600000009</v>
      </c>
      <c r="AT18" s="9">
        <f>Fig1_historical_Kaya!$B18/10^3</f>
        <v>0.70393088600000009</v>
      </c>
      <c r="AV18" s="9">
        <f t="shared" si="7"/>
        <v>1.1966825061999997</v>
      </c>
      <c r="AW18" s="9">
        <f t="shared" si="8"/>
        <v>1.1966825061999997</v>
      </c>
      <c r="AX18" s="9">
        <f t="shared" si="9"/>
        <v>1.1966825061999997</v>
      </c>
      <c r="AY18" s="252"/>
      <c r="AZ18" s="9">
        <f t="shared" si="10"/>
        <v>1.1966825061999997</v>
      </c>
      <c r="BA18" s="9">
        <f t="shared" si="11"/>
        <v>1.1966825061999997</v>
      </c>
      <c r="BB18" s="9">
        <f t="shared" si="12"/>
        <v>1.1966825061999997</v>
      </c>
      <c r="BC18" s="252"/>
      <c r="BD18" s="9">
        <f t="shared" si="13"/>
        <v>1.1966825061999997</v>
      </c>
      <c r="BE18" s="9">
        <f t="shared" si="14"/>
        <v>1.1966825061999997</v>
      </c>
      <c r="BF18" s="9">
        <f t="shared" si="15"/>
        <v>1.1966825061999997</v>
      </c>
    </row>
    <row r="19" spans="1:58" s="5" customFormat="1">
      <c r="A19" s="10">
        <v>2005</v>
      </c>
      <c r="B19" s="9">
        <f>Fig1_historical_Kaya!$C19</f>
        <v>3879.8</v>
      </c>
      <c r="C19" s="9">
        <f>Fig1_historical_Kaya!$C19</f>
        <v>3879.8</v>
      </c>
      <c r="D19" s="9">
        <f>Fig1_historical_Kaya!$C19</f>
        <v>3879.8</v>
      </c>
      <c r="F19" s="9">
        <f>Fig1_historical_Kaya!$E19</f>
        <v>141483.603</v>
      </c>
      <c r="G19" s="9">
        <f>Fig1_historical_Kaya!$E19</f>
        <v>141483.603</v>
      </c>
      <c r="H19" s="9">
        <f>Fig1_historical_Kaya!$E19</f>
        <v>141483.603</v>
      </c>
      <c r="J19" s="9">
        <f t="shared" si="0"/>
        <v>490665.603</v>
      </c>
      <c r="K19" s="9">
        <f t="shared" si="1"/>
        <v>490665.603</v>
      </c>
      <c r="L19" s="9">
        <f t="shared" si="2"/>
        <v>490665.603</v>
      </c>
      <c r="M19" s="9"/>
      <c r="N19" s="9">
        <f t="shared" si="4"/>
        <v>5451840.0333333332</v>
      </c>
      <c r="O19" s="9">
        <f t="shared" si="4"/>
        <v>5451840.0333333332</v>
      </c>
      <c r="P19" s="9">
        <f t="shared" si="4"/>
        <v>5451840.0333333332</v>
      </c>
      <c r="R19" s="50">
        <f>Fig1_historical_Kaya!$J19</f>
        <v>20.284318316323407</v>
      </c>
      <c r="S19" s="50">
        <f>Fig1_historical_Kaya!$J19</f>
        <v>20.284318316323407</v>
      </c>
      <c r="T19" s="50">
        <f>Fig1_historical_Kaya!$J19</f>
        <v>20.284318316323407</v>
      </c>
      <c r="V19" s="208"/>
      <c r="W19" s="209">
        <f>Fig1_historical_Kaya!$K19</f>
        <v>1.8255886484691068</v>
      </c>
      <c r="X19" s="209">
        <f>Fig1_historical_Kaya!$K19</f>
        <v>1.8255886484691068</v>
      </c>
      <c r="Y19" s="209">
        <f>Fig1_historical_Kaya!$K19</f>
        <v>1.8255886484691068</v>
      </c>
      <c r="AA19" s="31">
        <f>Fig1_historical_Kaya!$L19</f>
        <v>73.552320668954806</v>
      </c>
      <c r="AB19" s="31">
        <f>Fig1_historical_Kaya!$L19</f>
        <v>73.552320668954806</v>
      </c>
      <c r="AC19" s="31">
        <f>Fig1_historical_Kaya!$L19</f>
        <v>73.552320668954806</v>
      </c>
      <c r="AD19" s="9"/>
      <c r="AE19" s="31">
        <f>Fig1_carbon_eq_intensity!$Q19</f>
        <v>125.03894513722315</v>
      </c>
      <c r="AF19" s="31">
        <f>Fig1_carbon_eq_intensity!$Q19</f>
        <v>125.03894513722315</v>
      </c>
      <c r="AG19" s="31">
        <f>Fig1_carbon_eq_intensity!$Q19</f>
        <v>125.03894513722315</v>
      </c>
      <c r="AH19" s="9"/>
      <c r="AI19" s="85"/>
      <c r="AJ19" s="9">
        <f>Fig1_historical_Kaya!$B19/10^3</f>
        <v>0.73205280799999994</v>
      </c>
      <c r="AK19" s="9">
        <f t="shared" si="5"/>
        <v>0.73205280799999983</v>
      </c>
      <c r="AL19" s="9">
        <f t="shared" si="6"/>
        <v>0.73205280799999983</v>
      </c>
      <c r="AN19" s="9">
        <f>Fig1_historical_Kaya!$B19/10^3</f>
        <v>0.73205280799999994</v>
      </c>
      <c r="AO19" s="9">
        <f>Fig1_historical_Kaya!$B19/10^3</f>
        <v>0.73205280799999994</v>
      </c>
      <c r="AP19" s="9">
        <f>Fig1_historical_Kaya!$B19/10^3</f>
        <v>0.73205280799999994</v>
      </c>
      <c r="AR19" s="9">
        <f>Fig1_historical_Kaya!$B19/10^3</f>
        <v>0.73205280799999994</v>
      </c>
      <c r="AS19" s="9">
        <f>Fig1_historical_Kaya!$B19/10^3</f>
        <v>0.73205280799999994</v>
      </c>
      <c r="AT19" s="9">
        <f>Fig1_historical_Kaya!$B19/10^3</f>
        <v>0.73205280799999994</v>
      </c>
      <c r="AV19" s="9">
        <f t="shared" si="7"/>
        <v>1.2444897735999996</v>
      </c>
      <c r="AW19" s="9">
        <f t="shared" si="8"/>
        <v>1.2444897735999996</v>
      </c>
      <c r="AX19" s="9">
        <f t="shared" si="9"/>
        <v>1.2444897735999996</v>
      </c>
      <c r="AY19" s="252"/>
      <c r="AZ19" s="9">
        <f t="shared" si="10"/>
        <v>1.2444897735999996</v>
      </c>
      <c r="BA19" s="9">
        <f t="shared" si="11"/>
        <v>1.2444897735999996</v>
      </c>
      <c r="BB19" s="9">
        <f t="shared" si="12"/>
        <v>1.2444897735999996</v>
      </c>
      <c r="BC19" s="252"/>
      <c r="BD19" s="9">
        <f t="shared" si="13"/>
        <v>1.2444897735999996</v>
      </c>
      <c r="BE19" s="9">
        <f t="shared" si="14"/>
        <v>1.2444897735999996</v>
      </c>
      <c r="BF19" s="9">
        <f t="shared" si="15"/>
        <v>1.2444897735999996</v>
      </c>
    </row>
    <row r="20" spans="1:58" s="5" customFormat="1">
      <c r="A20" s="10">
        <v>2006</v>
      </c>
      <c r="B20" s="9">
        <f>Fig1_historical_Kaya!$C20</f>
        <v>4124.5</v>
      </c>
      <c r="C20" s="9">
        <f>Fig1_historical_Kaya!$C20</f>
        <v>4124.5</v>
      </c>
      <c r="D20" s="9">
        <f>Fig1_historical_Kaya!$C20</f>
        <v>4124.5</v>
      </c>
      <c r="F20" s="9">
        <f>Fig1_historical_Kaya!$E20</f>
        <v>148937.60399999999</v>
      </c>
      <c r="G20" s="9">
        <f>Fig1_historical_Kaya!$E20</f>
        <v>148937.60399999999</v>
      </c>
      <c r="H20" s="9">
        <f>Fig1_historical_Kaya!$E20</f>
        <v>148937.60399999999</v>
      </c>
      <c r="J20" s="9">
        <f t="shared" si="0"/>
        <v>520142.60399999999</v>
      </c>
      <c r="K20" s="9">
        <f t="shared" si="1"/>
        <v>520142.60399999999</v>
      </c>
      <c r="L20" s="9">
        <f t="shared" si="2"/>
        <v>520142.60399999999</v>
      </c>
      <c r="M20" s="9"/>
      <c r="N20" s="9">
        <f t="shared" si="4"/>
        <v>5779362.2666666666</v>
      </c>
      <c r="O20" s="9">
        <f t="shared" si="4"/>
        <v>5779362.2666666666</v>
      </c>
      <c r="P20" s="9">
        <f t="shared" si="4"/>
        <v>5779362.2666666666</v>
      </c>
      <c r="R20" s="50">
        <f>Fig1_historical_Kaya!$J20</f>
        <v>19.352307452012091</v>
      </c>
      <c r="S20" s="50">
        <f>Fig1_historical_Kaya!$J20</f>
        <v>19.352307452012091</v>
      </c>
      <c r="T20" s="50">
        <f>Fig1_historical_Kaya!$J20</f>
        <v>19.352307452012091</v>
      </c>
      <c r="V20" s="208"/>
      <c r="W20" s="209">
        <f>Fig1_historical_Kaya!$K20</f>
        <v>1.7417076706810881</v>
      </c>
      <c r="X20" s="209">
        <f>Fig1_historical_Kaya!$K20</f>
        <v>1.7417076706810881</v>
      </c>
      <c r="Y20" s="209">
        <f>Fig1_historical_Kaya!$K20</f>
        <v>1.7417076706810881</v>
      </c>
      <c r="AA20" s="31">
        <f>Fig1_historical_Kaya!$L20</f>
        <v>73.602091908430879</v>
      </c>
      <c r="AB20" s="31">
        <f>Fig1_historical_Kaya!$L20</f>
        <v>73.602091908430879</v>
      </c>
      <c r="AC20" s="31">
        <f>Fig1_historical_Kaya!$L20</f>
        <v>73.602091908430879</v>
      </c>
      <c r="AD20" s="9"/>
      <c r="AE20" s="31">
        <f>Fig1_carbon_eq_intensity!$Q20</f>
        <v>125.12355624433249</v>
      </c>
      <c r="AF20" s="31">
        <f>Fig1_carbon_eq_intensity!$Q20</f>
        <v>125.12355624433249</v>
      </c>
      <c r="AG20" s="31">
        <f>Fig1_carbon_eq_intensity!$Q20</f>
        <v>125.12355624433249</v>
      </c>
      <c r="AH20" s="9"/>
      <c r="AI20" s="85"/>
      <c r="AJ20" s="9">
        <f>Fig1_historical_Kaya!$B20/10^3</f>
        <v>0.74087568299999995</v>
      </c>
      <c r="AK20" s="9">
        <f t="shared" si="5"/>
        <v>0.74087568299999984</v>
      </c>
      <c r="AL20" s="9">
        <f t="shared" si="6"/>
        <v>0.74087568299999984</v>
      </c>
      <c r="AN20" s="9">
        <f>Fig1_historical_Kaya!$B20/10^3</f>
        <v>0.74087568299999995</v>
      </c>
      <c r="AO20" s="9">
        <f>Fig1_historical_Kaya!$B20/10^3</f>
        <v>0.74087568299999995</v>
      </c>
      <c r="AP20" s="9">
        <f>Fig1_historical_Kaya!$B20/10^3</f>
        <v>0.74087568299999995</v>
      </c>
      <c r="AR20" s="9">
        <f>Fig1_historical_Kaya!$B20/10^3</f>
        <v>0.74087568299999995</v>
      </c>
      <c r="AS20" s="9">
        <f>Fig1_historical_Kaya!$B20/10^3</f>
        <v>0.74087568299999995</v>
      </c>
      <c r="AT20" s="9">
        <f>Fig1_historical_Kaya!$B20/10^3</f>
        <v>0.74087568299999995</v>
      </c>
      <c r="AV20" s="9">
        <f t="shared" si="7"/>
        <v>1.2594886610999998</v>
      </c>
      <c r="AW20" s="9">
        <f t="shared" si="8"/>
        <v>1.2594886610999998</v>
      </c>
      <c r="AX20" s="9">
        <f t="shared" si="9"/>
        <v>1.2594886610999998</v>
      </c>
      <c r="AY20" s="252"/>
      <c r="AZ20" s="9">
        <f t="shared" si="10"/>
        <v>1.2594886610999998</v>
      </c>
      <c r="BA20" s="9">
        <f t="shared" si="11"/>
        <v>1.2594886610999998</v>
      </c>
      <c r="BB20" s="9">
        <f t="shared" si="12"/>
        <v>1.2594886610999998</v>
      </c>
      <c r="BC20" s="252"/>
      <c r="BD20" s="9">
        <f t="shared" si="13"/>
        <v>1.2594886610999998</v>
      </c>
      <c r="BE20" s="9">
        <f t="shared" si="14"/>
        <v>1.2594886610999998</v>
      </c>
      <c r="BF20" s="9">
        <f t="shared" si="15"/>
        <v>1.2594886610999998</v>
      </c>
    </row>
    <row r="21" spans="1:58" s="5" customFormat="1">
      <c r="A21" s="10">
        <v>2007</v>
      </c>
      <c r="B21" s="9">
        <f>Fig1_historical_Kaya!$C21</f>
        <v>4414.8</v>
      </c>
      <c r="C21" s="9">
        <f>Fig1_historical_Kaya!$C21</f>
        <v>4414.8</v>
      </c>
      <c r="D21" s="9">
        <f>Fig1_historical_Kaya!$C21</f>
        <v>4414.8</v>
      </c>
      <c r="F21" s="9">
        <f>Fig1_historical_Kaya!$E21</f>
        <v>158205.946</v>
      </c>
      <c r="G21" s="9">
        <f>Fig1_historical_Kaya!$E21</f>
        <v>158205.946</v>
      </c>
      <c r="H21" s="9">
        <f>Fig1_historical_Kaya!$E21</f>
        <v>158205.946</v>
      </c>
      <c r="J21" s="9">
        <f t="shared" si="0"/>
        <v>555537.946</v>
      </c>
      <c r="K21" s="9">
        <f t="shared" si="1"/>
        <v>555537.946</v>
      </c>
      <c r="L21" s="9">
        <f t="shared" si="2"/>
        <v>555537.946</v>
      </c>
      <c r="M21" s="9"/>
      <c r="N21" s="9">
        <f t="shared" si="4"/>
        <v>6172643.8444444444</v>
      </c>
      <c r="O21" s="9">
        <f t="shared" si="4"/>
        <v>6172643.8444444444</v>
      </c>
      <c r="P21" s="9">
        <f t="shared" si="4"/>
        <v>6172643.8444444444</v>
      </c>
      <c r="R21" s="50">
        <f>Fig1_historical_Kaya!$J21</f>
        <v>18.610761903543839</v>
      </c>
      <c r="S21" s="50">
        <f>Fig1_historical_Kaya!$J21</f>
        <v>18.610761903543839</v>
      </c>
      <c r="T21" s="50">
        <f>Fig1_historical_Kaya!$J21</f>
        <v>18.610761903543839</v>
      </c>
      <c r="V21" s="208"/>
      <c r="W21" s="209">
        <f>Fig1_historical_Kaya!$K21</f>
        <v>1.6749685713189457</v>
      </c>
      <c r="X21" s="209">
        <f>Fig1_historical_Kaya!$K21</f>
        <v>1.6749685713189457</v>
      </c>
      <c r="Y21" s="209">
        <f>Fig1_historical_Kaya!$K21</f>
        <v>1.6749685713189457</v>
      </c>
      <c r="AA21" s="31">
        <f>Fig1_historical_Kaya!$L21</f>
        <v>73.486396590211797</v>
      </c>
      <c r="AB21" s="31">
        <f>Fig1_historical_Kaya!$L21</f>
        <v>73.486396590211797</v>
      </c>
      <c r="AC21" s="31">
        <f>Fig1_historical_Kaya!$L21</f>
        <v>73.486396590211797</v>
      </c>
      <c r="AD21" s="9"/>
      <c r="AE21" s="31">
        <f>Fig1_carbon_eq_intensity!$Q21</f>
        <v>124.92687420336007</v>
      </c>
      <c r="AF21" s="31">
        <f>Fig1_carbon_eq_intensity!$Q21</f>
        <v>124.92687420336007</v>
      </c>
      <c r="AG21" s="31">
        <f>Fig1_carbon_eq_intensity!$Q21</f>
        <v>124.92687420336007</v>
      </c>
      <c r="AH21" s="9"/>
      <c r="AI21" s="85"/>
      <c r="AJ21" s="9">
        <f>Fig1_historical_Kaya!$B21/10^3</f>
        <v>0.75977471099999994</v>
      </c>
      <c r="AK21" s="9">
        <f t="shared" si="5"/>
        <v>0.75977471099999971</v>
      </c>
      <c r="AL21" s="9">
        <f t="shared" si="6"/>
        <v>0.75977471099999971</v>
      </c>
      <c r="AN21" s="9">
        <f>Fig1_historical_Kaya!$B21/10^3</f>
        <v>0.75977471099999994</v>
      </c>
      <c r="AO21" s="9">
        <f>Fig1_historical_Kaya!$B21/10^3</f>
        <v>0.75977471099999994</v>
      </c>
      <c r="AP21" s="9">
        <f>Fig1_historical_Kaya!$B21/10^3</f>
        <v>0.75977471099999994</v>
      </c>
      <c r="AR21" s="9">
        <f>Fig1_historical_Kaya!$B21/10^3</f>
        <v>0.75977471099999994</v>
      </c>
      <c r="AS21" s="9">
        <f>Fig1_historical_Kaya!$B21/10^3</f>
        <v>0.75977471099999994</v>
      </c>
      <c r="AT21" s="9">
        <f>Fig1_historical_Kaya!$B21/10^3</f>
        <v>0.75977471099999994</v>
      </c>
      <c r="AV21" s="9">
        <f t="shared" si="7"/>
        <v>1.2916170086999998</v>
      </c>
      <c r="AW21" s="9">
        <f t="shared" si="8"/>
        <v>1.2916170086999998</v>
      </c>
      <c r="AX21" s="9">
        <f t="shared" si="9"/>
        <v>1.2916170086999998</v>
      </c>
      <c r="AY21" s="252"/>
      <c r="AZ21" s="9">
        <f t="shared" si="10"/>
        <v>1.2916170086999998</v>
      </c>
      <c r="BA21" s="9">
        <f t="shared" si="11"/>
        <v>1.2916170086999998</v>
      </c>
      <c r="BB21" s="9">
        <f t="shared" si="12"/>
        <v>1.2916170086999998</v>
      </c>
      <c r="BC21" s="252"/>
      <c r="BD21" s="9">
        <f t="shared" si="13"/>
        <v>1.2916170086999998</v>
      </c>
      <c r="BE21" s="9">
        <f t="shared" si="14"/>
        <v>1.2916170086999998</v>
      </c>
      <c r="BF21" s="9">
        <f t="shared" si="15"/>
        <v>1.2916170086999998</v>
      </c>
    </row>
    <row r="22" spans="1:58" s="5" customFormat="1">
      <c r="A22" s="10">
        <v>2008</v>
      </c>
      <c r="B22" s="9">
        <f>Fig1_historical_Kaya!$C22</f>
        <v>4476.3999999999996</v>
      </c>
      <c r="C22" s="9">
        <f>Fig1_historical_Kaya!$C22</f>
        <v>4476.3999999999996</v>
      </c>
      <c r="D22" s="9">
        <f>Fig1_historical_Kaya!$C22</f>
        <v>4476.3999999999996</v>
      </c>
      <c r="F22" s="9">
        <f>Fig1_historical_Kaya!$E22</f>
        <v>158487.87400000001</v>
      </c>
      <c r="G22" s="9">
        <f>Fig1_historical_Kaya!$E22</f>
        <v>158487.87400000001</v>
      </c>
      <c r="H22" s="9">
        <f>Fig1_historical_Kaya!$E22</f>
        <v>158487.87400000001</v>
      </c>
      <c r="J22" s="9">
        <f t="shared" si="0"/>
        <v>561363.87400000007</v>
      </c>
      <c r="K22" s="9">
        <f t="shared" si="1"/>
        <v>561363.87400000007</v>
      </c>
      <c r="L22" s="9">
        <f t="shared" si="2"/>
        <v>561363.87400000007</v>
      </c>
      <c r="M22" s="9"/>
      <c r="N22" s="9">
        <f t="shared" si="4"/>
        <v>6237376.3777777776</v>
      </c>
      <c r="O22" s="9">
        <f t="shared" si="4"/>
        <v>6237376.3777777776</v>
      </c>
      <c r="P22" s="9">
        <f t="shared" si="4"/>
        <v>6237376.3777777776</v>
      </c>
      <c r="R22" s="50">
        <f>Fig1_historical_Kaya!$J22</f>
        <v>18.193789300259677</v>
      </c>
      <c r="S22" s="50">
        <f>Fig1_historical_Kaya!$J22</f>
        <v>18.193789300259677</v>
      </c>
      <c r="T22" s="50">
        <f>Fig1_historical_Kaya!$J22</f>
        <v>18.193789300259677</v>
      </c>
      <c r="V22" s="208"/>
      <c r="W22" s="209">
        <f>Fig1_historical_Kaya!$K22</f>
        <v>1.6374410370233714</v>
      </c>
      <c r="X22" s="209">
        <f>Fig1_historical_Kaya!$K22</f>
        <v>1.6374410370233714</v>
      </c>
      <c r="Y22" s="209">
        <f>Fig1_historical_Kaya!$K22</f>
        <v>1.6374410370233714</v>
      </c>
      <c r="AA22" s="31">
        <f>Fig1_historical_Kaya!$L22</f>
        <v>73.684798554878967</v>
      </c>
      <c r="AB22" s="31">
        <f>Fig1_historical_Kaya!$L22</f>
        <v>73.684798554878967</v>
      </c>
      <c r="AC22" s="31">
        <f>Fig1_historical_Kaya!$L22</f>
        <v>73.684798554878967</v>
      </c>
      <c r="AD22" s="9"/>
      <c r="AE22" s="31">
        <f>Fig1_carbon_eq_intensity!$Q22</f>
        <v>125.26415754329425</v>
      </c>
      <c r="AF22" s="31">
        <f>Fig1_carbon_eq_intensity!$Q22</f>
        <v>125.26415754329425</v>
      </c>
      <c r="AG22" s="31">
        <f>Fig1_carbon_eq_intensity!$Q22</f>
        <v>125.26415754329425</v>
      </c>
      <c r="AH22" s="9"/>
      <c r="AI22" s="85"/>
      <c r="AJ22" s="9">
        <f>Fig1_historical_Kaya!$B22/10^3</f>
        <v>0.75256760900000008</v>
      </c>
      <c r="AK22" s="9">
        <f t="shared" si="5"/>
        <v>0.75256760899999997</v>
      </c>
      <c r="AL22" s="9">
        <f t="shared" si="6"/>
        <v>0.75256760899999997</v>
      </c>
      <c r="AN22" s="9">
        <f>Fig1_historical_Kaya!$B22/10^3</f>
        <v>0.75256760900000008</v>
      </c>
      <c r="AO22" s="9">
        <f>Fig1_historical_Kaya!$B22/10^3</f>
        <v>0.75256760900000008</v>
      </c>
      <c r="AP22" s="9">
        <f>Fig1_historical_Kaya!$B22/10^3</f>
        <v>0.75256760900000008</v>
      </c>
      <c r="AR22" s="9">
        <f>Fig1_historical_Kaya!$B22/10^3</f>
        <v>0.75256760900000008</v>
      </c>
      <c r="AS22" s="9">
        <f>Fig1_historical_Kaya!$B22/10^3</f>
        <v>0.75256760900000008</v>
      </c>
      <c r="AT22" s="9">
        <f>Fig1_historical_Kaya!$B22/10^3</f>
        <v>0.75256760900000008</v>
      </c>
      <c r="AV22" s="9">
        <f t="shared" si="7"/>
        <v>1.2793649353000003</v>
      </c>
      <c r="AW22" s="9">
        <f t="shared" si="8"/>
        <v>1.2793649353000003</v>
      </c>
      <c r="AX22" s="9">
        <f t="shared" si="9"/>
        <v>1.2793649353000003</v>
      </c>
      <c r="AY22" s="252"/>
      <c r="AZ22" s="9">
        <f t="shared" si="10"/>
        <v>1.2793649353000003</v>
      </c>
      <c r="BA22" s="9">
        <f t="shared" si="11"/>
        <v>1.2793649353000003</v>
      </c>
      <c r="BB22" s="9">
        <f t="shared" si="12"/>
        <v>1.2793649353000003</v>
      </c>
      <c r="BC22" s="252"/>
      <c r="BD22" s="9">
        <f t="shared" si="13"/>
        <v>1.2793649353000003</v>
      </c>
      <c r="BE22" s="9">
        <f t="shared" si="14"/>
        <v>1.2793649353000003</v>
      </c>
      <c r="BF22" s="9">
        <f t="shared" si="15"/>
        <v>1.2793649353000003</v>
      </c>
    </row>
    <row r="23" spans="1:58" s="5" customFormat="1">
      <c r="A23" s="10">
        <v>2009</v>
      </c>
      <c r="B23" s="9">
        <f>Fig1_historical_Kaya!$C23</f>
        <v>4492.3</v>
      </c>
      <c r="C23" s="9">
        <f>Fig1_historical_Kaya!$C23</f>
        <v>4492.3</v>
      </c>
      <c r="D23" s="9">
        <f>Fig1_historical_Kaya!$C23</f>
        <v>4492.3</v>
      </c>
      <c r="F23" s="9">
        <f>Fig1_historical_Kaya!$E23</f>
        <v>175509.34365439601</v>
      </c>
      <c r="G23" s="9">
        <f>Fig1_historical_Kaya!$E23</f>
        <v>175509.34365439601</v>
      </c>
      <c r="H23" s="9">
        <f>Fig1_historical_Kaya!$E23</f>
        <v>175509.34365439601</v>
      </c>
      <c r="J23" s="9">
        <f>(((B23*10^3)*90)/10^3)+F23</f>
        <v>579816.34365439601</v>
      </c>
      <c r="K23" s="9">
        <f t="shared" si="1"/>
        <v>579816.34365439601</v>
      </c>
      <c r="L23" s="9">
        <f t="shared" si="2"/>
        <v>579816.34365439601</v>
      </c>
      <c r="M23" s="9"/>
      <c r="N23" s="9">
        <f t="shared" si="4"/>
        <v>6442403.8183821775</v>
      </c>
      <c r="O23" s="9">
        <f t="shared" si="4"/>
        <v>6442403.8183821775</v>
      </c>
      <c r="P23" s="9">
        <f t="shared" si="4"/>
        <v>6442403.8183821775</v>
      </c>
      <c r="R23" s="50">
        <f>Fig1_historical_Kaya!$J23</f>
        <v>16.72422930113062</v>
      </c>
      <c r="S23" s="50">
        <f>Fig1_historical_Kaya!$J23</f>
        <v>16.72422930113062</v>
      </c>
      <c r="T23" s="50">
        <f>Fig1_historical_Kaya!$J23</f>
        <v>16.72422930113062</v>
      </c>
      <c r="V23" s="208"/>
      <c r="W23" s="209">
        <f>Fig1_historical_Kaya!$K23</f>
        <v>1.505180637101756</v>
      </c>
      <c r="X23" s="209">
        <f>Fig1_historical_Kaya!$K23</f>
        <v>1.505180637101756</v>
      </c>
      <c r="Y23" s="209">
        <f>Fig1_historical_Kaya!$K23</f>
        <v>1.505180637101756</v>
      </c>
      <c r="AA23" s="31">
        <f>Fig1_historical_Kaya!$L23</f>
        <v>73.434342448546602</v>
      </c>
      <c r="AB23" s="31">
        <f>Fig1_historical_Kaya!$L23</f>
        <v>73.434342448546602</v>
      </c>
      <c r="AC23" s="31">
        <f>Fig1_historical_Kaya!$L23</f>
        <v>73.434342448546602</v>
      </c>
      <c r="AD23" s="9"/>
      <c r="AE23" s="31">
        <f>Fig1_carbon_eq_intensity!$Q23</f>
        <v>124.83838216252924</v>
      </c>
      <c r="AF23" s="31">
        <f>Fig1_carbon_eq_intensity!$Q23</f>
        <v>124.83838216252924</v>
      </c>
      <c r="AG23" s="31">
        <f>Fig1_carbon_eq_intensity!$Q23</f>
        <v>124.83838216252924</v>
      </c>
      <c r="AH23" s="9"/>
      <c r="AI23" s="85"/>
      <c r="AJ23" s="9">
        <f>Fig1_historical_Kaya!$B23/10^3</f>
        <v>0.71209145900000004</v>
      </c>
      <c r="AK23" s="9">
        <f t="shared" si="5"/>
        <v>0.71209145899999993</v>
      </c>
      <c r="AL23" s="9">
        <f t="shared" si="6"/>
        <v>0.71209145899999993</v>
      </c>
      <c r="AN23" s="9">
        <f>Fig1_historical_Kaya!$B23/10^3</f>
        <v>0.71209145900000004</v>
      </c>
      <c r="AO23" s="9">
        <f>Fig1_historical_Kaya!$B23/10^3</f>
        <v>0.71209145900000004</v>
      </c>
      <c r="AP23" s="9">
        <f>Fig1_historical_Kaya!$B23/10^3</f>
        <v>0.71209145900000004</v>
      </c>
      <c r="AR23" s="9">
        <f>Fig1_historical_Kaya!$B23/10^3</f>
        <v>0.71209145900000004</v>
      </c>
      <c r="AS23" s="9">
        <f>Fig1_historical_Kaya!$B23/10^3</f>
        <v>0.71209145900000004</v>
      </c>
      <c r="AT23" s="9">
        <f>Fig1_historical_Kaya!$B23/10^3</f>
        <v>0.71209145900000004</v>
      </c>
      <c r="AV23" s="9">
        <f t="shared" si="7"/>
        <v>1.2105554803</v>
      </c>
      <c r="AW23" s="9">
        <f t="shared" si="8"/>
        <v>1.2105554803</v>
      </c>
      <c r="AX23" s="9">
        <f t="shared" si="9"/>
        <v>1.2105554803</v>
      </c>
      <c r="AY23" s="252"/>
      <c r="AZ23" s="9">
        <f t="shared" si="10"/>
        <v>1.2105554803</v>
      </c>
      <c r="BA23" s="9">
        <f t="shared" si="11"/>
        <v>1.2105554803</v>
      </c>
      <c r="BB23" s="9">
        <f t="shared" si="12"/>
        <v>1.2105554803</v>
      </c>
      <c r="BC23" s="252"/>
      <c r="BD23" s="9">
        <f t="shared" si="13"/>
        <v>1.2105554803</v>
      </c>
      <c r="BE23" s="9">
        <f t="shared" si="14"/>
        <v>1.2105554803</v>
      </c>
      <c r="BF23" s="9">
        <f t="shared" si="15"/>
        <v>1.2105554803</v>
      </c>
    </row>
    <row r="24" spans="1:58" s="5" customFormat="1">
      <c r="A24" s="10">
        <v>2010</v>
      </c>
      <c r="B24" s="9">
        <f>Fig1_historical_Kaya!$C24</f>
        <v>4922.634</v>
      </c>
      <c r="C24" s="9">
        <f>Fig1_historical_Kaya!$C24</f>
        <v>4922.634</v>
      </c>
      <c r="D24" s="9">
        <f>Fig1_historical_Kaya!$C24</f>
        <v>4922.634</v>
      </c>
      <c r="F24" s="9">
        <f>Fig1_historical_Kaya!$E24</f>
        <v>182025.62707797001</v>
      </c>
      <c r="G24" s="9">
        <f>Fig1_historical_Kaya!$E24</f>
        <v>182025.62707797001</v>
      </c>
      <c r="H24" s="9">
        <f>Fig1_historical_Kaya!$E24</f>
        <v>182025.62707797001</v>
      </c>
      <c r="J24" s="9">
        <f t="shared" si="0"/>
        <v>625062.68707797001</v>
      </c>
      <c r="K24" s="9">
        <f t="shared" si="1"/>
        <v>625062.68707797001</v>
      </c>
      <c r="L24" s="9">
        <f t="shared" si="2"/>
        <v>625062.68707797001</v>
      </c>
      <c r="M24" s="9"/>
      <c r="N24" s="9">
        <f t="shared" si="4"/>
        <v>6945140.9675329998</v>
      </c>
      <c r="O24" s="9">
        <f t="shared" si="4"/>
        <v>6945140.9675329998</v>
      </c>
      <c r="P24" s="9">
        <f t="shared" si="4"/>
        <v>6945140.9675329998</v>
      </c>
      <c r="R24" s="50">
        <f>Fig1_historical_Kaya!$J24</f>
        <v>16.355968316974295</v>
      </c>
      <c r="S24" s="50">
        <f>Fig1_historical_Kaya!$J24</f>
        <v>16.355968316974295</v>
      </c>
      <c r="T24" s="50">
        <f>Fig1_historical_Kaya!$J24</f>
        <v>16.355968316974295</v>
      </c>
      <c r="V24" s="208"/>
      <c r="W24" s="209">
        <f>Fig1_historical_Kaya!$K24</f>
        <v>1.4720371485276866</v>
      </c>
      <c r="X24" s="209">
        <f>Fig1_historical_Kaya!$K24</f>
        <v>1.4720371485276866</v>
      </c>
      <c r="Y24" s="209">
        <f>Fig1_historical_Kaya!$K24</f>
        <v>1.4720371485276866</v>
      </c>
      <c r="AA24" s="31">
        <f>Fig1_historical_Kaya!$L24</f>
        <v>73.398560167234578</v>
      </c>
      <c r="AB24" s="31">
        <f>Fig1_historical_Kaya!$L24</f>
        <v>73.398560167234578</v>
      </c>
      <c r="AC24" s="31">
        <f>Fig1_historical_Kaya!$L24</f>
        <v>73.398560167234578</v>
      </c>
      <c r="AD24" s="9"/>
      <c r="AE24" s="31">
        <f>Fig1_carbon_eq_intensity!$Q24</f>
        <v>124.77755228429876</v>
      </c>
      <c r="AF24" s="31">
        <f>Fig1_carbon_eq_intensity!$Q24</f>
        <v>124.77755228429876</v>
      </c>
      <c r="AG24" s="31">
        <f>Fig1_carbon_eq_intensity!$Q24</f>
        <v>124.77755228429876</v>
      </c>
      <c r="AH24" s="9"/>
      <c r="AI24" s="85"/>
      <c r="AJ24" s="9">
        <f>Fig1_historical_Kaya!$B24/10^3</f>
        <v>0.75039058400000003</v>
      </c>
      <c r="AK24" s="9">
        <f t="shared" si="5"/>
        <v>0.75039058400000014</v>
      </c>
      <c r="AL24" s="9">
        <f t="shared" si="6"/>
        <v>0.75039058400000014</v>
      </c>
      <c r="AN24" s="9">
        <f>Fig1_historical_Kaya!$B24/10^3</f>
        <v>0.75039058400000003</v>
      </c>
      <c r="AO24" s="9">
        <f>Fig1_historical_Kaya!$B24/10^3</f>
        <v>0.75039058400000003</v>
      </c>
      <c r="AP24" s="9">
        <f>Fig1_historical_Kaya!$B24/10^3</f>
        <v>0.75039058400000003</v>
      </c>
      <c r="AR24" s="9">
        <f>Fig1_historical_Kaya!$B24/10^3</f>
        <v>0.75039058400000003</v>
      </c>
      <c r="AS24" s="9">
        <f>Fig1_historical_Kaya!$B24/10^3</f>
        <v>0.75039058400000003</v>
      </c>
      <c r="AT24" s="9">
        <f>Fig1_historical_Kaya!$B24/10^3</f>
        <v>0.75039058400000003</v>
      </c>
      <c r="AV24" s="9">
        <f t="shared" si="7"/>
        <v>1.2756639928</v>
      </c>
      <c r="AW24" s="9">
        <f t="shared" si="8"/>
        <v>1.2756639928</v>
      </c>
      <c r="AX24" s="9">
        <f t="shared" si="9"/>
        <v>1.2756639928</v>
      </c>
      <c r="AY24" s="252"/>
      <c r="AZ24" s="9">
        <f t="shared" si="10"/>
        <v>1.2756639928</v>
      </c>
      <c r="BA24" s="9">
        <f t="shared" si="11"/>
        <v>1.2756639928</v>
      </c>
      <c r="BB24" s="9">
        <f t="shared" si="12"/>
        <v>1.2756639928</v>
      </c>
      <c r="BC24" s="252"/>
      <c r="BD24" s="9">
        <f t="shared" si="13"/>
        <v>1.2756639928</v>
      </c>
      <c r="BE24" s="9">
        <f t="shared" si="14"/>
        <v>1.2756639928</v>
      </c>
      <c r="BF24" s="9">
        <f t="shared" si="15"/>
        <v>1.2756639928</v>
      </c>
    </row>
    <row r="25" spans="1:58" s="5" customFormat="1">
      <c r="A25" s="10">
        <v>2011</v>
      </c>
      <c r="B25" s="9">
        <f>Fig1_historical_Kaya!$C25</f>
        <v>5246.44</v>
      </c>
      <c r="C25" s="9">
        <f>Fig1_historical_Kaya!$C25</f>
        <v>5246.44</v>
      </c>
      <c r="D25" s="9">
        <f>Fig1_historical_Kaya!$C25</f>
        <v>5246.44</v>
      </c>
      <c r="F25" s="9">
        <f>Fig1_historical_Kaya!$E25</f>
        <v>183037.23005902299</v>
      </c>
      <c r="G25" s="9">
        <f>Fig1_historical_Kaya!$E25</f>
        <v>183037.23005902299</v>
      </c>
      <c r="H25" s="9">
        <f>Fig1_historical_Kaya!$E25</f>
        <v>183037.23005902299</v>
      </c>
      <c r="J25" s="9">
        <f t="shared" si="0"/>
        <v>655216.83005902299</v>
      </c>
      <c r="K25" s="9">
        <f t="shared" si="1"/>
        <v>655216.83005902299</v>
      </c>
      <c r="L25" s="9">
        <f t="shared" si="2"/>
        <v>655216.83005902299</v>
      </c>
      <c r="M25" s="9"/>
      <c r="N25" s="9">
        <f>(($F25*10^3)/90)+($B25*10^3)</f>
        <v>7280187.0006558113</v>
      </c>
      <c r="O25" s="9">
        <f t="shared" si="4"/>
        <v>7280187.0006558113</v>
      </c>
      <c r="P25" s="9">
        <f t="shared" si="4"/>
        <v>7280187.0006558113</v>
      </c>
      <c r="R25" s="50">
        <f>Fig1_historical_Kaya!$J25</f>
        <v>15.974387215917677</v>
      </c>
      <c r="S25" s="50">
        <f>Fig1_historical_Kaya!$J25</f>
        <v>15.974387215917677</v>
      </c>
      <c r="T25" s="50">
        <f>Fig1_historical_Kaya!$J25</f>
        <v>15.974387215917677</v>
      </c>
      <c r="V25" s="208"/>
      <c r="W25" s="209">
        <f>Fig1_historical_Kaya!$K25</f>
        <v>1.4376948494325907</v>
      </c>
      <c r="X25" s="209">
        <f>Fig1_historical_Kaya!$K25</f>
        <v>1.4376948494325907</v>
      </c>
      <c r="Y25" s="209">
        <f>Fig1_historical_Kaya!$K25</f>
        <v>1.4376948494325907</v>
      </c>
      <c r="AA25" s="31">
        <f>Fig1_historical_Kaya!$L25</f>
        <v>73.680586792704219</v>
      </c>
      <c r="AB25" s="31">
        <f>Fig1_historical_Kaya!$L25</f>
        <v>73.680586792704219</v>
      </c>
      <c r="AC25" s="31">
        <f>Fig1_historical_Kaya!$L25</f>
        <v>73.680586792704219</v>
      </c>
      <c r="AD25" s="9"/>
      <c r="AE25" s="31">
        <f>Fig1_carbon_eq_intensity!$Q25</f>
        <v>125.25699754759717</v>
      </c>
      <c r="AF25" s="31">
        <f>Fig1_carbon_eq_intensity!$Q25</f>
        <v>125.25699754759717</v>
      </c>
      <c r="AG25" s="31">
        <f>Fig1_carbon_eq_intensity!$Q25</f>
        <v>125.25699754759717</v>
      </c>
      <c r="AH25" s="9"/>
      <c r="AI25" s="85"/>
      <c r="AJ25" s="9">
        <f>Fig1_historical_Kaya!$B25/10^3</f>
        <v>0.77119166600000011</v>
      </c>
      <c r="AK25" s="9">
        <f t="shared" si="5"/>
        <v>0.771191666</v>
      </c>
      <c r="AL25" s="9">
        <f t="shared" si="6"/>
        <v>0.771191666</v>
      </c>
      <c r="AN25" s="9">
        <f>Fig1_historical_Kaya!$B25/10^3</f>
        <v>0.77119166600000011</v>
      </c>
      <c r="AO25" s="9">
        <f>Fig1_historical_Kaya!$B25/10^3</f>
        <v>0.77119166600000011</v>
      </c>
      <c r="AP25" s="9">
        <f>Fig1_historical_Kaya!$B25/10^3</f>
        <v>0.77119166600000011</v>
      </c>
      <c r="AR25" s="9">
        <f>Fig1_historical_Kaya!$B25/10^3</f>
        <v>0.77119166600000011</v>
      </c>
      <c r="AS25" s="9">
        <f>Fig1_historical_Kaya!$B25/10^3</f>
        <v>0.77119166600000011</v>
      </c>
      <c r="AT25" s="9">
        <f>Fig1_historical_Kaya!$B25/10^3</f>
        <v>0.77119166600000011</v>
      </c>
      <c r="AV25" s="9">
        <f t="shared" si="7"/>
        <v>1.3110258322000001</v>
      </c>
      <c r="AW25" s="9">
        <f t="shared" si="8"/>
        <v>1.3110258322000001</v>
      </c>
      <c r="AX25" s="9">
        <f t="shared" si="9"/>
        <v>1.3110258322000001</v>
      </c>
      <c r="AY25" s="252"/>
      <c r="AZ25" s="9">
        <f t="shared" si="10"/>
        <v>1.3110258322000001</v>
      </c>
      <c r="BA25" s="9">
        <f t="shared" si="11"/>
        <v>1.3110258322000001</v>
      </c>
      <c r="BB25" s="9">
        <f t="shared" si="12"/>
        <v>1.3110258322000001</v>
      </c>
      <c r="BC25" s="252"/>
      <c r="BD25" s="9">
        <f t="shared" si="13"/>
        <v>1.3110258322000001</v>
      </c>
      <c r="BE25" s="9">
        <f t="shared" si="14"/>
        <v>1.3110258322000001</v>
      </c>
      <c r="BF25" s="9">
        <f t="shared" si="15"/>
        <v>1.3110258322000001</v>
      </c>
    </row>
    <row r="26" spans="1:58" s="5" customFormat="1">
      <c r="A26" s="10">
        <v>2012</v>
      </c>
      <c r="B26" s="9">
        <f>Fig1_historical_Kaya!$C26</f>
        <v>5527.0889999999999</v>
      </c>
      <c r="C26" s="9">
        <f>Fig1_historical_Kaya!$C26</f>
        <v>5527.0889999999999</v>
      </c>
      <c r="D26" s="9">
        <f>Fig1_historical_Kaya!$C26</f>
        <v>5527.0889999999999</v>
      </c>
      <c r="F26" s="9">
        <f>Fig1_historical_Kaya!$E26</f>
        <v>175051.34224884299</v>
      </c>
      <c r="G26" s="9">
        <f>Fig1_historical_Kaya!$E26</f>
        <v>175051.34224884299</v>
      </c>
      <c r="H26" s="9">
        <f>Fig1_historical_Kaya!$E26</f>
        <v>175051.34224884299</v>
      </c>
      <c r="J26" s="9">
        <f t="shared" si="0"/>
        <v>672489.35224884306</v>
      </c>
      <c r="K26" s="9">
        <f t="shared" si="1"/>
        <v>672489.35224884306</v>
      </c>
      <c r="L26" s="9">
        <f t="shared" si="2"/>
        <v>672489.35224884306</v>
      </c>
      <c r="M26" s="9"/>
      <c r="N26" s="9">
        <f t="shared" si="4"/>
        <v>7472103.9138760334</v>
      </c>
      <c r="O26" s="9">
        <f t="shared" si="4"/>
        <v>7472103.9138760334</v>
      </c>
      <c r="P26" s="9">
        <f t="shared" si="4"/>
        <v>7472103.9138760334</v>
      </c>
      <c r="R26" s="50">
        <f>Fig1_historical_Kaya!$J26</f>
        <v>15.677884313364491</v>
      </c>
      <c r="S26" s="50">
        <f>Fig1_historical_Kaya!$J26</f>
        <v>15.677884313364491</v>
      </c>
      <c r="T26" s="50">
        <f>Fig1_historical_Kaya!$J26</f>
        <v>15.677884313364491</v>
      </c>
      <c r="V26" s="208"/>
      <c r="W26" s="209">
        <f>Fig1_historical_Kaya!$K26</f>
        <v>1.4110095882028042</v>
      </c>
      <c r="X26" s="209">
        <f>Fig1_historical_Kaya!$K26</f>
        <v>1.4110095882028042</v>
      </c>
      <c r="Y26" s="209">
        <f>Fig1_historical_Kaya!$K26</f>
        <v>1.4110095882028042</v>
      </c>
      <c r="AA26" s="31">
        <f>Fig1_historical_Kaya!$L26</f>
        <v>74.03758042066903</v>
      </c>
      <c r="AB26" s="31">
        <f>Fig1_historical_Kaya!$L26</f>
        <v>74.03758042066903</v>
      </c>
      <c r="AC26" s="31">
        <f>Fig1_historical_Kaya!$L26</f>
        <v>74.03758042066903</v>
      </c>
      <c r="AD26" s="9"/>
      <c r="AE26" s="31">
        <f>Fig1_carbon_eq_intensity!$Q26</f>
        <v>125.86388671513734</v>
      </c>
      <c r="AF26" s="31">
        <f>Fig1_carbon_eq_intensity!$Q26</f>
        <v>125.86388671513734</v>
      </c>
      <c r="AG26" s="31">
        <f>Fig1_carbon_eq_intensity!$Q26</f>
        <v>125.86388671513734</v>
      </c>
      <c r="AH26" s="9"/>
      <c r="AI26" s="85"/>
      <c r="AJ26" s="9">
        <f>Fig1_historical_Kaya!$B26/10^3</f>
        <v>0.78059377800000007</v>
      </c>
      <c r="AK26" s="9">
        <f t="shared" si="5"/>
        <v>0.78059377800000029</v>
      </c>
      <c r="AL26" s="9">
        <f t="shared" si="6"/>
        <v>0.78059377800000029</v>
      </c>
      <c r="AN26" s="9">
        <f>Fig1_historical_Kaya!$B26/10^3</f>
        <v>0.78059377800000007</v>
      </c>
      <c r="AO26" s="9">
        <f>Fig1_historical_Kaya!$B26/10^3</f>
        <v>0.78059377800000007</v>
      </c>
      <c r="AP26" s="9">
        <f>Fig1_historical_Kaya!$B26/10^3</f>
        <v>0.78059377800000007</v>
      </c>
      <c r="AR26" s="9">
        <f>Fig1_historical_Kaya!$B26/10^3</f>
        <v>0.78059377800000007</v>
      </c>
      <c r="AS26" s="9">
        <f>Fig1_historical_Kaya!$B26/10^3</f>
        <v>0.78059377800000007</v>
      </c>
      <c r="AT26" s="9">
        <f>Fig1_historical_Kaya!$B26/10^3</f>
        <v>0.78059377800000007</v>
      </c>
      <c r="AV26" s="9">
        <f t="shared" si="7"/>
        <v>1.3270094226000002</v>
      </c>
      <c r="AW26" s="9">
        <f t="shared" si="8"/>
        <v>1.3270094226000002</v>
      </c>
      <c r="AX26" s="9">
        <f t="shared" si="9"/>
        <v>1.3270094226000002</v>
      </c>
      <c r="AY26" s="252"/>
      <c r="AZ26" s="9">
        <f t="shared" si="10"/>
        <v>1.3270094226000002</v>
      </c>
      <c r="BA26" s="9">
        <f t="shared" si="11"/>
        <v>1.3270094226000002</v>
      </c>
      <c r="BB26" s="9">
        <f t="shared" si="12"/>
        <v>1.3270094226000002</v>
      </c>
      <c r="BC26" s="252"/>
      <c r="BD26" s="9">
        <f t="shared" si="13"/>
        <v>1.3270094226000002</v>
      </c>
      <c r="BE26" s="9">
        <f t="shared" si="14"/>
        <v>1.3270094226000002</v>
      </c>
      <c r="BF26" s="9">
        <f t="shared" si="15"/>
        <v>1.3270094226000002</v>
      </c>
    </row>
    <row r="27" spans="1:58" s="5" customFormat="1">
      <c r="A27" s="10">
        <v>2013</v>
      </c>
      <c r="B27" s="9">
        <f>Fig1_historical_Kaya!$C27</f>
        <v>5830.6750000000002</v>
      </c>
      <c r="C27" s="9">
        <f>Fig1_historical_Kaya!$C27</f>
        <v>5830.6750000000002</v>
      </c>
      <c r="D27" s="9">
        <f>Fig1_historical_Kaya!$C27</f>
        <v>5830.6750000000002</v>
      </c>
      <c r="F27" s="9">
        <f>Fig1_historical_Kaya!$E27</f>
        <v>175829.55781354799</v>
      </c>
      <c r="G27" s="9">
        <f>Fig1_historical_Kaya!$E27</f>
        <v>175829.55781354799</v>
      </c>
      <c r="H27" s="9">
        <f>Fig1_historical_Kaya!$E27</f>
        <v>175829.55781354799</v>
      </c>
      <c r="J27" s="9">
        <f t="shared" si="0"/>
        <v>700590.30781354802</v>
      </c>
      <c r="K27" s="9">
        <f t="shared" si="1"/>
        <v>700590.30781354802</v>
      </c>
      <c r="L27" s="9">
        <f t="shared" si="2"/>
        <v>700590.30781354802</v>
      </c>
      <c r="M27" s="9"/>
      <c r="N27" s="9">
        <f t="shared" si="4"/>
        <v>7784336.7534838663</v>
      </c>
      <c r="O27" s="9">
        <f t="shared" si="4"/>
        <v>7784336.7534838663</v>
      </c>
      <c r="P27" s="9">
        <f t="shared" si="4"/>
        <v>7784336.7534838663</v>
      </c>
      <c r="R27" s="50">
        <f>Fig1_historical_Kaya!$J27</f>
        <v>15.529631804717662</v>
      </c>
      <c r="S27" s="50">
        <f>Fig1_historical_Kaya!$J27</f>
        <v>15.529631804717662</v>
      </c>
      <c r="T27" s="50">
        <f>Fig1_historical_Kaya!$J27</f>
        <v>15.529631804717662</v>
      </c>
      <c r="V27" s="208"/>
      <c r="W27" s="209">
        <f>Fig1_historical_Kaya!$K27</f>
        <v>1.3976668624245896</v>
      </c>
      <c r="X27" s="209">
        <f>Fig1_historical_Kaya!$K27</f>
        <v>1.3976668624245896</v>
      </c>
      <c r="Y27" s="209">
        <f>Fig1_historical_Kaya!$K27</f>
        <v>1.3976668624245896</v>
      </c>
      <c r="AA27" s="31">
        <f>Fig1_historical_Kaya!$L27</f>
        <v>73.524120588176501</v>
      </c>
      <c r="AB27" s="31">
        <f>Fig1_historical_Kaya!$L27</f>
        <v>73.524120588176501</v>
      </c>
      <c r="AC27" s="31">
        <f>Fig1_historical_Kaya!$L27</f>
        <v>73.524120588176501</v>
      </c>
      <c r="AD27" s="9"/>
      <c r="AE27" s="31">
        <f>Fig1_carbon_eq_intensity!$Q27</f>
        <v>124.99100499990007</v>
      </c>
      <c r="AF27" s="31">
        <f>Fig1_carbon_eq_intensity!$Q27</f>
        <v>124.99100499990007</v>
      </c>
      <c r="AG27" s="31">
        <f>Fig1_carbon_eq_intensity!$Q27</f>
        <v>124.99100499990007</v>
      </c>
      <c r="AH27" s="9"/>
      <c r="AI27" s="85"/>
      <c r="AJ27" s="9">
        <f>Fig1_historical_Kaya!$B27/10^3</f>
        <v>0.79993577999999999</v>
      </c>
      <c r="AK27" s="9">
        <f t="shared" si="5"/>
        <v>0.79993577999999999</v>
      </c>
      <c r="AL27" s="9">
        <f t="shared" si="6"/>
        <v>0.79993577999999999</v>
      </c>
      <c r="AN27" s="9">
        <f>Fig1_historical_Kaya!$B27/10^3</f>
        <v>0.79993577999999999</v>
      </c>
      <c r="AO27" s="9">
        <f>Fig1_historical_Kaya!$B27/10^3</f>
        <v>0.79993577999999999</v>
      </c>
      <c r="AP27" s="9">
        <f>Fig1_historical_Kaya!$B27/10^3</f>
        <v>0.79993577999999999</v>
      </c>
      <c r="AR27" s="9">
        <f>Fig1_historical_Kaya!$B27/10^3</f>
        <v>0.79993577999999999</v>
      </c>
      <c r="AS27" s="9">
        <f>Fig1_historical_Kaya!$B27/10^3</f>
        <v>0.79993577999999999</v>
      </c>
      <c r="AT27" s="9">
        <f>Fig1_historical_Kaya!$B27/10^3</f>
        <v>0.79993577999999999</v>
      </c>
      <c r="AV27" s="9">
        <f t="shared" si="7"/>
        <v>1.3598908260000002</v>
      </c>
      <c r="AW27" s="9">
        <f t="shared" si="8"/>
        <v>1.3598908260000002</v>
      </c>
      <c r="AX27" s="9">
        <f t="shared" si="9"/>
        <v>1.3598908260000002</v>
      </c>
      <c r="AY27" s="252"/>
      <c r="AZ27" s="9">
        <f t="shared" si="10"/>
        <v>1.3598908260000002</v>
      </c>
      <c r="BA27" s="9">
        <f t="shared" si="11"/>
        <v>1.3598908260000002</v>
      </c>
      <c r="BB27" s="9">
        <f t="shared" si="12"/>
        <v>1.3598908260000002</v>
      </c>
      <c r="BC27" s="252"/>
      <c r="BD27" s="9">
        <f t="shared" si="13"/>
        <v>1.3598908260000002</v>
      </c>
      <c r="BE27" s="9">
        <f t="shared" si="14"/>
        <v>1.3598908260000002</v>
      </c>
      <c r="BF27" s="9">
        <f t="shared" si="15"/>
        <v>1.3598908260000002</v>
      </c>
    </row>
    <row r="28" spans="1:58" s="5" customFormat="1">
      <c r="A28" s="10">
        <v>2014</v>
      </c>
      <c r="B28" s="9">
        <f>Fig1_historical_Kaya!$C28</f>
        <v>6179.1750000000002</v>
      </c>
      <c r="C28" s="9">
        <f>Fig1_historical_Kaya!$C28</f>
        <v>6179.1750000000002</v>
      </c>
      <c r="D28" s="9">
        <f>Fig1_historical_Kaya!$C28</f>
        <v>6179.1750000000002</v>
      </c>
      <c r="F28" s="9">
        <f>Fig1_historical_Kaya!$E28</f>
        <v>184831.10946141899</v>
      </c>
      <c r="G28" s="9">
        <f>Fig1_historical_Kaya!$E28</f>
        <v>184831.10946141899</v>
      </c>
      <c r="H28" s="9">
        <f>Fig1_historical_Kaya!$E28</f>
        <v>184831.10946141899</v>
      </c>
      <c r="J28" s="9">
        <f t="shared" si="0"/>
        <v>740956.85946141905</v>
      </c>
      <c r="K28" s="9">
        <f t="shared" si="1"/>
        <v>740956.85946141905</v>
      </c>
      <c r="L28" s="9">
        <f t="shared" si="2"/>
        <v>740956.85946141905</v>
      </c>
      <c r="M28" s="9"/>
      <c r="N28" s="9">
        <f t="shared" si="4"/>
        <v>8232853.9940157663</v>
      </c>
      <c r="O28" s="9">
        <f t="shared" si="4"/>
        <v>8232853.9940157663</v>
      </c>
      <c r="P28" s="9">
        <f t="shared" si="4"/>
        <v>8232853.9940157663</v>
      </c>
      <c r="R28" s="50">
        <f>Fig1_historical_Kaya!$J28</f>
        <v>15.153670387054609</v>
      </c>
      <c r="S28" s="50">
        <f>Fig1_historical_Kaya!$J28</f>
        <v>15.153670387054609</v>
      </c>
      <c r="T28" s="50">
        <f>Fig1_historical_Kaya!$J28</f>
        <v>15.153670387054609</v>
      </c>
      <c r="V28" s="208"/>
      <c r="W28" s="209">
        <f>Fig1_historical_Kaya!$K28</f>
        <v>1.363830334834915</v>
      </c>
      <c r="X28" s="209">
        <f>Fig1_historical_Kaya!$K28</f>
        <v>1.363830334834915</v>
      </c>
      <c r="Y28" s="209">
        <f>Fig1_historical_Kaya!$K28</f>
        <v>1.363830334834915</v>
      </c>
      <c r="AA28" s="31">
        <f>Fig1_historical_Kaya!$L28</f>
        <v>73.594038855258134</v>
      </c>
      <c r="AB28" s="31">
        <f>Fig1_historical_Kaya!$L28</f>
        <v>73.594038855258134</v>
      </c>
      <c r="AC28" s="31">
        <f>Fig1_historical_Kaya!$L28</f>
        <v>73.594038855258134</v>
      </c>
      <c r="AD28" s="9"/>
      <c r="AE28" s="31">
        <f>Fig1_carbon_eq_intensity!$Q28</f>
        <v>125.10986605393883</v>
      </c>
      <c r="AF28" s="31">
        <f>Fig1_carbon_eq_intensity!$Q28</f>
        <v>125.10986605393883</v>
      </c>
      <c r="AG28" s="31">
        <f>Fig1_carbon_eq_intensity!$Q28</f>
        <v>125.10986605393883</v>
      </c>
      <c r="AH28" s="9"/>
      <c r="AI28" s="85"/>
      <c r="AJ28" s="9">
        <f>Fig1_historical_Kaya!$B28/10^3</f>
        <v>0.82632976600000008</v>
      </c>
      <c r="AK28" s="9">
        <f t="shared" si="5"/>
        <v>0.82632976599999997</v>
      </c>
      <c r="AL28" s="9">
        <f t="shared" si="6"/>
        <v>0.82632976599999997</v>
      </c>
      <c r="AN28" s="9">
        <f>Fig1_historical_Kaya!$B28/10^3</f>
        <v>0.82632976600000008</v>
      </c>
      <c r="AO28" s="9">
        <f>Fig1_historical_Kaya!$B28/10^3</f>
        <v>0.82632976600000008</v>
      </c>
      <c r="AP28" s="9">
        <f>Fig1_historical_Kaya!$B28/10^3</f>
        <v>0.82632976600000008</v>
      </c>
      <c r="AR28" s="9">
        <f>Fig1_historical_Kaya!$B28/10^3</f>
        <v>0.82632976600000008</v>
      </c>
      <c r="AS28" s="9">
        <f>Fig1_historical_Kaya!$B28/10^3</f>
        <v>0.82632976600000008</v>
      </c>
      <c r="AT28" s="9">
        <f>Fig1_historical_Kaya!$B28/10^3</f>
        <v>0.82632976600000008</v>
      </c>
      <c r="AV28" s="9">
        <f t="shared" si="7"/>
        <v>1.4047606022000001</v>
      </c>
      <c r="AW28" s="9">
        <f t="shared" si="8"/>
        <v>1.4047606022000001</v>
      </c>
      <c r="AX28" s="9">
        <f t="shared" si="9"/>
        <v>1.4047606022000001</v>
      </c>
      <c r="AY28" s="252"/>
      <c r="AZ28" s="9">
        <f t="shared" si="10"/>
        <v>1.4047606022000001</v>
      </c>
      <c r="BA28" s="9">
        <f t="shared" si="11"/>
        <v>1.4047606022000001</v>
      </c>
      <c r="BB28" s="9">
        <f t="shared" si="12"/>
        <v>1.4047606022000001</v>
      </c>
      <c r="BC28" s="252"/>
      <c r="BD28" s="9">
        <f t="shared" si="13"/>
        <v>1.4047606022000001</v>
      </c>
      <c r="BE28" s="9">
        <f t="shared" si="14"/>
        <v>1.4047606022000001</v>
      </c>
      <c r="BF28" s="9">
        <f t="shared" si="15"/>
        <v>1.4047606022000001</v>
      </c>
    </row>
    <row r="29" spans="1:58" s="5" customFormat="1">
      <c r="A29" s="10">
        <v>2015</v>
      </c>
      <c r="B29" s="9">
        <f>Fig1_historical_Kaya!$C29</f>
        <v>6642.5140000000001</v>
      </c>
      <c r="C29" s="9">
        <f>Fig1_historical_Kaya!$C29</f>
        <v>6642.5140000000001</v>
      </c>
      <c r="D29" s="9">
        <f>Fig1_historical_Kaya!$C29</f>
        <v>6642.5140000000001</v>
      </c>
      <c r="F29" s="9">
        <f>Fig1_historical_Kaya!$E29</f>
        <v>187769.41631234501</v>
      </c>
      <c r="G29" s="9">
        <f>Fig1_historical_Kaya!$E29</f>
        <v>187769.41631234501</v>
      </c>
      <c r="H29" s="9">
        <f>Fig1_historical_Kaya!$E29</f>
        <v>187769.41631234501</v>
      </c>
      <c r="J29" s="9">
        <f t="shared" si="0"/>
        <v>785595.67631234508</v>
      </c>
      <c r="K29" s="9">
        <f t="shared" si="1"/>
        <v>785595.67631234508</v>
      </c>
      <c r="L29" s="9">
        <f t="shared" si="2"/>
        <v>785595.67631234508</v>
      </c>
      <c r="M29" s="9"/>
      <c r="N29" s="9">
        <f t="shared" si="4"/>
        <v>8728840.8479149453</v>
      </c>
      <c r="O29" s="9">
        <f t="shared" si="4"/>
        <v>8728840.8479149453</v>
      </c>
      <c r="P29" s="9">
        <f t="shared" si="4"/>
        <v>8728840.8479149453</v>
      </c>
      <c r="R29" s="50">
        <f>Fig1_historical_Kaya!$J29</f>
        <v>15.080854303119143</v>
      </c>
      <c r="S29" s="50">
        <f>Fig1_historical_Kaya!$J29</f>
        <v>15.080854303119143</v>
      </c>
      <c r="T29" s="50">
        <f>Fig1_historical_Kaya!$J29</f>
        <v>15.080854303119143</v>
      </c>
      <c r="V29" s="208"/>
      <c r="W29" s="209">
        <f>Fig1_historical_Kaya!$K29</f>
        <v>1.3572768872807228</v>
      </c>
      <c r="X29" s="209">
        <f>Fig1_historical_Kaya!$K29</f>
        <v>1.3572768872807228</v>
      </c>
      <c r="Y29" s="209">
        <f>Fig1_historical_Kaya!$K29</f>
        <v>1.3572768872807228</v>
      </c>
      <c r="AA29" s="31">
        <f>Fig1_historical_Kaya!$L29</f>
        <v>73.596412506656279</v>
      </c>
      <c r="AB29" s="31">
        <f>Fig1_historical_Kaya!$L29</f>
        <v>73.596412506656279</v>
      </c>
      <c r="AC29" s="31">
        <f>Fig1_historical_Kaya!$L29</f>
        <v>73.596412506656279</v>
      </c>
      <c r="AD29" s="9"/>
      <c r="AE29" s="31">
        <f>Fig1_carbon_eq_intensity!$Q29</f>
        <v>125.11390126131568</v>
      </c>
      <c r="AF29" s="31">
        <f>Fig1_carbon_eq_intensity!$Q29</f>
        <v>125.11390126131568</v>
      </c>
      <c r="AG29" s="31">
        <f>Fig1_carbon_eq_intensity!$Q29</f>
        <v>125.11390126131568</v>
      </c>
      <c r="AH29" s="9"/>
      <c r="AI29" s="85"/>
      <c r="AJ29" s="9">
        <f>Fig1_historical_Kaya!$B29/10^3</f>
        <v>0.87193010700000007</v>
      </c>
      <c r="AK29" s="9">
        <f t="shared" si="5"/>
        <v>0.87193010699999995</v>
      </c>
      <c r="AL29" s="9">
        <f t="shared" si="6"/>
        <v>0.87193010699999995</v>
      </c>
      <c r="AN29" s="9">
        <f>Fig1_historical_Kaya!$B29/10^3</f>
        <v>0.87193010700000007</v>
      </c>
      <c r="AO29" s="9">
        <f>Fig1_historical_Kaya!$B29/10^3</f>
        <v>0.87193010700000007</v>
      </c>
      <c r="AP29" s="9">
        <f>Fig1_historical_Kaya!$B29/10^3</f>
        <v>0.87193010700000007</v>
      </c>
      <c r="AR29" s="9">
        <f>Fig1_historical_Kaya!$B29/10^3</f>
        <v>0.87193010700000007</v>
      </c>
      <c r="AS29" s="9">
        <f>Fig1_historical_Kaya!$B29/10^3</f>
        <v>0.87193010700000007</v>
      </c>
      <c r="AT29" s="9">
        <f>Fig1_historical_Kaya!$B29/10^3</f>
        <v>0.87193010700000007</v>
      </c>
      <c r="AV29" s="9">
        <f t="shared" si="7"/>
        <v>1.4822811818999999</v>
      </c>
      <c r="AW29" s="9">
        <f t="shared" si="8"/>
        <v>1.4822811818999999</v>
      </c>
      <c r="AX29" s="9">
        <f t="shared" si="9"/>
        <v>1.4822811818999999</v>
      </c>
      <c r="AY29" s="252"/>
      <c r="AZ29" s="9">
        <f t="shared" si="10"/>
        <v>1.4822811818999999</v>
      </c>
      <c r="BA29" s="9">
        <f t="shared" si="11"/>
        <v>1.4822811818999999</v>
      </c>
      <c r="BB29" s="9">
        <f t="shared" si="12"/>
        <v>1.4822811818999999</v>
      </c>
      <c r="BC29" s="252"/>
      <c r="BD29" s="9">
        <f t="shared" si="13"/>
        <v>1.4822811818999999</v>
      </c>
      <c r="BE29" s="9">
        <f t="shared" si="14"/>
        <v>1.4822811818999999</v>
      </c>
      <c r="BF29" s="9">
        <f t="shared" si="15"/>
        <v>1.4822811818999999</v>
      </c>
    </row>
    <row r="30" spans="1:58" s="5" customFormat="1">
      <c r="A30" s="10">
        <v>2016</v>
      </c>
      <c r="B30" s="9">
        <f>Fig1_historical_Kaya!$C30</f>
        <v>7133.4610000000002</v>
      </c>
      <c r="C30" s="9">
        <f>Fig1_historical_Kaya!$C30</f>
        <v>7133.4610000000002</v>
      </c>
      <c r="D30" s="9">
        <f>Fig1_historical_Kaya!$C30</f>
        <v>7133.4610000000002</v>
      </c>
      <c r="F30" s="9">
        <f>Fig1_historical_Kaya!$E30</f>
        <v>194898.275094034</v>
      </c>
      <c r="G30" s="9">
        <f>Fig1_historical_Kaya!$E30</f>
        <v>194898.275094034</v>
      </c>
      <c r="H30" s="9">
        <f>Fig1_historical_Kaya!$E30</f>
        <v>194898.275094034</v>
      </c>
      <c r="J30" s="9">
        <f t="shared" si="0"/>
        <v>836909.76509403402</v>
      </c>
      <c r="K30" s="9">
        <f t="shared" si="1"/>
        <v>836909.76509403402</v>
      </c>
      <c r="L30" s="9">
        <f t="shared" si="2"/>
        <v>836909.76509403402</v>
      </c>
      <c r="M30" s="9"/>
      <c r="N30" s="9">
        <f t="shared" si="4"/>
        <v>9298997.3899337109</v>
      </c>
      <c r="O30" s="9">
        <f t="shared" si="4"/>
        <v>9298997.3899337109</v>
      </c>
      <c r="P30" s="9">
        <f t="shared" si="4"/>
        <v>9298997.3899337109</v>
      </c>
      <c r="R30" s="50">
        <f>Fig1_historical_Kaya!$J30</f>
        <v>14.775283399578271</v>
      </c>
      <c r="S30" s="50">
        <f>Fig1_historical_Kaya!$J30</f>
        <v>14.775283399578271</v>
      </c>
      <c r="T30" s="50">
        <f>Fig1_historical_Kaya!$J30</f>
        <v>14.775283399578271</v>
      </c>
      <c r="V30" s="208"/>
      <c r="W30" s="209">
        <f>Fig1_historical_Kaya!$K30</f>
        <v>1.3297755059620446</v>
      </c>
      <c r="X30" s="209">
        <f>Fig1_historical_Kaya!$K30</f>
        <v>1.3297755059620446</v>
      </c>
      <c r="Y30" s="209">
        <f>Fig1_historical_Kaya!$K30</f>
        <v>1.3297755059620446</v>
      </c>
      <c r="AA30" s="31">
        <f>Fig1_historical_Kaya!$L30</f>
        <v>73.846521624054589</v>
      </c>
      <c r="AB30" s="31">
        <f>Fig1_historical_Kaya!$L30</f>
        <v>73.846521624054589</v>
      </c>
      <c r="AC30" s="31">
        <f>Fig1_historical_Kaya!$L30</f>
        <v>73.846521624054589</v>
      </c>
      <c r="AD30" s="9"/>
      <c r="AE30" s="31">
        <f>Fig1_carbon_eq_intensity!$Q30</f>
        <v>125.53908676089277</v>
      </c>
      <c r="AF30" s="31">
        <f>Fig1_carbon_eq_intensity!$Q30</f>
        <v>125.53908676089277</v>
      </c>
      <c r="AG30" s="31">
        <f>Fig1_carbon_eq_intensity!$Q30</f>
        <v>125.53908676089277</v>
      </c>
      <c r="AH30" s="9"/>
      <c r="AI30" s="85"/>
      <c r="AJ30" s="9">
        <f>Fig1_historical_Kaya!$B30/10^3</f>
        <v>0.91315499400000011</v>
      </c>
      <c r="AK30" s="9">
        <f t="shared" si="5"/>
        <v>0.91315499400000011</v>
      </c>
      <c r="AL30" s="9">
        <f t="shared" si="6"/>
        <v>0.91315499400000011</v>
      </c>
      <c r="AN30" s="9">
        <f>Fig1_historical_Kaya!$B30/10^3</f>
        <v>0.91315499400000011</v>
      </c>
      <c r="AO30" s="9">
        <f>Fig1_historical_Kaya!$B30/10^3</f>
        <v>0.91315499400000011</v>
      </c>
      <c r="AP30" s="9">
        <f>Fig1_historical_Kaya!$B30/10^3</f>
        <v>0.91315499400000011</v>
      </c>
      <c r="AR30" s="9">
        <f>Fig1_historical_Kaya!$B30/10^3</f>
        <v>0.91315499400000011</v>
      </c>
      <c r="AS30" s="9">
        <f>Fig1_historical_Kaya!$B30/10^3</f>
        <v>0.91315499400000011</v>
      </c>
      <c r="AT30" s="9">
        <f>Fig1_historical_Kaya!$B30/10^3</f>
        <v>0.91315499400000011</v>
      </c>
      <c r="AV30" s="9">
        <f t="shared" si="7"/>
        <v>1.5523634898000001</v>
      </c>
      <c r="AW30" s="9">
        <f t="shared" si="8"/>
        <v>1.5523634898000001</v>
      </c>
      <c r="AX30" s="9">
        <f t="shared" si="9"/>
        <v>1.5523634898000001</v>
      </c>
      <c r="AY30" s="252"/>
      <c r="AZ30" s="9">
        <f t="shared" si="10"/>
        <v>1.5523634898000001</v>
      </c>
      <c r="BA30" s="9">
        <f t="shared" si="11"/>
        <v>1.5523634898000001</v>
      </c>
      <c r="BB30" s="9">
        <f t="shared" si="12"/>
        <v>1.5523634898000001</v>
      </c>
      <c r="BC30" s="252"/>
      <c r="BD30" s="9">
        <f t="shared" si="13"/>
        <v>1.5523634898000001</v>
      </c>
      <c r="BE30" s="9">
        <f t="shared" si="14"/>
        <v>1.5523634898000001</v>
      </c>
      <c r="BF30" s="9">
        <f t="shared" si="15"/>
        <v>1.5523634898000001</v>
      </c>
    </row>
    <row r="31" spans="1:58" s="5" customFormat="1">
      <c r="A31" s="10">
        <v>2017</v>
      </c>
      <c r="B31" s="9">
        <f>Fig1_historical_Kaya!$C31</f>
        <v>7699.42</v>
      </c>
      <c r="C31" s="9">
        <f>Fig1_historical_Kaya!$C31</f>
        <v>7699.42</v>
      </c>
      <c r="D31" s="9">
        <f>Fig1_historical_Kaya!$C31</f>
        <v>7699.42</v>
      </c>
      <c r="F31" s="9">
        <f>Fig1_historical_Kaya!$E31</f>
        <v>212866.64717206199</v>
      </c>
      <c r="G31" s="9">
        <f>Fig1_historical_Kaya!$E31</f>
        <v>212866.64717206199</v>
      </c>
      <c r="H31" s="9">
        <f>Fig1_historical_Kaya!$E31</f>
        <v>212866.64717206199</v>
      </c>
      <c r="J31" s="9">
        <f t="shared" si="0"/>
        <v>905814.44717206201</v>
      </c>
      <c r="K31" s="9">
        <f t="shared" si="1"/>
        <v>905814.44717206201</v>
      </c>
      <c r="L31" s="9">
        <f t="shared" si="2"/>
        <v>905814.44717206201</v>
      </c>
      <c r="M31" s="9"/>
      <c r="N31" s="9">
        <f t="shared" si="4"/>
        <v>10064604.968578465</v>
      </c>
      <c r="O31" s="9">
        <f t="shared" si="4"/>
        <v>10064604.968578465</v>
      </c>
      <c r="P31" s="9">
        <f t="shared" si="4"/>
        <v>10064604.968578465</v>
      </c>
      <c r="R31" s="50">
        <f>Fig1_historical_Kaya!$J31</f>
        <v>14.555888031102301</v>
      </c>
      <c r="S31" s="50">
        <f>Fig1_historical_Kaya!$J31</f>
        <v>14.555888031102301</v>
      </c>
      <c r="T31" s="50">
        <f>Fig1_historical_Kaya!$J31</f>
        <v>14.555888031102301</v>
      </c>
      <c r="V31" s="208"/>
      <c r="W31" s="209">
        <f>Fig1_historical_Kaya!$K31</f>
        <v>1.3100299227992074</v>
      </c>
      <c r="X31" s="209">
        <f>Fig1_historical_Kaya!$K31</f>
        <v>1.3100299227992074</v>
      </c>
      <c r="Y31" s="209">
        <f>Fig1_historical_Kaya!$K31</f>
        <v>1.3100299227992074</v>
      </c>
      <c r="AA31" s="31">
        <f>Fig1_historical_Kaya!$L31</f>
        <v>73.615946601924435</v>
      </c>
      <c r="AB31" s="31">
        <f>Fig1_historical_Kaya!$L31</f>
        <v>73.615946601924435</v>
      </c>
      <c r="AC31" s="31">
        <f>Fig1_historical_Kaya!$L31</f>
        <v>73.615946601924435</v>
      </c>
      <c r="AD31" s="9"/>
      <c r="AE31" s="31">
        <f>Fig1_carbon_eq_intensity!$Q31</f>
        <v>125.14710922327154</v>
      </c>
      <c r="AF31" s="31">
        <f>Fig1_carbon_eq_intensity!$Q31</f>
        <v>125.14710922327154</v>
      </c>
      <c r="AG31" s="31">
        <f>Fig1_carbon_eq_intensity!$Q31</f>
        <v>125.14710922327154</v>
      </c>
      <c r="AH31" s="9"/>
      <c r="AI31" s="85"/>
      <c r="AJ31" s="9">
        <f>Fig1_historical_Kaya!$B31/10^3</f>
        <v>0.97062137300000007</v>
      </c>
      <c r="AK31" s="9">
        <f t="shared" si="5"/>
        <v>0.97062137299999984</v>
      </c>
      <c r="AL31" s="9">
        <f t="shared" si="6"/>
        <v>0.97062137299999984</v>
      </c>
      <c r="AN31" s="9">
        <f>Fig1_historical_Kaya!$B31/10^3</f>
        <v>0.97062137300000007</v>
      </c>
      <c r="AO31" s="9">
        <f>Fig1_historical_Kaya!$B31/10^3</f>
        <v>0.97062137300000007</v>
      </c>
      <c r="AP31" s="9">
        <f>Fig1_historical_Kaya!$B31/10^3</f>
        <v>0.97062137300000007</v>
      </c>
      <c r="AR31" s="9">
        <f>Fig1_historical_Kaya!$B31/10^3</f>
        <v>0.97062137300000007</v>
      </c>
      <c r="AS31" s="9">
        <f>Fig1_historical_Kaya!$B31/10^3</f>
        <v>0.97062137300000007</v>
      </c>
      <c r="AT31" s="9">
        <f>Fig1_historical_Kaya!$B31/10^3</f>
        <v>0.97062137300000007</v>
      </c>
      <c r="AV31" s="9">
        <f t="shared" si="7"/>
        <v>1.6500563340999999</v>
      </c>
      <c r="AW31" s="9">
        <f t="shared" si="8"/>
        <v>1.6500563340999999</v>
      </c>
      <c r="AX31" s="9">
        <f t="shared" si="9"/>
        <v>1.6500563340999999</v>
      </c>
      <c r="AY31" s="252"/>
      <c r="AZ31" s="9">
        <f t="shared" si="10"/>
        <v>1.6500563340999999</v>
      </c>
      <c r="BA31" s="9">
        <f t="shared" si="11"/>
        <v>1.6500563340999999</v>
      </c>
      <c r="BB31" s="9">
        <f t="shared" si="12"/>
        <v>1.6500563340999999</v>
      </c>
      <c r="BC31" s="252"/>
      <c r="BD31" s="9">
        <f t="shared" si="13"/>
        <v>1.6500563340999999</v>
      </c>
      <c r="BE31" s="9">
        <f t="shared" si="14"/>
        <v>1.6500563340999999</v>
      </c>
      <c r="BF31" s="9">
        <f t="shared" si="15"/>
        <v>1.6500563340999999</v>
      </c>
    </row>
    <row r="32" spans="1:58" s="5" customFormat="1">
      <c r="A32" s="10">
        <v>2018</v>
      </c>
      <c r="B32" s="9">
        <f>Fig1_historical_Kaya!$C32</f>
        <v>8148.1362783487639</v>
      </c>
      <c r="C32" s="9">
        <f>Fig1_historical_Kaya!$C32</f>
        <v>8148.1362783487639</v>
      </c>
      <c r="D32" s="9">
        <f>Fig1_historical_Kaya!$C32</f>
        <v>8148.1362783487639</v>
      </c>
      <c r="F32" s="9">
        <f>Fig1_historical_Kaya!$E32</f>
        <v>221165.70077933499</v>
      </c>
      <c r="G32" s="9">
        <f>Fig1_historical_Kaya!$E32</f>
        <v>221165.70077933499</v>
      </c>
      <c r="H32" s="9">
        <f>Fig1_historical_Kaya!$E32</f>
        <v>221165.70077933499</v>
      </c>
      <c r="J32" s="9">
        <f t="shared" si="0"/>
        <v>954497.96583072376</v>
      </c>
      <c r="K32" s="9">
        <f t="shared" si="1"/>
        <v>954497.96583072376</v>
      </c>
      <c r="L32" s="9">
        <f t="shared" si="2"/>
        <v>954497.96583072376</v>
      </c>
      <c r="M32" s="9"/>
      <c r="N32" s="9">
        <f t="shared" si="4"/>
        <v>10605532.953674708</v>
      </c>
      <c r="O32" s="9">
        <f t="shared" si="4"/>
        <v>10605532.953674708</v>
      </c>
      <c r="P32" s="9">
        <f t="shared" si="4"/>
        <v>10605532.953674708</v>
      </c>
      <c r="R32" s="50">
        <f>Fig1_historical_Kaya!$J32</f>
        <v>14.424016294141925</v>
      </c>
      <c r="S32" s="50">
        <f>Fig1_historical_Kaya!$J32</f>
        <v>14.424016294141925</v>
      </c>
      <c r="T32" s="50">
        <f>Fig1_historical_Kaya!$J32</f>
        <v>14.424016294141925</v>
      </c>
      <c r="V32" s="208"/>
      <c r="W32" s="209">
        <f>Fig1_historical_Kaya!$K32</f>
        <v>1.2981614664727734</v>
      </c>
      <c r="X32" s="209">
        <f>Fig1_historical_Kaya!$K32</f>
        <v>1.2981614664727734</v>
      </c>
      <c r="Y32" s="209">
        <f>Fig1_historical_Kaya!$K32</f>
        <v>1.2981614664727734</v>
      </c>
      <c r="AA32" s="31">
        <f>Fig1_historical_Kaya!$L32</f>
        <v>73.186926256064055</v>
      </c>
      <c r="AB32" s="31">
        <f>Fig1_historical_Kaya!$L32</f>
        <v>73.186926256064055</v>
      </c>
      <c r="AC32" s="31">
        <f>Fig1_historical_Kaya!$L32</f>
        <v>73.186926256064055</v>
      </c>
      <c r="AD32" s="9"/>
      <c r="AE32" s="31">
        <f>Fig1_carbon_eq_intensity!$Q32</f>
        <v>124.4177746353089</v>
      </c>
      <c r="AF32" s="31">
        <f>Fig1_carbon_eq_intensity!$Q32</f>
        <v>124.4177746353089</v>
      </c>
      <c r="AG32" s="31">
        <f>Fig1_carbon_eq_intensity!$Q32</f>
        <v>124.4177746353089</v>
      </c>
      <c r="AH32" s="9"/>
      <c r="AI32" s="85"/>
      <c r="AJ32" s="9">
        <f>Fig1_historical_Kaya!$B32/10^3</f>
        <v>1.007615221</v>
      </c>
      <c r="AK32" s="9">
        <f t="shared" si="5"/>
        <v>1.007615221</v>
      </c>
      <c r="AL32" s="9">
        <f t="shared" si="6"/>
        <v>1.007615221</v>
      </c>
      <c r="AN32" s="9">
        <f>Fig1_historical_Kaya!$B32/10^3</f>
        <v>1.007615221</v>
      </c>
      <c r="AO32" s="9">
        <f>Fig1_historical_Kaya!$B32/10^3</f>
        <v>1.007615221</v>
      </c>
      <c r="AP32" s="9">
        <f>Fig1_historical_Kaya!$B32/10^3</f>
        <v>1.007615221</v>
      </c>
      <c r="AR32" s="9">
        <f>Fig1_historical_Kaya!$B32/10^3</f>
        <v>1.007615221</v>
      </c>
      <c r="AS32" s="9">
        <f>Fig1_historical_Kaya!$B32/10^3</f>
        <v>1.007615221</v>
      </c>
      <c r="AT32" s="9">
        <f>Fig1_historical_Kaya!$B32/10^3</f>
        <v>1.007615221</v>
      </c>
      <c r="AV32" s="9">
        <f t="shared" si="7"/>
        <v>1.7129458757</v>
      </c>
      <c r="AW32" s="9">
        <f t="shared" si="8"/>
        <v>1.7129458757</v>
      </c>
      <c r="AX32" s="9">
        <f t="shared" si="9"/>
        <v>1.7129458757</v>
      </c>
      <c r="AY32" s="252"/>
      <c r="AZ32" s="9">
        <f t="shared" si="10"/>
        <v>1.7129458757</v>
      </c>
      <c r="BA32" s="9">
        <f t="shared" si="11"/>
        <v>1.7129458757</v>
      </c>
      <c r="BB32" s="9">
        <f t="shared" si="12"/>
        <v>1.7129458757</v>
      </c>
      <c r="BC32" s="252"/>
      <c r="BD32" s="9">
        <f t="shared" si="13"/>
        <v>1.7129458757</v>
      </c>
      <c r="BE32" s="9">
        <f t="shared" si="14"/>
        <v>1.7129458757</v>
      </c>
      <c r="BF32" s="9">
        <f t="shared" si="15"/>
        <v>1.7129458757</v>
      </c>
    </row>
    <row r="33" spans="1:58">
      <c r="A33" s="10">
        <v>2019</v>
      </c>
      <c r="B33" s="9">
        <f>Fig1_historical_Kaya!$C33</f>
        <v>8596.8525566975295</v>
      </c>
      <c r="C33" s="9">
        <f>Fig1_historical_Kaya!$C33</f>
        <v>8596.8525566975295</v>
      </c>
      <c r="D33" s="9">
        <f>Fig1_historical_Kaya!$C33</f>
        <v>8596.8525566975295</v>
      </c>
      <c r="F33" s="9">
        <f>Fig1_historical_Kaya!$E33</f>
        <v>221495.759188436</v>
      </c>
      <c r="G33" s="9">
        <f>Fig1_historical_Kaya!$E33</f>
        <v>221495.759188436</v>
      </c>
      <c r="H33" s="9">
        <f>Fig1_historical_Kaya!$E33</f>
        <v>221495.759188436</v>
      </c>
      <c r="J33" s="9">
        <f t="shared" si="0"/>
        <v>995212.48929121357</v>
      </c>
      <c r="K33" s="9">
        <f t="shared" si="1"/>
        <v>995212.48929121357</v>
      </c>
      <c r="L33" s="9">
        <f t="shared" si="2"/>
        <v>995212.48929121357</v>
      </c>
      <c r="M33" s="9"/>
      <c r="N33" s="9">
        <f t="shared" si="4"/>
        <v>11057916.547680151</v>
      </c>
      <c r="O33" s="9">
        <f t="shared" si="4"/>
        <v>11057916.547680151</v>
      </c>
      <c r="P33" s="9">
        <f t="shared" si="4"/>
        <v>11057916.547680151</v>
      </c>
      <c r="Q33" s="9"/>
      <c r="R33" s="50">
        <f>Fig1_historical_Kaya!$J33</f>
        <v>14.046170256969022</v>
      </c>
      <c r="S33" s="50">
        <f>Fig1_historical_Kaya!$J33</f>
        <v>14.046170256969022</v>
      </c>
      <c r="T33" s="50">
        <f>Fig1_historical_Kaya!$J33</f>
        <v>14.046170256969022</v>
      </c>
      <c r="W33" s="209">
        <f>Fig1_historical_Kaya!$K33</f>
        <v>1.264155323127212</v>
      </c>
      <c r="X33" s="209">
        <f>Fig1_historical_Kaya!$K33</f>
        <v>1.264155323127212</v>
      </c>
      <c r="Y33" s="209">
        <f>Fig1_historical_Kaya!$K33</f>
        <v>1.264155323127212</v>
      </c>
      <c r="AA33" s="31">
        <f>Fig1_historical_Kaya!$L33</f>
        <v>73.467742947764577</v>
      </c>
      <c r="AB33" s="31">
        <f>Fig1_historical_Kaya!$L33</f>
        <v>73.467742947764577</v>
      </c>
      <c r="AC33" s="31">
        <f>Fig1_historical_Kaya!$L33</f>
        <v>73.467742947764577</v>
      </c>
      <c r="AD33" s="9"/>
      <c r="AE33" s="31">
        <f>Fig1_carbon_eq_intensity!$Q33</f>
        <v>124.89516301119977</v>
      </c>
      <c r="AF33" s="31">
        <f>Fig1_carbon_eq_intensity!$Q33</f>
        <v>124.89516301119977</v>
      </c>
      <c r="AG33" s="31">
        <f>Fig1_carbon_eq_intensity!$Q33</f>
        <v>124.89516301119977</v>
      </c>
      <c r="AH33" s="9"/>
      <c r="AJ33" s="9">
        <f>Fig1_historical_Kaya!$B33/10^3</f>
        <v>1.0269999999999999</v>
      </c>
      <c r="AK33" s="9">
        <f t="shared" si="5"/>
        <v>1.0269999999999999</v>
      </c>
      <c r="AL33" s="9">
        <f t="shared" si="6"/>
        <v>1.0269999999999999</v>
      </c>
      <c r="AN33" s="9">
        <f>Fig1_historical_Kaya!$B33/10^3</f>
        <v>1.0269999999999999</v>
      </c>
      <c r="AO33" s="9">
        <f>Fig1_historical_Kaya!$B33/10^3</f>
        <v>1.0269999999999999</v>
      </c>
      <c r="AP33" s="9">
        <f>Fig1_historical_Kaya!$B33/10^3</f>
        <v>1.0269999999999999</v>
      </c>
      <c r="AR33" s="9">
        <f>Fig1_historical_Kaya!$B33/10^3</f>
        <v>1.0269999999999999</v>
      </c>
      <c r="AS33" s="9">
        <f>Fig1_historical_Kaya!$B33/10^3</f>
        <v>1.0269999999999999</v>
      </c>
      <c r="AT33" s="9">
        <f>Fig1_historical_Kaya!$B33/10^3</f>
        <v>1.0269999999999999</v>
      </c>
      <c r="AV33" s="50">
        <f t="shared" si="7"/>
        <v>1.7458999999999998</v>
      </c>
      <c r="AW33" s="50">
        <f t="shared" si="8"/>
        <v>1.7458999999999998</v>
      </c>
      <c r="AX33" s="50">
        <f t="shared" si="9"/>
        <v>1.7458999999999998</v>
      </c>
      <c r="AZ33" s="9">
        <f t="shared" si="10"/>
        <v>1.7458999999999998</v>
      </c>
      <c r="BA33" s="9">
        <f t="shared" si="11"/>
        <v>1.7458999999999998</v>
      </c>
      <c r="BB33" s="9">
        <f t="shared" si="12"/>
        <v>1.7458999999999998</v>
      </c>
      <c r="BD33" s="9">
        <f t="shared" si="13"/>
        <v>1.7458999999999998</v>
      </c>
      <c r="BE33" s="9">
        <f t="shared" si="14"/>
        <v>1.7458999999999998</v>
      </c>
      <c r="BF33" s="9">
        <f t="shared" si="15"/>
        <v>1.7458999999999998</v>
      </c>
    </row>
    <row r="34" spans="1:58">
      <c r="A34" s="10">
        <v>2020</v>
      </c>
      <c r="B34" s="9">
        <f>Fig1_historical_Kaya!$C34</f>
        <v>2990.002</v>
      </c>
      <c r="C34" s="9">
        <f>Fig1_historical_Kaya!$C34</f>
        <v>2990.002</v>
      </c>
      <c r="D34" s="9">
        <f>Fig1_historical_Kaya!$C34</f>
        <v>2990.002</v>
      </c>
      <c r="F34" s="9">
        <f>Fig1_historical_Kaya!$E34</f>
        <v>180530.796503552</v>
      </c>
      <c r="G34" s="9">
        <f>Fig1_historical_Kaya!$E34</f>
        <v>180530.796503552</v>
      </c>
      <c r="H34" s="9">
        <f>Fig1_historical_Kaya!$E34</f>
        <v>180530.796503552</v>
      </c>
      <c r="J34" s="9">
        <f t="shared" si="0"/>
        <v>449630.976503552</v>
      </c>
      <c r="K34" s="9">
        <f t="shared" si="1"/>
        <v>449630.976503552</v>
      </c>
      <c r="L34" s="9">
        <f t="shared" si="2"/>
        <v>449630.976503552</v>
      </c>
      <c r="M34" s="9"/>
      <c r="N34" s="9">
        <f t="shared" si="4"/>
        <v>4995899.7389283553</v>
      </c>
      <c r="O34" s="9">
        <f t="shared" si="4"/>
        <v>4995899.7389283553</v>
      </c>
      <c r="P34" s="9">
        <f t="shared" si="4"/>
        <v>4995899.7389283553</v>
      </c>
      <c r="Q34" s="9"/>
      <c r="R34" s="50">
        <f>Fig1_historical_Kaya!$J34</f>
        <v>18.345083922942074</v>
      </c>
      <c r="S34" s="50">
        <f>Fig1_historical_Kaya!$J34</f>
        <v>18.345083922942074</v>
      </c>
      <c r="T34" s="50">
        <f>Fig1_historical_Kaya!$J34</f>
        <v>18.345083922942074</v>
      </c>
      <c r="W34" s="209">
        <f>Fig1_historical_Kaya!$K34</f>
        <v>1.6510575530647869</v>
      </c>
      <c r="X34" s="209">
        <f>Fig1_historical_Kaya!$K34</f>
        <v>1.6510575530647869</v>
      </c>
      <c r="Y34" s="209">
        <f>Fig1_historical_Kaya!$K34</f>
        <v>1.6510575530647869</v>
      </c>
      <c r="AA34" s="31">
        <f>Fig1_historical_Kaya!$L34</f>
        <v>73.467742947764592</v>
      </c>
      <c r="AB34" s="31">
        <f>Fig1_historical_Kaya!$L34</f>
        <v>73.467742947764592</v>
      </c>
      <c r="AC34" s="31">
        <f>Fig1_historical_Kaya!$L34</f>
        <v>73.467742947764592</v>
      </c>
      <c r="AD34" s="9"/>
      <c r="AE34" s="31">
        <f>Fig1_carbon_eq_intensity!$Q34</f>
        <v>124.89516301119983</v>
      </c>
      <c r="AF34" s="31">
        <f>Fig1_carbon_eq_intensity!$Q34</f>
        <v>124.89516301119983</v>
      </c>
      <c r="AG34" s="31">
        <f>Fig1_carbon_eq_intensity!$Q34</f>
        <v>124.89516301119983</v>
      </c>
      <c r="AH34" s="9"/>
      <c r="AJ34" s="9">
        <f>Fig1_historical_Kaya!$B34/10^3</f>
        <v>0.60599999999999998</v>
      </c>
      <c r="AK34" s="9">
        <f t="shared" si="5"/>
        <v>0.60599999999999987</v>
      </c>
      <c r="AL34" s="9">
        <f t="shared" si="6"/>
        <v>0.60599999999999987</v>
      </c>
      <c r="AN34" s="9">
        <f>Fig1_historical_Kaya!$B34/10^3</f>
        <v>0.60599999999999998</v>
      </c>
      <c r="AO34" s="9">
        <f>Fig1_historical_Kaya!$B34/10^3</f>
        <v>0.60599999999999998</v>
      </c>
      <c r="AP34" s="9">
        <f>Fig1_historical_Kaya!$B34/10^3</f>
        <v>0.60599999999999998</v>
      </c>
      <c r="AQ34" s="9"/>
      <c r="AR34" s="9">
        <f>Fig1_historical_Kaya!$B34/10^3</f>
        <v>0.60599999999999998</v>
      </c>
      <c r="AS34" s="9">
        <f>Fig1_historical_Kaya!$B34/10^3</f>
        <v>0.60599999999999998</v>
      </c>
      <c r="AT34" s="9">
        <f>Fig1_historical_Kaya!$B34/10^3</f>
        <v>0.60599999999999998</v>
      </c>
      <c r="AV34" s="9">
        <f t="shared" si="7"/>
        <v>1.0302</v>
      </c>
      <c r="AW34" s="9">
        <f t="shared" si="8"/>
        <v>1.0302</v>
      </c>
      <c r="AX34" s="9">
        <f t="shared" si="9"/>
        <v>1.0302</v>
      </c>
      <c r="AZ34" s="9">
        <f t="shared" si="10"/>
        <v>1.0302</v>
      </c>
      <c r="BA34" s="9">
        <f t="shared" si="11"/>
        <v>1.0302</v>
      </c>
      <c r="BB34" s="9">
        <f t="shared" si="12"/>
        <v>1.0302</v>
      </c>
      <c r="BD34" s="9">
        <f t="shared" si="13"/>
        <v>1.0302</v>
      </c>
      <c r="BE34" s="9">
        <f t="shared" si="14"/>
        <v>1.0302</v>
      </c>
      <c r="BF34" s="9">
        <f t="shared" si="15"/>
        <v>1.0302</v>
      </c>
    </row>
    <row r="35" spans="1:58" s="45" customFormat="1" ht="17" thickBot="1">
      <c r="A35" s="76">
        <v>2021</v>
      </c>
      <c r="B35" s="77">
        <f>Fig1_historical_Kaya!$C35</f>
        <v>6079.6885677062601</v>
      </c>
      <c r="C35" s="77">
        <f>Fig1_historical_Kaya!$C35</f>
        <v>6079.6885677062601</v>
      </c>
      <c r="D35" s="77">
        <f>Fig1_historical_Kaya!$C35</f>
        <v>6079.6885677062601</v>
      </c>
      <c r="F35" s="77">
        <f>Fig1_historical_Kaya!$E35</f>
        <v>238993.92416432244</v>
      </c>
      <c r="G35" s="77">
        <f>Fig1_historical_Kaya!$E35</f>
        <v>238993.92416432244</v>
      </c>
      <c r="H35" s="77">
        <f>Fig1_historical_Kaya!$E35</f>
        <v>238993.92416432244</v>
      </c>
      <c r="J35" s="77">
        <f t="shared" si="0"/>
        <v>786165.89525788592</v>
      </c>
      <c r="K35" s="77">
        <f t="shared" si="1"/>
        <v>786165.89525788592</v>
      </c>
      <c r="L35" s="77">
        <f t="shared" si="2"/>
        <v>786165.89525788592</v>
      </c>
      <c r="M35" s="77"/>
      <c r="N35" s="77">
        <f>(($F35*10^3)/90)+($B35*10^3)</f>
        <v>8735176.6139765084</v>
      </c>
      <c r="O35" s="77">
        <f t="shared" si="4"/>
        <v>8735176.6139765084</v>
      </c>
      <c r="P35" s="77">
        <f t="shared" si="4"/>
        <v>8735176.6139765084</v>
      </c>
      <c r="Q35" s="77"/>
      <c r="R35" s="78">
        <f>Fig1_historical_Kaya!$J35</f>
        <v>12.574809105739336</v>
      </c>
      <c r="S35" s="78">
        <f>Fig1_historical_Kaya!$J35</f>
        <v>12.574809105739336</v>
      </c>
      <c r="T35" s="78">
        <f>Fig1_historical_Kaya!$J35</f>
        <v>12.574809105739336</v>
      </c>
      <c r="W35" s="230">
        <f>Fig1_historical_Kaya!$K35</f>
        <v>1.1317328195165404</v>
      </c>
      <c r="X35" s="230">
        <f>Fig1_historical_Kaya!$K35</f>
        <v>1.1317328195165404</v>
      </c>
      <c r="Y35" s="230">
        <f>Fig1_historical_Kaya!$K35</f>
        <v>1.1317328195165404</v>
      </c>
      <c r="AA35" s="148">
        <f>Fig1_historical_Kaya!$L35</f>
        <v>73.467742947764563</v>
      </c>
      <c r="AB35" s="148">
        <f>Fig1_historical_Kaya!$L35</f>
        <v>73.467742947764563</v>
      </c>
      <c r="AC35" s="148">
        <f>Fig1_historical_Kaya!$L35</f>
        <v>73.467742947764563</v>
      </c>
      <c r="AD35" s="77"/>
      <c r="AE35" s="148">
        <f>Fig1_carbon_eq_intensity!$Q35</f>
        <v>124.89516301119976</v>
      </c>
      <c r="AF35" s="148">
        <f>Fig1_carbon_eq_intensity!$Q35</f>
        <v>124.89516301119976</v>
      </c>
      <c r="AG35" s="148">
        <f>Fig1_carbon_eq_intensity!$Q35</f>
        <v>124.89516301119976</v>
      </c>
      <c r="AH35" s="77"/>
      <c r="AJ35" s="77">
        <f>Fig1_historical_Kaya!$B35/10^3</f>
        <v>0.72629373574285117</v>
      </c>
      <c r="AK35" s="77">
        <f t="shared" si="5"/>
        <v>0.72629373574285128</v>
      </c>
      <c r="AL35" s="77">
        <f t="shared" si="6"/>
        <v>0.72629373574285128</v>
      </c>
      <c r="AN35" s="77">
        <f>Fig1_historical_Kaya!$B35/10^3</f>
        <v>0.72629373574285117</v>
      </c>
      <c r="AO35" s="77">
        <f>Fig1_historical_Kaya!$B35/10^3</f>
        <v>0.72629373574285117</v>
      </c>
      <c r="AP35" s="77">
        <f>Fig1_historical_Kaya!$B35/10^3</f>
        <v>0.72629373574285117</v>
      </c>
      <c r="AR35" s="77">
        <f>Fig1_historical_Kaya!$B35/10^3</f>
        <v>0.72629373574285117</v>
      </c>
      <c r="AS35" s="77">
        <f>Fig1_historical_Kaya!$B35/10^3</f>
        <v>0.72629373574285117</v>
      </c>
      <c r="AT35" s="77">
        <f>Fig1_historical_Kaya!$B35/10^3</f>
        <v>0.72629373574285117</v>
      </c>
      <c r="AV35" s="77">
        <f t="shared" si="7"/>
        <v>1.2346993507628472</v>
      </c>
      <c r="AW35" s="77">
        <f t="shared" si="8"/>
        <v>1.2346993507628472</v>
      </c>
      <c r="AX35" s="77">
        <f t="shared" si="9"/>
        <v>1.2346993507628472</v>
      </c>
      <c r="AZ35" s="77">
        <f t="shared" si="10"/>
        <v>1.2346993507628472</v>
      </c>
      <c r="BA35" s="77">
        <f t="shared" si="11"/>
        <v>1.2346993507628472</v>
      </c>
      <c r="BB35" s="77">
        <f t="shared" si="12"/>
        <v>1.2346993507628472</v>
      </c>
      <c r="BD35" s="77">
        <f t="shared" si="13"/>
        <v>1.2346993507628472</v>
      </c>
      <c r="BE35" s="77">
        <f t="shared" si="14"/>
        <v>1.2346993507628472</v>
      </c>
      <c r="BF35" s="77">
        <f t="shared" si="15"/>
        <v>1.2346993507628472</v>
      </c>
    </row>
    <row r="36" spans="1:58">
      <c r="A36" s="10">
        <v>2022</v>
      </c>
      <c r="B36" s="9">
        <f>(($B$38-$B$35)/3)+B35</f>
        <v>6918.7432307033496</v>
      </c>
      <c r="C36" s="9">
        <f>(($C$38-$C$35)/3)+C35</f>
        <v>6918.7432307033496</v>
      </c>
      <c r="D36" s="9">
        <f>(($D$64-$D$35)/29)+D35</f>
        <v>6202.0605089405699</v>
      </c>
      <c r="E36" s="9"/>
      <c r="F36" s="9">
        <f>F35*1.04</f>
        <v>248553.68113089533</v>
      </c>
      <c r="G36" s="9">
        <f>G35*1.026</f>
        <v>245207.76619259483</v>
      </c>
      <c r="H36" s="9">
        <f>(($H$64-$H$35)/29)+H35</f>
        <v>239307.07334110609</v>
      </c>
      <c r="I36" s="9"/>
      <c r="J36" s="9">
        <f t="shared" ref="J36:J64" si="16">(((B36*10^3)*90)/10^3)+F36</f>
        <v>871240.57189419679</v>
      </c>
      <c r="K36" s="9">
        <f t="shared" ref="K36:K64" si="17">(((C36*10^3)*90)/10^3)+G36</f>
        <v>867894.65695589618</v>
      </c>
      <c r="L36" s="9">
        <f t="shared" ref="L36:L64" si="18">(((D36*10^3)*90)/10^3)+H36</f>
        <v>797492.51914575731</v>
      </c>
      <c r="M36" s="9"/>
      <c r="N36" s="9">
        <f>((F36*10^3)/90)+(B36*10^3)</f>
        <v>9680450.798824409</v>
      </c>
      <c r="O36" s="9">
        <f t="shared" ref="O36:P36" si="19">((G36*10^3)/90)+(C36*10^3)</f>
        <v>9643273.9661766253</v>
      </c>
      <c r="P36" s="9">
        <f t="shared" si="19"/>
        <v>8861027.9905084148</v>
      </c>
      <c r="Q36" s="9"/>
      <c r="R36" s="50">
        <f>R35*0.99</f>
        <v>12.449061014681941</v>
      </c>
      <c r="S36" s="50">
        <f>S35*0.98</f>
        <v>12.323312923624549</v>
      </c>
      <c r="T36" s="50">
        <f>T35-($T$35-$T$39)/4</f>
        <v>11.654009920430333</v>
      </c>
      <c r="W36" s="9">
        <f>W35*0.99</f>
        <v>1.1204154913213749</v>
      </c>
      <c r="X36" s="9">
        <f>X35*0.98</f>
        <v>1.1090981631262096</v>
      </c>
      <c r="Y36" s="30">
        <f>Y35-($Y$35-$Y$39)/4</f>
        <v>1.0488608928387302</v>
      </c>
      <c r="AA36" s="31">
        <f>Fig1_carbon_intensity!B6</f>
        <v>73.467742947764563</v>
      </c>
      <c r="AB36" s="31">
        <f>Fig1_carbon_intensity!F6</f>
        <v>73.467742947764563</v>
      </c>
      <c r="AC36" s="31">
        <f>Fig1_carbon_intensity!J6</f>
        <v>73.467742947764563</v>
      </c>
      <c r="AD36" s="9"/>
      <c r="AE36" s="31">
        <f>Fig1_carbon_eq_intensity!H40</f>
        <v>124.89516301119976</v>
      </c>
      <c r="AF36" s="31">
        <f>Fig1_carbon_eq_intensity!L40</f>
        <v>124.89516301119976</v>
      </c>
      <c r="AG36" s="31">
        <f>Fig1_carbon_eq_intensity!P40</f>
        <v>124.89516301119976</v>
      </c>
      <c r="AH36" s="9"/>
      <c r="AJ36" s="9">
        <f>($J36*$R36*AA36)/10^9</f>
        <v>0.79684047320491125</v>
      </c>
      <c r="AK36" s="9">
        <f>($J36*$R36*AB36)/10^9</f>
        <v>0.79684047320491125</v>
      </c>
      <c r="AL36" s="9">
        <f t="shared" si="6"/>
        <v>0.79684047320491125</v>
      </c>
      <c r="AN36" s="9">
        <f>($K36*$S36*AA36)/10^9</f>
        <v>0.78576230195852748</v>
      </c>
      <c r="AO36" s="9">
        <f>($K36*$S36*AB36)/10^9</f>
        <v>0.78576230195852748</v>
      </c>
      <c r="AP36" s="9">
        <f>($K36*$S36*AC36)/10^9</f>
        <v>0.78576230195852748</v>
      </c>
      <c r="AR36" s="9">
        <f>($L36*$T36*AA36)/10^9</f>
        <v>0.68280815454197707</v>
      </c>
      <c r="AS36" s="9">
        <f>($L36*$T36*AB36)/10^9</f>
        <v>0.68280815454197707</v>
      </c>
      <c r="AT36" s="9">
        <f>($L36*$T36*AC36)/10^9</f>
        <v>0.68280815454197707</v>
      </c>
      <c r="AV36" s="9">
        <f t="shared" si="7"/>
        <v>1.3546288044483492</v>
      </c>
      <c r="AW36" s="9">
        <f t="shared" si="8"/>
        <v>1.3546288044483492</v>
      </c>
      <c r="AX36" s="9">
        <f t="shared" si="9"/>
        <v>1.3546288044483492</v>
      </c>
      <c r="AZ36" s="9">
        <f t="shared" si="10"/>
        <v>1.3357959133294965</v>
      </c>
      <c r="BA36" s="9">
        <f t="shared" si="11"/>
        <v>1.3357959133294965</v>
      </c>
      <c r="BB36" s="9">
        <f t="shared" si="12"/>
        <v>1.3357959133294965</v>
      </c>
      <c r="BD36" s="9">
        <f t="shared" si="13"/>
        <v>1.1607738627213611</v>
      </c>
      <c r="BE36" s="9">
        <f t="shared" si="14"/>
        <v>1.1607738627213611</v>
      </c>
      <c r="BF36" s="9">
        <f t="shared" si="15"/>
        <v>1.1607738627213611</v>
      </c>
    </row>
    <row r="37" spans="1:58">
      <c r="A37" s="10">
        <v>2023</v>
      </c>
      <c r="B37" s="9">
        <f>(($B$38-$B$35)/3)+B36</f>
        <v>7757.7978937004391</v>
      </c>
      <c r="C37" s="9">
        <f>(($C$38-$C$35)/3)+C36</f>
        <v>7757.7978937004391</v>
      </c>
      <c r="D37" s="9">
        <f t="shared" ref="D37:D63" si="20">(($D$64-$D$35)/29)+D36</f>
        <v>6324.4324501748797</v>
      </c>
      <c r="E37" s="9"/>
      <c r="F37" s="9">
        <f t="shared" ref="F37:F64" si="21">F36*1.04</f>
        <v>258495.82837613116</v>
      </c>
      <c r="G37" s="9">
        <f t="shared" ref="G37:G64" si="22">G36*1.026</f>
        <v>251583.1681136023</v>
      </c>
      <c r="H37" s="9">
        <f>(($H$64-$H$35)/29)+H36</f>
        <v>239620.22251788975</v>
      </c>
      <c r="I37" s="9"/>
      <c r="J37" s="9">
        <f t="shared" si="16"/>
        <v>956697.63880917069</v>
      </c>
      <c r="K37" s="9">
        <f t="shared" si="17"/>
        <v>949784.97854664188</v>
      </c>
      <c r="L37" s="9">
        <f t="shared" si="18"/>
        <v>808819.14303362882</v>
      </c>
      <c r="M37" s="9"/>
      <c r="N37" s="9">
        <f t="shared" ref="N37:N63" si="23">((F37*10^3)/90)+(B37*10^3)</f>
        <v>10629973.764546342</v>
      </c>
      <c r="O37" s="9">
        <f t="shared" ref="O37:O64" si="24">((G37*10^3)/90)+(C37*10^3)</f>
        <v>10553166.42829602</v>
      </c>
      <c r="P37" s="9">
        <f t="shared" ref="P37:P64" si="25">((H37*10^3)/90)+(D37*10^3)</f>
        <v>8986879.3670403212</v>
      </c>
      <c r="Q37" s="9"/>
      <c r="R37" s="50">
        <f t="shared" ref="R37:R63" si="26">R36*0.99</f>
        <v>12.324570404535121</v>
      </c>
      <c r="S37" s="50">
        <f t="shared" ref="S37:S64" si="27">S36*0.98</f>
        <v>12.076846665152058</v>
      </c>
      <c r="T37" s="50">
        <f t="shared" ref="T37:T38" si="28">T36-($T$35-$T$39)/4</f>
        <v>10.733210735121331</v>
      </c>
      <c r="W37" s="9">
        <f t="shared" ref="W37:W62" si="29">W36*0.99</f>
        <v>1.1092113364081611</v>
      </c>
      <c r="X37" s="9">
        <f t="shared" ref="X37:X64" si="30">X36*0.98</f>
        <v>1.0869161998636854</v>
      </c>
      <c r="Y37" s="30">
        <f t="shared" ref="Y37:Y38" si="31">Y36-($Y$35-$Y$39)/4</f>
        <v>0.96598896616091989</v>
      </c>
      <c r="AA37" s="31">
        <f>Fig1_carbon_intensity!B7</f>
        <v>73.467742947764563</v>
      </c>
      <c r="AB37" s="31">
        <f>Fig1_carbon_intensity!F7</f>
        <v>72.977957994779473</v>
      </c>
      <c r="AC37" s="31">
        <f>Fig1_carbon_intensity!J7</f>
        <v>70.843894985344406</v>
      </c>
      <c r="AD37" s="9"/>
      <c r="AE37" s="31">
        <f>Fig1_carbon_eq_intensity!H41</f>
        <v>124.89516301119976</v>
      </c>
      <c r="AF37" s="31">
        <f>Fig1_carbon_eq_intensity!L41</f>
        <v>124.40537805821467</v>
      </c>
      <c r="AG37" s="31">
        <f>Fig1_carbon_eq_intensity!P41</f>
        <v>122.2713150487796</v>
      </c>
      <c r="AH37" s="9"/>
      <c r="AJ37" s="9">
        <f t="shared" ref="AJ37:AJ64" si="32">($J37*$R37*AA37)/10^9</f>
        <v>0.86624988502273925</v>
      </c>
      <c r="AK37" s="9">
        <f t="shared" ref="AK37:AK64" si="33">($J37*$R37*AB37)/10^9</f>
        <v>0.86047488578925457</v>
      </c>
      <c r="AL37" s="9">
        <f t="shared" si="6"/>
        <v>0.83531238912907013</v>
      </c>
      <c r="AN37" s="9">
        <f t="shared" ref="AN37:AN64" si="34">($K37*$S37*AA37)/10^9</f>
        <v>0.84270495344625407</v>
      </c>
      <c r="AO37" s="9">
        <f t="shared" ref="AO37:AO64" si="35">($K37*$S37*AB37)/10^9</f>
        <v>0.83708692042327904</v>
      </c>
      <c r="AP37" s="9">
        <f t="shared" ref="AP37:AP64" si="36">($K37*$S37*AC37)/10^9</f>
        <v>0.81260834796603076</v>
      </c>
      <c r="AR37" s="9">
        <f t="shared" ref="AR37:AR64" si="37">($L37*$T37*AA37)/10^9</f>
        <v>0.63779010292483329</v>
      </c>
      <c r="AS37" s="9">
        <f t="shared" ref="AS37:AS64" si="38">($L37*$T37*AB37)/10^9</f>
        <v>0.63353816890533443</v>
      </c>
      <c r="AT37" s="9">
        <f t="shared" ref="AT37:AT64" si="39">($L37*$T37*AC37)/10^9</f>
        <v>0.61501188496323211</v>
      </c>
      <c r="AV37" s="9">
        <f t="shared" si="7"/>
        <v>1.472624804538657</v>
      </c>
      <c r="AW37" s="9">
        <f t="shared" si="8"/>
        <v>1.4668498053051719</v>
      </c>
      <c r="AX37" s="9">
        <f t="shared" si="9"/>
        <v>1.4416873086449875</v>
      </c>
      <c r="AZ37" s="9">
        <f t="shared" si="10"/>
        <v>1.4325984208586318</v>
      </c>
      <c r="BA37" s="9">
        <f t="shared" si="11"/>
        <v>1.4269803878356568</v>
      </c>
      <c r="BB37" s="9">
        <f t="shared" si="12"/>
        <v>1.4025018153784083</v>
      </c>
      <c r="BD37" s="9">
        <f t="shared" si="13"/>
        <v>1.0842431749722166</v>
      </c>
      <c r="BE37" s="9">
        <f t="shared" si="14"/>
        <v>1.0799912409527177</v>
      </c>
      <c r="BF37" s="9">
        <f t="shared" si="15"/>
        <v>1.0614649570106154</v>
      </c>
    </row>
    <row r="38" spans="1:58">
      <c r="A38" s="10">
        <v>2024</v>
      </c>
      <c r="B38" s="9">
        <f>B33</f>
        <v>8596.8525566975295</v>
      </c>
      <c r="C38" s="9">
        <f>C33</f>
        <v>8596.8525566975295</v>
      </c>
      <c r="D38" s="9">
        <f t="shared" si="20"/>
        <v>6446.8043914091895</v>
      </c>
      <c r="E38" s="9"/>
      <c r="F38" s="9">
        <f t="shared" si="21"/>
        <v>268835.66151117644</v>
      </c>
      <c r="G38" s="9">
        <f t="shared" si="22"/>
        <v>258124.33048455598</v>
      </c>
      <c r="H38" s="9">
        <f t="shared" ref="H38:H63" si="40">(($H$64-$H$35)/29)+H37</f>
        <v>239933.37169467341</v>
      </c>
      <c r="I38" s="9"/>
      <c r="J38" s="9">
        <f t="shared" si="16"/>
        <v>1042552.391613954</v>
      </c>
      <c r="K38" s="9">
        <f t="shared" si="17"/>
        <v>1031841.0605873335</v>
      </c>
      <c r="L38" s="9">
        <f t="shared" si="18"/>
        <v>820145.76692150044</v>
      </c>
      <c r="M38" s="9"/>
      <c r="N38" s="9">
        <f t="shared" si="23"/>
        <v>11583915.462377267</v>
      </c>
      <c r="O38" s="9">
        <f t="shared" si="24"/>
        <v>11464900.673192594</v>
      </c>
      <c r="P38" s="9">
        <f t="shared" si="25"/>
        <v>9112730.7435722277</v>
      </c>
      <c r="Q38" s="9"/>
      <c r="R38" s="50">
        <f>R37*0.99</f>
        <v>12.201324700489771</v>
      </c>
      <c r="S38" s="50">
        <f t="shared" si="27"/>
        <v>11.835309731849016</v>
      </c>
      <c r="T38" s="50">
        <f t="shared" si="28"/>
        <v>9.8124115498123281</v>
      </c>
      <c r="W38" s="9">
        <f t="shared" si="29"/>
        <v>1.0981192230440795</v>
      </c>
      <c r="X38" s="9">
        <f t="shared" si="30"/>
        <v>1.0651778758664117</v>
      </c>
      <c r="Y38" s="30">
        <f t="shared" si="31"/>
        <v>0.8831170394831096</v>
      </c>
      <c r="AA38" s="31">
        <f>Fig1_carbon_intensity!B8</f>
        <v>73.467742947764563</v>
      </c>
      <c r="AB38" s="31">
        <f>Fig1_carbon_intensity!F8</f>
        <v>72.488173041794369</v>
      </c>
      <c r="AC38" s="31">
        <f>Fig1_carbon_intensity!J8</f>
        <v>68.220047022924234</v>
      </c>
      <c r="AD38" s="9"/>
      <c r="AE38" s="31">
        <f>Fig1_carbon_eq_intensity!H42</f>
        <v>124.89516301119976</v>
      </c>
      <c r="AF38" s="31">
        <f>Fig1_carbon_eq_intensity!L42</f>
        <v>123.91559310522956</v>
      </c>
      <c r="AG38" s="31">
        <f>Fig1_carbon_eq_intensity!P42</f>
        <v>119.64746708635944</v>
      </c>
      <c r="AH38" s="9"/>
      <c r="AJ38" s="9">
        <f t="shared" si="32"/>
        <v>0.93454791169443974</v>
      </c>
      <c r="AK38" s="9">
        <f t="shared" si="33"/>
        <v>0.92208727287184711</v>
      </c>
      <c r="AL38" s="9">
        <f t="shared" si="6"/>
        <v>0.86779448943055115</v>
      </c>
      <c r="AN38" s="9">
        <f t="shared" si="34"/>
        <v>0.8971997249015361</v>
      </c>
      <c r="AO38" s="9">
        <f t="shared" si="35"/>
        <v>0.88523706190284901</v>
      </c>
      <c r="AP38" s="9">
        <f t="shared" si="36"/>
        <v>0.83311403026571207</v>
      </c>
      <c r="AR38" s="9">
        <f t="shared" si="37"/>
        <v>0.59123958089141948</v>
      </c>
      <c r="AS38" s="9">
        <f t="shared" si="38"/>
        <v>0.58335638647953392</v>
      </c>
      <c r="AT38" s="9">
        <f t="shared" si="39"/>
        <v>0.54900818225631809</v>
      </c>
      <c r="AV38" s="9">
        <f t="shared" si="7"/>
        <v>1.5887314498805476</v>
      </c>
      <c r="AW38" s="9">
        <f t="shared" si="8"/>
        <v>1.5762708110579551</v>
      </c>
      <c r="AX38" s="9">
        <f t="shared" si="9"/>
        <v>1.5219780276166592</v>
      </c>
      <c r="AZ38" s="9">
        <f t="shared" si="10"/>
        <v>1.5252395323326113</v>
      </c>
      <c r="BA38" s="9">
        <f t="shared" si="11"/>
        <v>1.5132768693339242</v>
      </c>
      <c r="BB38" s="9">
        <f t="shared" si="12"/>
        <v>1.4611538376967876</v>
      </c>
      <c r="BD38" s="9">
        <f t="shared" si="13"/>
        <v>1.0051072875154132</v>
      </c>
      <c r="BE38" s="9">
        <f t="shared" si="14"/>
        <v>0.99722409310352755</v>
      </c>
      <c r="BF38" s="9">
        <f t="shared" si="15"/>
        <v>0.96287588888031184</v>
      </c>
    </row>
    <row r="39" spans="1:58">
      <c r="A39" s="10">
        <v>2025</v>
      </c>
      <c r="B39" s="9">
        <f>B38*1.04</f>
        <v>8940.7266589654319</v>
      </c>
      <c r="C39" s="9">
        <f>C38*1.029</f>
        <v>8846.1612808417576</v>
      </c>
      <c r="D39" s="9">
        <f t="shared" si="20"/>
        <v>6569.1763326434993</v>
      </c>
      <c r="E39" s="9"/>
      <c r="F39" s="9">
        <f t="shared" si="21"/>
        <v>279589.08797162352</v>
      </c>
      <c r="G39" s="9">
        <f t="shared" si="22"/>
        <v>264835.56307715445</v>
      </c>
      <c r="H39" s="9">
        <f t="shared" si="40"/>
        <v>240246.52087145706</v>
      </c>
      <c r="I39" s="9"/>
      <c r="J39" s="9">
        <f t="shared" si="16"/>
        <v>1084254.4872785122</v>
      </c>
      <c r="K39" s="9">
        <f t="shared" si="17"/>
        <v>1060990.0783529128</v>
      </c>
      <c r="L39" s="9">
        <f t="shared" si="18"/>
        <v>831472.39080937207</v>
      </c>
      <c r="M39" s="9"/>
      <c r="N39" s="9">
        <f t="shared" si="23"/>
        <v>12047272.080872359</v>
      </c>
      <c r="O39" s="9">
        <f t="shared" si="24"/>
        <v>11788778.648365697</v>
      </c>
      <c r="P39" s="9">
        <f t="shared" si="25"/>
        <v>9238582.1201041341</v>
      </c>
      <c r="Q39" s="9"/>
      <c r="R39" s="50">
        <f t="shared" si="26"/>
        <v>12.079311453484873</v>
      </c>
      <c r="S39" s="50">
        <f t="shared" si="27"/>
        <v>11.598603537212036</v>
      </c>
      <c r="T39" s="50">
        <f>T33*other_IEA_energy_intensity!E13</f>
        <v>8.8916123645033256</v>
      </c>
      <c r="W39" s="9">
        <f t="shared" si="29"/>
        <v>1.0871380308136387</v>
      </c>
      <c r="X39" s="9">
        <f t="shared" si="30"/>
        <v>1.0438743183490835</v>
      </c>
      <c r="Y39" s="30">
        <f>Y33*other_IEA_energy_intensity!E13</f>
        <v>0.80024511280529931</v>
      </c>
      <c r="AA39" s="31">
        <f>Fig1_carbon_intensity!B9</f>
        <v>73.467742947764563</v>
      </c>
      <c r="AB39" s="31">
        <f>Fig1_carbon_intensity!F9</f>
        <v>71.804280434521843</v>
      </c>
      <c r="AC39" s="31">
        <f>Fig1_carbon_intensity!J9</f>
        <v>64.916016934861304</v>
      </c>
      <c r="AD39" s="9"/>
      <c r="AE39" s="31">
        <f>Fig1_carbon_eq_intensity!H43</f>
        <v>124.89516301119976</v>
      </c>
      <c r="AF39" s="31">
        <f>Fig1_carbon_eq_intensity!L43</f>
        <v>123.09305217346602</v>
      </c>
      <c r="AG39" s="31">
        <f>Fig1_carbon_eq_intensity!P43</f>
        <v>115.81017421179257</v>
      </c>
      <c r="AH39" s="9"/>
      <c r="AJ39" s="9">
        <f t="shared" si="32"/>
        <v>0.9622105298805953</v>
      </c>
      <c r="AK39" s="9">
        <f t="shared" si="33"/>
        <v>0.94042408208619643</v>
      </c>
      <c r="AL39" s="9">
        <f t="shared" si="6"/>
        <v>0.85020816682828526</v>
      </c>
      <c r="AN39" s="9">
        <f t="shared" si="34"/>
        <v>0.90409428537575154</v>
      </c>
      <c r="AO39" s="9">
        <f t="shared" si="35"/>
        <v>0.88362371023873088</v>
      </c>
      <c r="AP39" s="9">
        <f t="shared" si="36"/>
        <v>0.79885671704781036</v>
      </c>
      <c r="AR39" s="9">
        <f t="shared" si="37"/>
        <v>0.54315658844173587</v>
      </c>
      <c r="AS39" s="9">
        <f t="shared" si="38"/>
        <v>0.530858393513711</v>
      </c>
      <c r="AT39" s="9">
        <f t="shared" si="39"/>
        <v>0.47993256467174583</v>
      </c>
      <c r="AV39" s="9">
        <f t="shared" si="7"/>
        <v>1.6357579007970118</v>
      </c>
      <c r="AW39" s="9">
        <f t="shared" si="8"/>
        <v>1.6121555692906224</v>
      </c>
      <c r="AX39" s="9">
        <f t="shared" si="9"/>
        <v>1.5167713696216609</v>
      </c>
      <c r="AZ39" s="9">
        <f t="shared" si="10"/>
        <v>1.5369602851387776</v>
      </c>
      <c r="BA39" s="9">
        <f t="shared" si="11"/>
        <v>1.5147835032663961</v>
      </c>
      <c r="BB39" s="9">
        <f t="shared" si="12"/>
        <v>1.4251603832132935</v>
      </c>
      <c r="BD39" s="9">
        <f t="shared" si="13"/>
        <v>0.92336620035095085</v>
      </c>
      <c r="BE39" s="9">
        <f t="shared" si="14"/>
        <v>0.91004296030921883</v>
      </c>
      <c r="BF39" s="9">
        <f t="shared" si="15"/>
        <v>0.85619969537439455</v>
      </c>
    </row>
    <row r="40" spans="1:58">
      <c r="A40" s="10">
        <v>2026</v>
      </c>
      <c r="B40" s="9">
        <f t="shared" ref="B40:B64" si="41">B39*1.04</f>
        <v>9298.3557253240488</v>
      </c>
      <c r="C40" s="9">
        <f t="shared" ref="C40:C64" si="42">C39*1.029</f>
        <v>9102.6999579861676</v>
      </c>
      <c r="D40" s="9">
        <f t="shared" si="20"/>
        <v>6691.5482738778092</v>
      </c>
      <c r="E40" s="9"/>
      <c r="F40" s="9">
        <f t="shared" si="21"/>
        <v>290772.6514904885</v>
      </c>
      <c r="G40" s="9">
        <f t="shared" si="22"/>
        <v>271721.28771716048</v>
      </c>
      <c r="H40" s="9">
        <f t="shared" si="40"/>
        <v>240559.67004824072</v>
      </c>
      <c r="I40" s="9"/>
      <c r="J40" s="9">
        <f t="shared" si="16"/>
        <v>1127624.6667696529</v>
      </c>
      <c r="K40" s="9">
        <f t="shared" si="17"/>
        <v>1090964.2839359157</v>
      </c>
      <c r="L40" s="9">
        <f t="shared" si="18"/>
        <v>842799.01469724346</v>
      </c>
      <c r="M40" s="9"/>
      <c r="N40" s="9">
        <f t="shared" si="23"/>
        <v>12529162.964107255</v>
      </c>
      <c r="O40" s="9">
        <f t="shared" si="24"/>
        <v>12121825.377065729</v>
      </c>
      <c r="P40" s="9">
        <f t="shared" si="25"/>
        <v>9364433.4966360386</v>
      </c>
      <c r="Q40" s="9"/>
      <c r="R40" s="50">
        <f t="shared" si="26"/>
        <v>11.958518338950025</v>
      </c>
      <c r="S40" s="50">
        <f t="shared" si="27"/>
        <v>11.366631466467794</v>
      </c>
      <c r="T40" s="50">
        <f>T39-$U$40</f>
        <v>8.6854300488046974</v>
      </c>
      <c r="U40" s="49">
        <f>(T39-T44)/5</f>
        <v>0.20618231569862785</v>
      </c>
      <c r="V40" s="49"/>
      <c r="W40" s="9">
        <f t="shared" si="29"/>
        <v>1.0762666505055023</v>
      </c>
      <c r="X40" s="9">
        <f t="shared" si="30"/>
        <v>1.0229968319821019</v>
      </c>
      <c r="Y40" s="30">
        <f>Y39-$Z$40</f>
        <v>0.78168870439242277</v>
      </c>
      <c r="Z40" s="49">
        <f>(Y39-Y44)/5</f>
        <v>1.8556408412876514E-2</v>
      </c>
      <c r="AA40" s="31">
        <f>Fig1_carbon_intensity!B10</f>
        <v>73.467742947764563</v>
      </c>
      <c r="AB40" s="31">
        <f>Fig1_carbon_intensity!F10</f>
        <v>71.14251450901655</v>
      </c>
      <c r="AC40" s="31">
        <f>Fig1_carbon_intensity!J10</f>
        <v>61.666401416849808</v>
      </c>
      <c r="AD40" s="9"/>
      <c r="AE40" s="31">
        <f>Fig1_carbon_eq_intensity!H44</f>
        <v>124.89516301119976</v>
      </c>
      <c r="AF40" s="31">
        <f>Fig1_carbon_eq_intensity!L44</f>
        <v>122.2926379234697</v>
      </c>
      <c r="AG40" s="31">
        <f>Fig1_carbon_eq_intensity!P44</f>
        <v>112.02729590727715</v>
      </c>
      <c r="AH40" s="9"/>
      <c r="AJ40" s="9">
        <f t="shared" si="32"/>
        <v>0.99069196156506112</v>
      </c>
      <c r="AK40" s="9">
        <f t="shared" si="33"/>
        <v>0.95933690653488302</v>
      </c>
      <c r="AL40" s="9">
        <f t="shared" si="6"/>
        <v>0.83155417236315521</v>
      </c>
      <c r="AN40" s="9">
        <f t="shared" si="34"/>
        <v>0.9110432820097315</v>
      </c>
      <c r="AO40" s="9">
        <f t="shared" si="35"/>
        <v>0.88220907990602027</v>
      </c>
      <c r="AP40" s="9">
        <f t="shared" si="36"/>
        <v>0.76469969652505632</v>
      </c>
      <c r="AR40" s="9">
        <f t="shared" si="37"/>
        <v>0.53778915977931308</v>
      </c>
      <c r="AS40" s="9">
        <f t="shared" si="38"/>
        <v>0.52076832045315669</v>
      </c>
      <c r="AT40" s="9">
        <f t="shared" si="39"/>
        <v>0.45140249140579564</v>
      </c>
      <c r="AV40" s="9">
        <f t="shared" si="7"/>
        <v>1.6841763346606038</v>
      </c>
      <c r="AW40" s="9">
        <f t="shared" si="8"/>
        <v>1.6490820118906946</v>
      </c>
      <c r="AX40" s="9">
        <f t="shared" si="9"/>
        <v>1.510656746459732</v>
      </c>
      <c r="AZ40" s="9">
        <f t="shared" si="10"/>
        <v>1.5487735794165436</v>
      </c>
      <c r="BA40" s="9">
        <f t="shared" si="11"/>
        <v>1.5165007355492148</v>
      </c>
      <c r="BB40" s="9">
        <f t="shared" si="12"/>
        <v>1.3892044486871855</v>
      </c>
      <c r="BD40" s="9">
        <f t="shared" si="13"/>
        <v>0.91424157162483211</v>
      </c>
      <c r="BE40" s="9">
        <f t="shared" si="14"/>
        <v>0.89519090089400466</v>
      </c>
      <c r="BF40" s="9">
        <f t="shared" si="15"/>
        <v>0.82004785938719549</v>
      </c>
    </row>
    <row r="41" spans="1:58">
      <c r="A41" s="10">
        <v>2027</v>
      </c>
      <c r="B41" s="9">
        <f t="shared" si="41"/>
        <v>9670.2899543370113</v>
      </c>
      <c r="C41" s="9">
        <f t="shared" si="42"/>
        <v>9366.6782567677656</v>
      </c>
      <c r="D41" s="9">
        <f t="shared" si="20"/>
        <v>6813.920215112119</v>
      </c>
      <c r="E41" s="9"/>
      <c r="F41" s="9">
        <f t="shared" si="21"/>
        <v>302403.55755010806</v>
      </c>
      <c r="G41" s="9">
        <f t="shared" si="22"/>
        <v>278786.04119780665</v>
      </c>
      <c r="H41" s="9">
        <f t="shared" si="40"/>
        <v>240872.81922502437</v>
      </c>
      <c r="I41" s="9"/>
      <c r="J41" s="9">
        <f t="shared" si="16"/>
        <v>1172729.6534404391</v>
      </c>
      <c r="K41" s="9">
        <f t="shared" si="17"/>
        <v>1121787.0843069055</v>
      </c>
      <c r="L41" s="9">
        <f t="shared" si="18"/>
        <v>854125.63858511508</v>
      </c>
      <c r="M41" s="9"/>
      <c r="N41" s="9">
        <f t="shared" si="23"/>
        <v>13030329.482671546</v>
      </c>
      <c r="O41" s="9">
        <f t="shared" si="24"/>
        <v>12464300.936743394</v>
      </c>
      <c r="P41" s="9">
        <f t="shared" si="25"/>
        <v>9490284.8731679451</v>
      </c>
      <c r="Q41" s="9"/>
      <c r="R41" s="50">
        <f t="shared" si="26"/>
        <v>11.838933155560525</v>
      </c>
      <c r="S41" s="50">
        <f t="shared" si="27"/>
        <v>11.139298837138439</v>
      </c>
      <c r="T41" s="50">
        <f>T40-$U$40</f>
        <v>8.4792477331060692</v>
      </c>
      <c r="U41" s="50"/>
      <c r="V41" s="50"/>
      <c r="W41" s="9">
        <f t="shared" si="29"/>
        <v>1.0655039840004472</v>
      </c>
      <c r="X41" s="9">
        <f t="shared" si="30"/>
        <v>1.0025368953424598</v>
      </c>
      <c r="Y41" s="30">
        <f>Y40-$Z$40</f>
        <v>0.76313229597954624</v>
      </c>
      <c r="AA41" s="31">
        <f>Fig1_carbon_intensity!B11</f>
        <v>73.467742947764563</v>
      </c>
      <c r="AB41" s="31">
        <f>Fig1_carbon_intensity!F11</f>
        <v>70.483283867159102</v>
      </c>
      <c r="AC41" s="31">
        <f>Fig1_carbon_intensity!J11</f>
        <v>58.471200468889712</v>
      </c>
      <c r="AD41" s="9"/>
      <c r="AE41" s="31">
        <f>Fig1_carbon_eq_intensity!H45</f>
        <v>124.89516301119976</v>
      </c>
      <c r="AF41" s="31">
        <f>Fig1_carbon_eq_intensity!L45</f>
        <v>121.49475895712123</v>
      </c>
      <c r="AG41" s="31">
        <f>Fig1_carbon_eq_intensity!P45</f>
        <v>108.29883217281312</v>
      </c>
      <c r="AH41" s="9"/>
      <c r="AJ41" s="9">
        <f t="shared" si="32"/>
        <v>1.0200164436273871</v>
      </c>
      <c r="AK41" s="9">
        <f t="shared" si="33"/>
        <v>0.97858060777062117</v>
      </c>
      <c r="AL41" s="9">
        <f t="shared" si="6"/>
        <v>0.81180642774483969</v>
      </c>
      <c r="AN41" s="9">
        <f t="shared" si="34"/>
        <v>0.91804715334004583</v>
      </c>
      <c r="AO41" s="9">
        <f t="shared" si="35"/>
        <v>0.88075358675861781</v>
      </c>
      <c r="AP41" s="9">
        <f t="shared" si="36"/>
        <v>0.73065153479677813</v>
      </c>
      <c r="AR41" s="9">
        <f t="shared" si="37"/>
        <v>0.53207858539716424</v>
      </c>
      <c r="AS41" s="9">
        <f t="shared" si="38"/>
        <v>0.51046410940988207</v>
      </c>
      <c r="AT41" s="9">
        <f t="shared" si="39"/>
        <v>0.42346848267927467</v>
      </c>
      <c r="AV41" s="9">
        <f>(J41*R41*AE41)/10^9</f>
        <v>1.734027954166558</v>
      </c>
      <c r="AW41" s="9">
        <f t="shared" si="8"/>
        <v>1.6868171932125513</v>
      </c>
      <c r="AX41" s="9">
        <f t="shared" si="9"/>
        <v>1.5036066879100074</v>
      </c>
      <c r="AZ41" s="9">
        <f t="shared" si="10"/>
        <v>1.5606801606780778</v>
      </c>
      <c r="BA41" s="9">
        <f t="shared" si="11"/>
        <v>1.5181889783332998</v>
      </c>
      <c r="BB41" s="9">
        <f t="shared" si="12"/>
        <v>1.3532937122757716</v>
      </c>
      <c r="BD41" s="9">
        <f t="shared" si="13"/>
        <v>0.90453359517517917</v>
      </c>
      <c r="BE41" s="9">
        <f t="shared" si="14"/>
        <v>0.87990670306881247</v>
      </c>
      <c r="BF41" s="9">
        <f t="shared" si="15"/>
        <v>0.78433727661465658</v>
      </c>
    </row>
    <row r="42" spans="1:58">
      <c r="A42" s="10">
        <v>2028</v>
      </c>
      <c r="B42" s="9">
        <f t="shared" si="41"/>
        <v>10057.101552510492</v>
      </c>
      <c r="C42" s="9">
        <f t="shared" si="42"/>
        <v>9638.3119262140299</v>
      </c>
      <c r="D42" s="9">
        <f t="shared" si="20"/>
        <v>6936.2921563464288</v>
      </c>
      <c r="E42" s="9"/>
      <c r="F42" s="9">
        <f t="shared" si="21"/>
        <v>314499.69985211239</v>
      </c>
      <c r="G42" s="9">
        <f t="shared" si="22"/>
        <v>286034.47826894961</v>
      </c>
      <c r="H42" s="9">
        <f t="shared" si="40"/>
        <v>241185.96840180803</v>
      </c>
      <c r="I42" s="9"/>
      <c r="J42" s="9">
        <f t="shared" si="16"/>
        <v>1219638.8395780567</v>
      </c>
      <c r="K42" s="9">
        <f t="shared" si="17"/>
        <v>1153482.5516282122</v>
      </c>
      <c r="L42" s="9">
        <f t="shared" si="18"/>
        <v>865452.26247298671</v>
      </c>
      <c r="M42" s="9"/>
      <c r="N42" s="9">
        <f t="shared" si="23"/>
        <v>13551542.661978409</v>
      </c>
      <c r="O42" s="9">
        <f t="shared" si="24"/>
        <v>12816472.795869026</v>
      </c>
      <c r="P42" s="9">
        <f t="shared" si="25"/>
        <v>9616136.2496998515</v>
      </c>
      <c r="Q42" s="9"/>
      <c r="R42" s="50">
        <f t="shared" si="26"/>
        <v>11.72054382400492</v>
      </c>
      <c r="S42" s="50">
        <f t="shared" si="27"/>
        <v>10.91651286039567</v>
      </c>
      <c r="T42" s="50">
        <f>T41-$U$40</f>
        <v>8.2730654174074409</v>
      </c>
      <c r="U42" s="50"/>
      <c r="V42" s="50"/>
      <c r="W42" s="9">
        <f t="shared" si="29"/>
        <v>1.0548489441604427</v>
      </c>
      <c r="X42" s="9">
        <f t="shared" si="30"/>
        <v>0.98248615743561063</v>
      </c>
      <c r="Y42" s="30">
        <f>Y41-$Z$40</f>
        <v>0.7445758875666697</v>
      </c>
      <c r="AA42" s="31">
        <f>Fig1_carbon_intensity!B12</f>
        <v>73.467742947764563</v>
      </c>
      <c r="AB42" s="31">
        <f>Fig1_carbon_intensity!F12</f>
        <v>69.826588508949484</v>
      </c>
      <c r="AC42" s="31">
        <f>Fig1_carbon_intensity!J12</f>
        <v>55.330414090981058</v>
      </c>
      <c r="AD42" s="9"/>
      <c r="AE42" s="31">
        <f>Fig1_carbon_eq_intensity!H46</f>
        <v>124.89516301119976</v>
      </c>
      <c r="AF42" s="31">
        <f>Fig1_carbon_eq_intensity!L46</f>
        <v>120.69941527442059</v>
      </c>
      <c r="AG42" s="31">
        <f>Fig1_carbon_eq_intensity!P46</f>
        <v>104.62478300840054</v>
      </c>
      <c r="AH42" s="9"/>
      <c r="AJ42" s="9">
        <f t="shared" si="32"/>
        <v>1.0502089303587578</v>
      </c>
      <c r="AK42" s="9">
        <f t="shared" si="33"/>
        <v>0.99815924494542108</v>
      </c>
      <c r="AL42" s="9">
        <f t="shared" si="6"/>
        <v>0.79093888919537636</v>
      </c>
      <c r="AN42" s="9">
        <f t="shared" si="34"/>
        <v>0.92510634148715032</v>
      </c>
      <c r="AO42" s="9">
        <f t="shared" si="35"/>
        <v>0.87925689890829117</v>
      </c>
      <c r="AP42" s="9">
        <f t="shared" si="36"/>
        <v>0.69672096758260404</v>
      </c>
      <c r="AR42" s="9">
        <f t="shared" si="37"/>
        <v>0.52602486529528913</v>
      </c>
      <c r="AS42" s="9">
        <f t="shared" si="38"/>
        <v>0.49995440639254529</v>
      </c>
      <c r="AT42" s="9">
        <f t="shared" si="39"/>
        <v>0.39616262118784035</v>
      </c>
      <c r="AV42" s="9">
        <f t="shared" si="7"/>
        <v>1.785355181609888</v>
      </c>
      <c r="AW42" s="9">
        <f t="shared" si="8"/>
        <v>1.7253776790230591</v>
      </c>
      <c r="AX42" s="9">
        <f t="shared" si="9"/>
        <v>1.4955935359330754</v>
      </c>
      <c r="AZ42" s="9">
        <f t="shared" si="10"/>
        <v>1.5726807805281555</v>
      </c>
      <c r="BA42" s="9">
        <f t="shared" si="11"/>
        <v>1.5198478951986782</v>
      </c>
      <c r="BB42" s="9">
        <f t="shared" si="12"/>
        <v>1.3174360114289239</v>
      </c>
      <c r="BD42" s="9">
        <f t="shared" si="13"/>
        <v>0.8942422710019915</v>
      </c>
      <c r="BE42" s="9">
        <f t="shared" si="14"/>
        <v>0.86420095559610655</v>
      </c>
      <c r="BF42" s="9">
        <f t="shared" si="15"/>
        <v>0.74910750188246167</v>
      </c>
    </row>
    <row r="43" spans="1:58">
      <c r="A43" s="10">
        <v>2029</v>
      </c>
      <c r="B43" s="9">
        <f t="shared" si="41"/>
        <v>10459.385614610912</v>
      </c>
      <c r="C43" s="9">
        <f t="shared" si="42"/>
        <v>9917.8229720742365</v>
      </c>
      <c r="D43" s="9">
        <f t="shared" si="20"/>
        <v>7058.6640975807386</v>
      </c>
      <c r="E43" s="9"/>
      <c r="F43" s="9">
        <f t="shared" si="21"/>
        <v>327079.68784619687</v>
      </c>
      <c r="G43" s="9">
        <f t="shared" si="22"/>
        <v>293471.37470394227</v>
      </c>
      <c r="H43" s="9">
        <f t="shared" si="40"/>
        <v>241499.11757859169</v>
      </c>
      <c r="I43" s="9"/>
      <c r="J43" s="9">
        <f t="shared" si="16"/>
        <v>1268424.393161179</v>
      </c>
      <c r="K43" s="9">
        <f t="shared" si="17"/>
        <v>1186075.4421906236</v>
      </c>
      <c r="L43" s="9">
        <f t="shared" si="18"/>
        <v>876778.88636085822</v>
      </c>
      <c r="M43" s="9"/>
      <c r="N43" s="9">
        <f t="shared" si="23"/>
        <v>14093604.368457545</v>
      </c>
      <c r="O43" s="9">
        <f t="shared" si="24"/>
        <v>13178616.024340263</v>
      </c>
      <c r="P43" s="9">
        <f t="shared" si="25"/>
        <v>9741987.6262317561</v>
      </c>
      <c r="Q43" s="9"/>
      <c r="R43" s="50">
        <f t="shared" si="26"/>
        <v>11.603338385764872</v>
      </c>
      <c r="S43" s="50">
        <f t="shared" si="27"/>
        <v>10.698182603187757</v>
      </c>
      <c r="T43" s="50">
        <f>T42-$U$40</f>
        <v>8.0668831017088127</v>
      </c>
      <c r="U43" s="50"/>
      <c r="V43" s="50"/>
      <c r="W43" s="9">
        <f t="shared" si="29"/>
        <v>1.0443004547188384</v>
      </c>
      <c r="X43" s="9">
        <f t="shared" si="30"/>
        <v>0.96283643428689836</v>
      </c>
      <c r="Y43" s="30">
        <f>Y42-$Z$40</f>
        <v>0.72601947915379317</v>
      </c>
      <c r="AA43" s="31">
        <f>Fig1_carbon_intensity!B13</f>
        <v>73.467742947764563</v>
      </c>
      <c r="AB43" s="31">
        <f>Fig1_carbon_intensity!F13</f>
        <v>69.172428434387712</v>
      </c>
      <c r="AC43" s="31">
        <f>Fig1_carbon_intensity!J13</f>
        <v>52.244042283123811</v>
      </c>
      <c r="AD43" s="9"/>
      <c r="AE43" s="31">
        <f>Fig1_carbon_eq_intensity!H47</f>
        <v>124.89516301119976</v>
      </c>
      <c r="AF43" s="31">
        <f>Fig1_carbon_eq_intensity!L47</f>
        <v>119.9066068753678</v>
      </c>
      <c r="AG43" s="31">
        <f>Fig1_carbon_eq_intensity!P47</f>
        <v>101.00514841403935</v>
      </c>
      <c r="AH43" s="9"/>
      <c r="AJ43" s="9">
        <f t="shared" si="32"/>
        <v>1.081295114697377</v>
      </c>
      <c r="AK43" s="9">
        <f t="shared" si="33"/>
        <v>1.0180768584525193</v>
      </c>
      <c r="AL43" s="9">
        <f t="shared" si="6"/>
        <v>0.76892559137076177</v>
      </c>
      <c r="AN43" s="9">
        <f t="shared" si="34"/>
        <v>0.93222129218496919</v>
      </c>
      <c r="AO43" s="9">
        <f t="shared" si="35"/>
        <v>0.8777186834843318</v>
      </c>
      <c r="AP43" s="9">
        <f t="shared" si="36"/>
        <v>0.66291690273876525</v>
      </c>
      <c r="AR43" s="9">
        <f t="shared" si="37"/>
        <v>0.51962799947368787</v>
      </c>
      <c r="AS43" s="9">
        <f t="shared" si="38"/>
        <v>0.4892477863605228</v>
      </c>
      <c r="AT43" s="9">
        <f t="shared" si="39"/>
        <v>0.36951546470265439</v>
      </c>
      <c r="AV43" s="9">
        <f t="shared" si="7"/>
        <v>1.8382016949855409</v>
      </c>
      <c r="AW43" s="9">
        <f t="shared" si="8"/>
        <v>1.7647803380383988</v>
      </c>
      <c r="AX43" s="9">
        <f t="shared" si="9"/>
        <v>1.4865894766501391</v>
      </c>
      <c r="AZ43" s="9">
        <f t="shared" si="10"/>
        <v>1.5847761967144476</v>
      </c>
      <c r="BA43" s="9">
        <f t="shared" si="11"/>
        <v>1.5214771479007527</v>
      </c>
      <c r="BB43" s="9">
        <f t="shared" si="12"/>
        <v>1.2816393452949459</v>
      </c>
      <c r="BD43" s="9">
        <f t="shared" si="13"/>
        <v>0.8833675991052693</v>
      </c>
      <c r="BE43" s="9">
        <f t="shared" si="14"/>
        <v>0.84808417618907062</v>
      </c>
      <c r="BF43" s="9">
        <f t="shared" si="15"/>
        <v>0.71439656509179839</v>
      </c>
    </row>
    <row r="44" spans="1:58">
      <c r="A44" s="10">
        <v>2030</v>
      </c>
      <c r="B44" s="9">
        <f t="shared" si="41"/>
        <v>10877.761039195349</v>
      </c>
      <c r="C44" s="9">
        <f t="shared" si="42"/>
        <v>10205.439838264389</v>
      </c>
      <c r="D44" s="9">
        <f t="shared" si="20"/>
        <v>7181.0360388150484</v>
      </c>
      <c r="E44" s="9"/>
      <c r="F44" s="9">
        <f t="shared" si="21"/>
        <v>340162.87536004477</v>
      </c>
      <c r="G44" s="9">
        <f t="shared" si="22"/>
        <v>301101.63044624479</v>
      </c>
      <c r="H44" s="9">
        <f t="shared" si="40"/>
        <v>241812.26675537534</v>
      </c>
      <c r="I44" s="9"/>
      <c r="J44" s="9">
        <f t="shared" si="16"/>
        <v>1319161.3688876261</v>
      </c>
      <c r="K44" s="9">
        <f t="shared" si="17"/>
        <v>1219591.2158900397</v>
      </c>
      <c r="L44" s="9">
        <f t="shared" si="18"/>
        <v>888105.51024872961</v>
      </c>
      <c r="M44" s="9"/>
      <c r="N44" s="9">
        <f t="shared" si="23"/>
        <v>14657348.543195847</v>
      </c>
      <c r="O44" s="9">
        <f t="shared" si="24"/>
        <v>13551013.509889331</v>
      </c>
      <c r="P44" s="9">
        <f t="shared" si="25"/>
        <v>9867839.0027636625</v>
      </c>
      <c r="Q44" s="9"/>
      <c r="R44" s="50">
        <f t="shared" si="26"/>
        <v>11.487305001907222</v>
      </c>
      <c r="S44" s="50">
        <f t="shared" si="27"/>
        <v>10.484218951124001</v>
      </c>
      <c r="T44" s="50">
        <f>T33*other_IEA_energy_intensity!E18</f>
        <v>7.8607007860101863</v>
      </c>
      <c r="U44" s="50"/>
      <c r="V44" s="50"/>
      <c r="W44" s="9">
        <f t="shared" si="29"/>
        <v>1.03385745017165</v>
      </c>
      <c r="X44" s="9">
        <f t="shared" si="30"/>
        <v>0.94357970560116033</v>
      </c>
      <c r="Y44" s="9">
        <f>Y33*other_IEA_energy_intensity!E18</f>
        <v>0.70746307074091674</v>
      </c>
      <c r="AA44" s="31">
        <f>Fig1_carbon_intensity!B14</f>
        <v>73.467742947764563</v>
      </c>
      <c r="AB44" s="31">
        <f>Fig1_carbon_intensity!F14</f>
        <v>68.520803643473755</v>
      </c>
      <c r="AC44" s="31">
        <f>Fig1_carbon_intensity!J14</f>
        <v>49.212085045317991</v>
      </c>
      <c r="AD44" s="9"/>
      <c r="AE44" s="31">
        <f>Fig1_carbon_eq_intensity!H48</f>
        <v>124.89516301119976</v>
      </c>
      <c r="AF44" s="31">
        <f>Fig1_carbon_eq_intensity!L48</f>
        <v>119.11633375996283</v>
      </c>
      <c r="AG44" s="31">
        <f>Fig1_carbon_eq_intensity!P48</f>
        <v>97.439928389729616</v>
      </c>
      <c r="AH44" s="9"/>
      <c r="AJ44" s="9">
        <f t="shared" si="32"/>
        <v>1.1133014500924192</v>
      </c>
      <c r="AK44" s="9">
        <f t="shared" si="33"/>
        <v>1.0383374661722664</v>
      </c>
      <c r="AL44" s="9">
        <f t="shared" si="6"/>
        <v>0.74574069441575286</v>
      </c>
      <c r="AN44" s="9">
        <f t="shared" si="34"/>
        <v>0.9393924548107212</v>
      </c>
      <c r="AO44" s="9">
        <f t="shared" si="35"/>
        <v>0.87613860665369425</v>
      </c>
      <c r="AP44" s="9">
        <f t="shared" si="36"/>
        <v>0.62924842280705851</v>
      </c>
      <c r="AR44" s="9">
        <f t="shared" si="37"/>
        <v>0.51288798793236035</v>
      </c>
      <c r="AS44" s="9">
        <f t="shared" si="38"/>
        <v>0.47835275322390891</v>
      </c>
      <c r="AT44" s="9">
        <f t="shared" si="39"/>
        <v>0.34355604607038415</v>
      </c>
      <c r="AV44" s="9">
        <f t="shared" si="7"/>
        <v>1.8926124651571126</v>
      </c>
      <c r="AW44" s="9">
        <f t="shared" si="8"/>
        <v>1.8050423462572733</v>
      </c>
      <c r="AX44" s="9">
        <f t="shared" si="9"/>
        <v>1.4765665749431907</v>
      </c>
      <c r="AZ44" s="9">
        <f t="shared" si="10"/>
        <v>1.5969671731782258</v>
      </c>
      <c r="BA44" s="9">
        <f t="shared" si="11"/>
        <v>1.5230763963768863</v>
      </c>
      <c r="BB44" s="9">
        <f t="shared" si="12"/>
        <v>1.2459118771579756</v>
      </c>
      <c r="BD44" s="9">
        <f t="shared" si="13"/>
        <v>0.87190957948501246</v>
      </c>
      <c r="BE44" s="9">
        <f t="shared" si="14"/>
        <v>0.83156681151160539</v>
      </c>
      <c r="BF44" s="9">
        <f t="shared" si="15"/>
        <v>0.68024097121936056</v>
      </c>
    </row>
    <row r="45" spans="1:58">
      <c r="A45" s="10">
        <v>2031</v>
      </c>
      <c r="B45" s="9">
        <f t="shared" si="41"/>
        <v>11312.871480763164</v>
      </c>
      <c r="C45" s="9">
        <f t="shared" si="42"/>
        <v>10501.397593574055</v>
      </c>
      <c r="D45" s="9">
        <f t="shared" si="20"/>
        <v>7303.4079800493582</v>
      </c>
      <c r="E45" s="9"/>
      <c r="F45" s="9">
        <f t="shared" si="21"/>
        <v>353769.39037444658</v>
      </c>
      <c r="G45" s="9">
        <f t="shared" si="22"/>
        <v>308930.27283784718</v>
      </c>
      <c r="H45" s="9">
        <f t="shared" si="40"/>
        <v>242125.415932159</v>
      </c>
      <c r="I45" s="9"/>
      <c r="J45" s="9">
        <f t="shared" si="16"/>
        <v>1371927.8236431314</v>
      </c>
      <c r="K45" s="9">
        <f t="shared" si="17"/>
        <v>1254056.0562595122</v>
      </c>
      <c r="L45" s="9">
        <f t="shared" si="18"/>
        <v>899432.13413660135</v>
      </c>
      <c r="M45" s="9"/>
      <c r="N45" s="9">
        <f t="shared" si="23"/>
        <v>15243642.484923681</v>
      </c>
      <c r="O45" s="9">
        <f t="shared" si="24"/>
        <v>13933956.180661246</v>
      </c>
      <c r="P45" s="9">
        <f t="shared" si="25"/>
        <v>9993690.3792955689</v>
      </c>
      <c r="Q45" s="9"/>
      <c r="R45" s="50">
        <f t="shared" si="26"/>
        <v>11.372431951888149</v>
      </c>
      <c r="S45" s="50">
        <f t="shared" si="27"/>
        <v>10.274534572101521</v>
      </c>
      <c r="T45" s="50">
        <f>T44-$U$40</f>
        <v>7.6545184703115581</v>
      </c>
      <c r="U45" s="50"/>
      <c r="V45" s="50"/>
      <c r="W45" s="9">
        <f t="shared" si="29"/>
        <v>1.0235188756699334</v>
      </c>
      <c r="X45" s="9">
        <f t="shared" si="30"/>
        <v>0.92470811148913712</v>
      </c>
      <c r="Y45" s="9">
        <f>Y44-$Z$40</f>
        <v>0.68890666232804021</v>
      </c>
      <c r="AA45" s="31">
        <f>Fig1_carbon_intensity!B15</f>
        <v>73.467742947764563</v>
      </c>
      <c r="AB45" s="31">
        <f>Fig1_carbon_intensity!F15</f>
        <v>66.631916469318554</v>
      </c>
      <c r="AC45" s="31">
        <f>Fig1_carbon_intensity!J15</f>
        <v>46.234542377563585</v>
      </c>
      <c r="AD45" s="9"/>
      <c r="AE45" s="31">
        <f>Fig1_carbon_eq_intensity!H49</f>
        <v>124.89516301119976</v>
      </c>
      <c r="AF45" s="31">
        <f>Fig1_carbon_eq_intensity!L49</f>
        <v>117.08879826131661</v>
      </c>
      <c r="AG45" s="31">
        <f>Fig1_carbon_eq_intensity!P49</f>
        <v>93.929122935471284</v>
      </c>
      <c r="AH45" s="9"/>
      <c r="AJ45" s="9">
        <f t="shared" si="32"/>
        <v>1.1462551730151551</v>
      </c>
      <c r="AK45" s="9">
        <f t="shared" si="33"/>
        <v>1.0396015431585279</v>
      </c>
      <c r="AL45" s="9">
        <f t="shared" si="6"/>
        <v>0.72135853431554509</v>
      </c>
      <c r="AN45" s="9">
        <f t="shared" si="34"/>
        <v>0.94662028241499574</v>
      </c>
      <c r="AO45" s="9">
        <f t="shared" si="35"/>
        <v>0.85854173621319829</v>
      </c>
      <c r="AP45" s="9">
        <f t="shared" si="36"/>
        <v>0.59572478759685421</v>
      </c>
      <c r="AR45" s="9">
        <f t="shared" si="37"/>
        <v>0.50580483067130655</v>
      </c>
      <c r="AS45" s="9">
        <f t="shared" si="38"/>
        <v>0.45874208019471763</v>
      </c>
      <c r="AT45" s="9">
        <f t="shared" si="39"/>
        <v>0.31831187321320126</v>
      </c>
      <c r="AV45" s="9">
        <f t="shared" si="7"/>
        <v>1.9486337941257637</v>
      </c>
      <c r="AW45" s="9">
        <f t="shared" si="8"/>
        <v>1.8268376749315374</v>
      </c>
      <c r="AX45" s="9">
        <f t="shared" si="9"/>
        <v>1.465496811820002</v>
      </c>
      <c r="AZ45" s="9">
        <f t="shared" si="10"/>
        <v>1.6092544801054929</v>
      </c>
      <c r="BA45" s="9">
        <f t="shared" si="11"/>
        <v>1.5086707013248803</v>
      </c>
      <c r="BB45" s="9">
        <f t="shared" si="12"/>
        <v>1.2102619369072933</v>
      </c>
      <c r="BD45" s="9">
        <f t="shared" si="13"/>
        <v>0.85986821214122111</v>
      </c>
      <c r="BE45" s="9">
        <f t="shared" si="14"/>
        <v>0.80612357752953212</v>
      </c>
      <c r="BF45" s="9">
        <f t="shared" si="15"/>
        <v>0.64667570031734578</v>
      </c>
    </row>
    <row r="46" spans="1:58">
      <c r="A46" s="10">
        <v>2032</v>
      </c>
      <c r="B46" s="9">
        <f t="shared" si="41"/>
        <v>11765.386339993691</v>
      </c>
      <c r="C46" s="9">
        <f t="shared" si="42"/>
        <v>10805.938123787701</v>
      </c>
      <c r="D46" s="9">
        <f t="shared" si="20"/>
        <v>7425.779921283668</v>
      </c>
      <c r="E46" s="9"/>
      <c r="F46" s="9">
        <f t="shared" si="21"/>
        <v>367920.16598942445</v>
      </c>
      <c r="G46" s="9">
        <f t="shared" si="22"/>
        <v>316962.45993163122</v>
      </c>
      <c r="H46" s="9">
        <f t="shared" si="40"/>
        <v>242438.56510894265</v>
      </c>
      <c r="I46" s="9"/>
      <c r="J46" s="9">
        <f t="shared" si="16"/>
        <v>1426804.9365888569</v>
      </c>
      <c r="K46" s="9">
        <f t="shared" si="17"/>
        <v>1289496.8910725242</v>
      </c>
      <c r="L46" s="9">
        <f t="shared" si="18"/>
        <v>910758.75802447274</v>
      </c>
      <c r="M46" s="9"/>
      <c r="N46" s="9">
        <f t="shared" si="23"/>
        <v>15853388.184320629</v>
      </c>
      <c r="O46" s="9">
        <f t="shared" si="24"/>
        <v>14327743.234139159</v>
      </c>
      <c r="P46" s="9">
        <f t="shared" si="25"/>
        <v>10119541.755827475</v>
      </c>
      <c r="Q46" s="9"/>
      <c r="R46" s="50">
        <f t="shared" si="26"/>
        <v>11.258707632369267</v>
      </c>
      <c r="S46" s="50">
        <f t="shared" si="27"/>
        <v>10.069043880659491</v>
      </c>
      <c r="T46" s="50">
        <f t="shared" ref="T46:T64" si="43">T45-$U$40</f>
        <v>7.4483361546129299</v>
      </c>
      <c r="U46" s="50"/>
      <c r="V46" s="50"/>
      <c r="W46" s="9">
        <f t="shared" si="29"/>
        <v>1.013283686913234</v>
      </c>
      <c r="X46" s="9">
        <f t="shared" si="30"/>
        <v>0.90621394925935439</v>
      </c>
      <c r="Y46" s="9">
        <f t="shared" ref="Y46:Y64" si="44">Y45-$Z$40</f>
        <v>0.67035025391516367</v>
      </c>
      <c r="AA46" s="31">
        <f>Fig1_carbon_intensity!B16</f>
        <v>73.467742947764563</v>
      </c>
      <c r="AB46" s="31">
        <f>Fig1_carbon_intensity!F16</f>
        <v>64.752378153614757</v>
      </c>
      <c r="AC46" s="31">
        <f>Fig1_carbon_intensity!J16</f>
        <v>43.311414279860614</v>
      </c>
      <c r="AD46" s="9"/>
      <c r="AE46" s="31">
        <f>Fig1_carbon_eq_intensity!H50</f>
        <v>124.89516301119976</v>
      </c>
      <c r="AF46" s="31">
        <f>Fig1_carbon_eq_intensity!L50</f>
        <v>115.07061162112177</v>
      </c>
      <c r="AG46" s="31">
        <f>Fig1_carbon_eq_intensity!P50</f>
        <v>90.472732051264387</v>
      </c>
      <c r="AH46" s="9"/>
      <c r="AJ46" s="9">
        <f t="shared" si="32"/>
        <v>1.1801843261364038</v>
      </c>
      <c r="AK46" s="9">
        <f t="shared" si="33"/>
        <v>1.0401808836197366</v>
      </c>
      <c r="AL46" s="9">
        <f t="shared" si="6"/>
        <v>0.69575367671543842</v>
      </c>
      <c r="AN46" s="9">
        <f t="shared" si="34"/>
        <v>0.95390523175207675</v>
      </c>
      <c r="AO46" s="9">
        <f t="shared" si="35"/>
        <v>0.84074492846525406</v>
      </c>
      <c r="AP46" s="9">
        <f t="shared" si="36"/>
        <v>0.56235543680054967</v>
      </c>
      <c r="AR46" s="9">
        <f t="shared" si="37"/>
        <v>0.49837852769052654</v>
      </c>
      <c r="AS46" s="9">
        <f t="shared" si="38"/>
        <v>0.43925665324445173</v>
      </c>
      <c r="AT46" s="9">
        <f t="shared" si="39"/>
        <v>0.29380892912878265</v>
      </c>
      <c r="AV46" s="9">
        <f t="shared" si="7"/>
        <v>2.0063133544318861</v>
      </c>
      <c r="AW46" s="9">
        <f t="shared" si="8"/>
        <v>1.848491961032942</v>
      </c>
      <c r="AX46" s="9">
        <f t="shared" si="9"/>
        <v>1.4533521246944712</v>
      </c>
      <c r="AZ46" s="9">
        <f t="shared" si="10"/>
        <v>1.6216388939785304</v>
      </c>
      <c r="BA46" s="9">
        <f t="shared" si="11"/>
        <v>1.4940769110648076</v>
      </c>
      <c r="BB46" s="9">
        <f t="shared" si="12"/>
        <v>1.1746980235389259</v>
      </c>
      <c r="BD46" s="9">
        <f t="shared" si="13"/>
        <v>0.84724349707389512</v>
      </c>
      <c r="BE46" s="9">
        <f t="shared" si="14"/>
        <v>0.78059730296815977</v>
      </c>
      <c r="BF46" s="9">
        <f t="shared" si="15"/>
        <v>0.61373420751345709</v>
      </c>
    </row>
    <row r="47" spans="1:58">
      <c r="A47" s="10">
        <v>2033</v>
      </c>
      <c r="B47" s="9">
        <f t="shared" si="41"/>
        <v>12236.001793593439</v>
      </c>
      <c r="C47" s="9">
        <f t="shared" si="42"/>
        <v>11119.310329377542</v>
      </c>
      <c r="D47" s="9">
        <f t="shared" si="20"/>
        <v>7548.1518625179779</v>
      </c>
      <c r="E47" s="9"/>
      <c r="F47" s="9">
        <f t="shared" si="21"/>
        <v>382636.97262900142</v>
      </c>
      <c r="G47" s="9">
        <f t="shared" si="22"/>
        <v>325203.48388985364</v>
      </c>
      <c r="H47" s="9">
        <f t="shared" si="40"/>
        <v>242751.71428572631</v>
      </c>
      <c r="I47" s="9"/>
      <c r="J47" s="9">
        <f t="shared" si="16"/>
        <v>1483877.134052411</v>
      </c>
      <c r="K47" s="9">
        <f t="shared" si="17"/>
        <v>1325941.4135338324</v>
      </c>
      <c r="L47" s="9">
        <f t="shared" si="18"/>
        <v>922085.38191234437</v>
      </c>
      <c r="M47" s="9"/>
      <c r="N47" s="9">
        <f t="shared" si="23"/>
        <v>16487523.711693456</v>
      </c>
      <c r="O47" s="9">
        <f t="shared" si="24"/>
        <v>14732682.372598138</v>
      </c>
      <c r="P47" s="9">
        <f t="shared" si="25"/>
        <v>10245393.132359382</v>
      </c>
      <c r="Q47" s="9"/>
      <c r="R47" s="50">
        <f t="shared" si="26"/>
        <v>11.146120556045574</v>
      </c>
      <c r="S47" s="50">
        <f t="shared" si="27"/>
        <v>9.8676630030463013</v>
      </c>
      <c r="T47" s="50">
        <f t="shared" si="43"/>
        <v>7.2421538389143016</v>
      </c>
      <c r="U47" s="50"/>
      <c r="V47" s="50"/>
      <c r="W47" s="9">
        <f t="shared" si="29"/>
        <v>1.0031508500441018</v>
      </c>
      <c r="X47" s="9">
        <f t="shared" si="30"/>
        <v>0.8880896702741673</v>
      </c>
      <c r="Y47" s="9">
        <f t="shared" si="44"/>
        <v>0.65179384550228714</v>
      </c>
      <c r="AA47" s="31">
        <f>Fig1_carbon_intensity!B17</f>
        <v>73.467742947764563</v>
      </c>
      <c r="AB47" s="31">
        <f>Fig1_carbon_intensity!F17</f>
        <v>62.882188696362334</v>
      </c>
      <c r="AC47" s="31">
        <f>Fig1_carbon_intensity!J17</f>
        <v>40.442700752209049</v>
      </c>
      <c r="AD47" s="9"/>
      <c r="AE47" s="31">
        <f>Fig1_carbon_eq_intensity!H51</f>
        <v>124.89516301119976</v>
      </c>
      <c r="AF47" s="31">
        <f>Fig1_carbon_eq_intensity!L51</f>
        <v>113.06177383937833</v>
      </c>
      <c r="AG47" s="31">
        <f>Fig1_carbon_eq_intensity!P51</f>
        <v>87.070755737108882</v>
      </c>
      <c r="AH47" s="9"/>
      <c r="AJ47" s="9">
        <f t="shared" si="32"/>
        <v>1.215117782190041</v>
      </c>
      <c r="AK47" s="9">
        <f t="shared" si="33"/>
        <v>1.0400382889441195</v>
      </c>
      <c r="AL47" s="9">
        <f t="shared" si="6"/>
        <v>0.6689009743873594</v>
      </c>
      <c r="AN47" s="9">
        <f t="shared" si="34"/>
        <v>0.96124776331052009</v>
      </c>
      <c r="AO47" s="9">
        <f t="shared" si="35"/>
        <v>0.82274697453853884</v>
      </c>
      <c r="AP47" s="9">
        <f t="shared" si="36"/>
        <v>0.52914999264286666</v>
      </c>
      <c r="AR47" s="9">
        <f t="shared" si="37"/>
        <v>0.49060907899002026</v>
      </c>
      <c r="AS47" s="9">
        <f t="shared" si="38"/>
        <v>0.41991997362888489</v>
      </c>
      <c r="AT47" s="9">
        <f t="shared" si="39"/>
        <v>0.27007167189030962</v>
      </c>
      <c r="AV47" s="9">
        <f t="shared" si="7"/>
        <v>2.0657002297230695</v>
      </c>
      <c r="AW47" s="9">
        <f t="shared" si="8"/>
        <v>1.869982203970207</v>
      </c>
      <c r="AX47" s="9">
        <f t="shared" si="9"/>
        <v>1.4401044507398442</v>
      </c>
      <c r="AZ47" s="9">
        <f t="shared" si="10"/>
        <v>1.6341211976278842</v>
      </c>
      <c r="BA47" s="9">
        <f t="shared" si="11"/>
        <v>1.4792938078456264</v>
      </c>
      <c r="BB47" s="9">
        <f t="shared" si="12"/>
        <v>1.1392288076899362</v>
      </c>
      <c r="BD47" s="9">
        <f t="shared" si="13"/>
        <v>0.83403543428303439</v>
      </c>
      <c r="BE47" s="9">
        <f t="shared" si="14"/>
        <v>0.75501343183706937</v>
      </c>
      <c r="BF47" s="9">
        <f t="shared" si="15"/>
        <v>0.58144842301090194</v>
      </c>
    </row>
    <row r="48" spans="1:58">
      <c r="A48" s="10">
        <v>2034</v>
      </c>
      <c r="B48" s="9">
        <f t="shared" si="41"/>
        <v>12725.441865337178</v>
      </c>
      <c r="C48" s="9">
        <f t="shared" si="42"/>
        <v>11441.77032892949</v>
      </c>
      <c r="D48" s="9">
        <f t="shared" si="20"/>
        <v>7670.5238037522877</v>
      </c>
      <c r="E48" s="9"/>
      <c r="F48" s="9">
        <f t="shared" si="21"/>
        <v>397942.45153416152</v>
      </c>
      <c r="G48" s="9">
        <f t="shared" si="22"/>
        <v>333658.77447098983</v>
      </c>
      <c r="H48" s="9">
        <f t="shared" si="40"/>
        <v>243064.86346250997</v>
      </c>
      <c r="I48" s="9"/>
      <c r="J48" s="9">
        <f t="shared" si="16"/>
        <v>1543232.2194145077</v>
      </c>
      <c r="K48" s="9">
        <f t="shared" si="17"/>
        <v>1363418.1040746439</v>
      </c>
      <c r="L48" s="9">
        <f t="shared" si="18"/>
        <v>933412.00580021576</v>
      </c>
      <c r="M48" s="9"/>
      <c r="N48" s="9">
        <f t="shared" si="23"/>
        <v>17147024.660161197</v>
      </c>
      <c r="O48" s="9">
        <f t="shared" si="24"/>
        <v>15149090.045273822</v>
      </c>
      <c r="P48" s="9">
        <f t="shared" si="25"/>
        <v>10371244.508891286</v>
      </c>
      <c r="Q48" s="9"/>
      <c r="R48" s="50">
        <f t="shared" si="26"/>
        <v>11.034659350485118</v>
      </c>
      <c r="S48" s="50">
        <f t="shared" si="27"/>
        <v>9.6703097429853759</v>
      </c>
      <c r="T48" s="50">
        <f t="shared" si="43"/>
        <v>7.0359715232156734</v>
      </c>
      <c r="U48" s="50"/>
      <c r="V48" s="50"/>
      <c r="W48" s="9">
        <f t="shared" si="29"/>
        <v>0.99311934154366077</v>
      </c>
      <c r="X48" s="9">
        <f t="shared" si="30"/>
        <v>0.87032787686868396</v>
      </c>
      <c r="Y48" s="9">
        <f t="shared" si="44"/>
        <v>0.6332374370894106</v>
      </c>
      <c r="AA48" s="31">
        <f>Fig1_carbon_intensity!B18</f>
        <v>73.467742947764563</v>
      </c>
      <c r="AB48" s="31">
        <f>Fig1_carbon_intensity!F18</f>
        <v>61.021348097561315</v>
      </c>
      <c r="AC48" s="31">
        <f>Fig1_carbon_intensity!J18</f>
        <v>37.628401794608919</v>
      </c>
      <c r="AD48" s="9"/>
      <c r="AE48" s="31">
        <f>Fig1_carbon_eq_intensity!H52</f>
        <v>124.89516301119976</v>
      </c>
      <c r="AF48" s="31">
        <f>Fig1_carbon_eq_intensity!L52</f>
        <v>111.0622849160863</v>
      </c>
      <c r="AG48" s="31">
        <f>Fig1_carbon_eq_intensity!P52</f>
        <v>83.723193993004827</v>
      </c>
      <c r="AH48" s="9"/>
      <c r="AJ48" s="9">
        <f t="shared" si="32"/>
        <v>1.2510852685428664</v>
      </c>
      <c r="AK48" s="9">
        <f t="shared" si="33"/>
        <v>1.0391350898824387</v>
      </c>
      <c r="AL48" s="9">
        <f t="shared" si="6"/>
        <v>0.64077562853017522</v>
      </c>
      <c r="AN48" s="9">
        <f t="shared" si="34"/>
        <v>0.96864834134398448</v>
      </c>
      <c r="AO48" s="9">
        <f t="shared" si="35"/>
        <v>0.80454666564756883</v>
      </c>
      <c r="AP48" s="9">
        <f t="shared" si="36"/>
        <v>0.49611826256440045</v>
      </c>
      <c r="AR48" s="9">
        <f t="shared" si="37"/>
        <v>0.48249648456978778</v>
      </c>
      <c r="AS48" s="9">
        <f t="shared" si="38"/>
        <v>0.40075528060956317</v>
      </c>
      <c r="AT48" s="9">
        <f t="shared" si="39"/>
        <v>0.24712303464646898</v>
      </c>
      <c r="AV48" s="9">
        <f t="shared" si="7"/>
        <v>2.1268449565228731</v>
      </c>
      <c r="AW48" s="9">
        <f t="shared" si="8"/>
        <v>1.8912842966745043</v>
      </c>
      <c r="AX48" s="9">
        <f t="shared" si="9"/>
        <v>1.4257257734796394</v>
      </c>
      <c r="AZ48" s="9">
        <f t="shared" si="10"/>
        <v>1.6467021802847737</v>
      </c>
      <c r="BA48" s="9">
        <f t="shared" si="11"/>
        <v>1.4643201730905142</v>
      </c>
      <c r="BB48" s="9">
        <f t="shared" si="12"/>
        <v>1.1038631342057907</v>
      </c>
      <c r="BD48" s="9">
        <f t="shared" si="13"/>
        <v>0.82024402376863925</v>
      </c>
      <c r="BE48" s="9">
        <f t="shared" si="14"/>
        <v>0.72939714615161355</v>
      </c>
      <c r="BF48" s="9">
        <f t="shared" si="15"/>
        <v>0.54984875208839334</v>
      </c>
    </row>
    <row r="49" spans="1:58">
      <c r="A49" s="10">
        <v>2035</v>
      </c>
      <c r="B49" s="9">
        <f t="shared" si="41"/>
        <v>13234.459539950665</v>
      </c>
      <c r="C49" s="9">
        <f t="shared" si="42"/>
        <v>11773.581668468443</v>
      </c>
      <c r="D49" s="9">
        <f t="shared" si="20"/>
        <v>7792.8957449865975</v>
      </c>
      <c r="E49" s="9"/>
      <c r="F49" s="9">
        <f t="shared" si="21"/>
        <v>413860.14959552797</v>
      </c>
      <c r="G49" s="9">
        <f t="shared" si="22"/>
        <v>342333.90260723559</v>
      </c>
      <c r="H49" s="9">
        <f t="shared" si="40"/>
        <v>243378.01263929362</v>
      </c>
      <c r="I49" s="9"/>
      <c r="J49" s="9">
        <f t="shared" si="16"/>
        <v>1604961.5081910877</v>
      </c>
      <c r="K49" s="9">
        <f t="shared" si="17"/>
        <v>1401956.2527693955</v>
      </c>
      <c r="L49" s="9">
        <f t="shared" si="18"/>
        <v>944738.62968808739</v>
      </c>
      <c r="M49" s="9"/>
      <c r="N49" s="9">
        <f t="shared" si="23"/>
        <v>17832905.646567643</v>
      </c>
      <c r="O49" s="9">
        <f t="shared" si="24"/>
        <v>15577291.697437728</v>
      </c>
      <c r="P49" s="9">
        <f t="shared" si="25"/>
        <v>10497095.885423193</v>
      </c>
      <c r="Q49" s="9"/>
      <c r="R49" s="50">
        <f t="shared" si="26"/>
        <v>10.924312756980267</v>
      </c>
      <c r="S49" s="50">
        <f t="shared" si="27"/>
        <v>9.4769035481256676</v>
      </c>
      <c r="T49" s="50">
        <f t="shared" si="43"/>
        <v>6.8297892075170452</v>
      </c>
      <c r="U49" s="50"/>
      <c r="V49" s="50"/>
      <c r="W49" s="9">
        <f t="shared" si="29"/>
        <v>0.98318814812822419</v>
      </c>
      <c r="X49" s="9">
        <f t="shared" si="30"/>
        <v>0.85292131933131021</v>
      </c>
      <c r="Y49" s="9">
        <f t="shared" si="44"/>
        <v>0.61468102867653407</v>
      </c>
      <c r="AA49" s="31">
        <f>Fig1_carbon_intensity!B19</f>
        <v>73.467742947764563</v>
      </c>
      <c r="AB49" s="31">
        <f>Fig1_carbon_intensity!F19</f>
        <v>59.1698563572117</v>
      </c>
      <c r="AC49" s="31">
        <f>Fig1_carbon_intensity!J19</f>
        <v>34.868517407060203</v>
      </c>
      <c r="AD49" s="9"/>
      <c r="AE49" s="31">
        <f>Fig1_carbon_eq_intensity!H53</f>
        <v>124.89516301119976</v>
      </c>
      <c r="AF49" s="31">
        <f>Fig1_carbon_eq_intensity!L53</f>
        <v>109.07214485124565</v>
      </c>
      <c r="AG49" s="31">
        <f>Fig1_carbon_eq_intensity!P53</f>
        <v>80.430046818952178</v>
      </c>
      <c r="AH49" s="9"/>
      <c r="AJ49" s="9">
        <f t="shared" si="32"/>
        <v>1.2881173924917351</v>
      </c>
      <c r="AK49" s="9">
        <f t="shared" si="33"/>
        <v>1.0374310959730002</v>
      </c>
      <c r="AL49" s="9">
        <f t="shared" si="6"/>
        <v>0.61135325409914076</v>
      </c>
      <c r="AN49" s="9">
        <f t="shared" si="34"/>
        <v>0.97610743390231824</v>
      </c>
      <c r="AO49" s="9">
        <f t="shared" si="35"/>
        <v>0.78614279322928426</v>
      </c>
      <c r="AP49" s="9">
        <f t="shared" si="36"/>
        <v>0.46327024193982619</v>
      </c>
      <c r="AR49" s="9">
        <f t="shared" si="37"/>
        <v>0.47404074442982919</v>
      </c>
      <c r="AS49" s="9">
        <f t="shared" si="38"/>
        <v>0.38178555145380511</v>
      </c>
      <c r="AT49" s="9">
        <f t="shared" si="39"/>
        <v>0.22498442562145179</v>
      </c>
      <c r="AV49" s="9">
        <f t="shared" si="7"/>
        <v>2.1897995672359496</v>
      </c>
      <c r="AW49" s="9">
        <f t="shared" si="8"/>
        <v>1.9123729841430002</v>
      </c>
      <c r="AX49" s="9">
        <f t="shared" si="9"/>
        <v>1.410188172788684</v>
      </c>
      <c r="AZ49" s="9">
        <f t="shared" si="10"/>
        <v>1.6593826376339409</v>
      </c>
      <c r="BA49" s="9">
        <f t="shared" si="11"/>
        <v>1.449154787519042</v>
      </c>
      <c r="BB49" s="9">
        <f t="shared" si="12"/>
        <v>1.0686100247411987</v>
      </c>
      <c r="BD49" s="9">
        <f t="shared" si="13"/>
        <v>0.80586926553070959</v>
      </c>
      <c r="BE49" s="9">
        <f t="shared" si="14"/>
        <v>0.70377336593291784</v>
      </c>
      <c r="BF49" s="9">
        <f t="shared" si="15"/>
        <v>0.51896407510014864</v>
      </c>
    </row>
    <row r="50" spans="1:58">
      <c r="A50" s="10">
        <v>2036</v>
      </c>
      <c r="B50" s="9">
        <f t="shared" si="41"/>
        <v>13763.837921548693</v>
      </c>
      <c r="C50" s="9">
        <f t="shared" si="42"/>
        <v>12115.015536854027</v>
      </c>
      <c r="D50" s="9">
        <f t="shared" si="20"/>
        <v>7915.2676862209073</v>
      </c>
      <c r="E50" s="9"/>
      <c r="F50" s="9">
        <f t="shared" si="21"/>
        <v>430414.55557934911</v>
      </c>
      <c r="G50" s="9">
        <f t="shared" si="22"/>
        <v>351234.58407502371</v>
      </c>
      <c r="H50" s="9">
        <f t="shared" si="40"/>
        <v>243691.16181607728</v>
      </c>
      <c r="I50" s="9"/>
      <c r="J50" s="9">
        <f t="shared" si="16"/>
        <v>1669159.9685187314</v>
      </c>
      <c r="K50" s="9">
        <f t="shared" si="17"/>
        <v>1441585.9823918859</v>
      </c>
      <c r="L50" s="9">
        <f t="shared" si="18"/>
        <v>956065.25357595901</v>
      </c>
      <c r="M50" s="9"/>
      <c r="N50" s="9">
        <f t="shared" si="23"/>
        <v>18546221.872430347</v>
      </c>
      <c r="O50" s="9">
        <f t="shared" si="24"/>
        <v>16017622.026576512</v>
      </c>
      <c r="P50" s="9">
        <f t="shared" si="25"/>
        <v>10622947.261955099</v>
      </c>
      <c r="Q50" s="9"/>
      <c r="R50" s="50">
        <f t="shared" si="26"/>
        <v>10.815069629410464</v>
      </c>
      <c r="S50" s="50">
        <f t="shared" si="27"/>
        <v>9.2873654771631546</v>
      </c>
      <c r="T50" s="50">
        <f t="shared" si="43"/>
        <v>6.623606891818417</v>
      </c>
      <c r="U50" s="50"/>
      <c r="V50" s="50"/>
      <c r="W50" s="9">
        <f t="shared" si="29"/>
        <v>0.97335626664694197</v>
      </c>
      <c r="X50" s="9">
        <f t="shared" si="30"/>
        <v>0.83586289294468397</v>
      </c>
      <c r="Y50" s="9">
        <f t="shared" si="44"/>
        <v>0.59612462026365753</v>
      </c>
      <c r="AA50" s="31">
        <f>Fig1_carbon_intensity!B20</f>
        <v>73.467742947764563</v>
      </c>
      <c r="AB50" s="31">
        <f>Fig1_carbon_intensity!F20</f>
        <v>55.877458818943936</v>
      </c>
      <c r="AC50" s="31">
        <f>Fig1_carbon_intensity!J20</f>
        <v>32.163047589562915</v>
      </c>
      <c r="AD50" s="9"/>
      <c r="AE50" s="31">
        <f>Fig1_carbon_eq_intensity!H54</f>
        <v>124.89516301119976</v>
      </c>
      <c r="AF50" s="31">
        <f>Fig1_carbon_eq_intensity!L54</f>
        <v>105.64109898848687</v>
      </c>
      <c r="AG50" s="31">
        <f>Fig1_carbon_eq_intensity!P54</f>
        <v>77.191314214950978</v>
      </c>
      <c r="AH50" s="9"/>
      <c r="AJ50" s="9">
        <f t="shared" si="32"/>
        <v>1.3262456673094907</v>
      </c>
      <c r="AK50" s="9">
        <f t="shared" si="33"/>
        <v>1.0087044284398257</v>
      </c>
      <c r="AL50" s="9">
        <f t="shared" si="6"/>
        <v>0.58060994936859822</v>
      </c>
      <c r="AN50" s="9">
        <f t="shared" si="34"/>
        <v>0.983625512862906</v>
      </c>
      <c r="AO50" s="9">
        <f t="shared" si="35"/>
        <v>0.74811736257282158</v>
      </c>
      <c r="AP50" s="9">
        <f t="shared" si="36"/>
        <v>0.43061611683118262</v>
      </c>
      <c r="AR50" s="9">
        <f t="shared" si="37"/>
        <v>0.46524185857014427</v>
      </c>
      <c r="AS50" s="9">
        <f t="shared" si="38"/>
        <v>0.35384961821388294</v>
      </c>
      <c r="AT50" s="9">
        <f t="shared" si="39"/>
        <v>0.20367572811495435</v>
      </c>
      <c r="AV50" s="9">
        <f t="shared" si="7"/>
        <v>2.2546176344261339</v>
      </c>
      <c r="AW50" s="9">
        <f t="shared" si="8"/>
        <v>1.9070417056763116</v>
      </c>
      <c r="AX50" s="9">
        <f t="shared" si="9"/>
        <v>1.3934638784846356</v>
      </c>
      <c r="AZ50" s="9">
        <f t="shared" si="10"/>
        <v>1.6721633718669402</v>
      </c>
      <c r="BA50" s="9">
        <f t="shared" si="11"/>
        <v>1.4143796447623573</v>
      </c>
      <c r="BB50" s="9">
        <f t="shared" si="12"/>
        <v>1.0334786803948379</v>
      </c>
      <c r="BD50" s="9">
        <f t="shared" si="13"/>
        <v>0.79091115956924529</v>
      </c>
      <c r="BE50" s="9">
        <f t="shared" si="14"/>
        <v>0.66898286598706103</v>
      </c>
      <c r="BF50" s="9">
        <f t="shared" si="15"/>
        <v>0.48882174747589036</v>
      </c>
    </row>
    <row r="51" spans="1:58">
      <c r="A51" s="10">
        <v>2037</v>
      </c>
      <c r="B51" s="9">
        <f t="shared" si="41"/>
        <v>14314.391438410641</v>
      </c>
      <c r="C51" s="9">
        <f t="shared" si="42"/>
        <v>12466.350987422793</v>
      </c>
      <c r="D51" s="9">
        <f t="shared" si="20"/>
        <v>8037.6396274552171</v>
      </c>
      <c r="E51" s="9"/>
      <c r="F51" s="9">
        <f t="shared" si="21"/>
        <v>447631.1378025231</v>
      </c>
      <c r="G51" s="9">
        <f t="shared" si="22"/>
        <v>360366.68326097436</v>
      </c>
      <c r="H51" s="9">
        <f t="shared" si="40"/>
        <v>244004.31099286093</v>
      </c>
      <c r="I51" s="9"/>
      <c r="J51" s="9">
        <f t="shared" si="16"/>
        <v>1735926.367259481</v>
      </c>
      <c r="K51" s="9">
        <f t="shared" si="17"/>
        <v>1482338.2721290258</v>
      </c>
      <c r="L51" s="9">
        <f t="shared" si="18"/>
        <v>967391.87746383052</v>
      </c>
      <c r="M51" s="9"/>
      <c r="N51" s="9">
        <f t="shared" si="23"/>
        <v>19288070.747327566</v>
      </c>
      <c r="O51" s="9">
        <f t="shared" si="24"/>
        <v>16470425.245878063</v>
      </c>
      <c r="P51" s="9">
        <f t="shared" si="25"/>
        <v>10748798.638487006</v>
      </c>
      <c r="Q51" s="9"/>
      <c r="R51" s="50">
        <f t="shared" si="26"/>
        <v>10.706918933116359</v>
      </c>
      <c r="S51" s="50">
        <f t="shared" si="27"/>
        <v>9.1016181676198915</v>
      </c>
      <c r="T51" s="50">
        <f t="shared" si="43"/>
        <v>6.4174245761197888</v>
      </c>
      <c r="U51" s="50"/>
      <c r="V51" s="50"/>
      <c r="W51" s="9">
        <f t="shared" si="29"/>
        <v>0.96362270398047256</v>
      </c>
      <c r="X51" s="9">
        <f t="shared" si="30"/>
        <v>0.8191456350857903</v>
      </c>
      <c r="Y51" s="9">
        <f t="shared" si="44"/>
        <v>0.577568211850781</v>
      </c>
      <c r="AA51" s="31">
        <f>Fig1_carbon_intensity!B21</f>
        <v>73.467742947764563</v>
      </c>
      <c r="AB51" s="31">
        <f>Fig1_carbon_intensity!F21</f>
        <v>52.602491355755035</v>
      </c>
      <c r="AC51" s="31">
        <f>Fig1_carbon_intensity!J21</f>
        <v>29.511992342117033</v>
      </c>
      <c r="AD51" s="9"/>
      <c r="AE51" s="31">
        <f>Fig1_carbon_eq_intensity!H55</f>
        <v>124.89516301119976</v>
      </c>
      <c r="AF51" s="31">
        <f>Fig1_carbon_eq_intensity!L55</f>
        <v>102.22748320080694</v>
      </c>
      <c r="AG51" s="31">
        <f>Fig1_carbon_eq_intensity!P55</f>
        <v>74.006996181001156</v>
      </c>
      <c r="AH51" s="9"/>
      <c r="AJ51" s="9">
        <f t="shared" si="32"/>
        <v>1.3655025390618518</v>
      </c>
      <c r="AK51" s="9">
        <f t="shared" si="33"/>
        <v>0.97769214930602644</v>
      </c>
      <c r="AL51" s="9">
        <f t="shared" si="6"/>
        <v>0.548522369941146</v>
      </c>
      <c r="AN51" s="9">
        <f t="shared" si="34"/>
        <v>0.99120305396227404</v>
      </c>
      <c r="AO51" s="9">
        <f t="shared" si="35"/>
        <v>0.70969582004063725</v>
      </c>
      <c r="AP51" s="9">
        <f t="shared" si="36"/>
        <v>0.39816626677664563</v>
      </c>
      <c r="AR51" s="9">
        <f t="shared" si="37"/>
        <v>0.4560998269907332</v>
      </c>
      <c r="AS51" s="9">
        <f t="shared" si="38"/>
        <v>0.32656491466873655</v>
      </c>
      <c r="AT51" s="9">
        <f t="shared" si="39"/>
        <v>0.18321530050217757</v>
      </c>
      <c r="AV51" s="9">
        <f t="shared" si="7"/>
        <v>2.3213543164051482</v>
      </c>
      <c r="AW51" s="9">
        <f t="shared" si="8"/>
        <v>1.9000432335569948</v>
      </c>
      <c r="AX51" s="9">
        <f t="shared" si="9"/>
        <v>1.3755253276985657</v>
      </c>
      <c r="AZ51" s="9">
        <f t="shared" si="10"/>
        <v>1.6850451917358658</v>
      </c>
      <c r="BA51" s="9">
        <f t="shared" si="11"/>
        <v>1.3792201785695399</v>
      </c>
      <c r="BB51" s="9">
        <f t="shared" si="12"/>
        <v>0.99847848437835718</v>
      </c>
      <c r="BD51" s="9">
        <f t="shared" si="13"/>
        <v>0.77536970588424647</v>
      </c>
      <c r="BE51" s="9">
        <f t="shared" si="14"/>
        <v>0.63464502284678992</v>
      </c>
      <c r="BF51" s="9">
        <f t="shared" si="15"/>
        <v>0.45944759972084515</v>
      </c>
    </row>
    <row r="52" spans="1:58">
      <c r="A52" s="10">
        <v>2038</v>
      </c>
      <c r="B52" s="9">
        <f t="shared" si="41"/>
        <v>14886.967095947068</v>
      </c>
      <c r="C52" s="9">
        <f t="shared" si="42"/>
        <v>12827.875166058053</v>
      </c>
      <c r="D52" s="9">
        <f t="shared" si="20"/>
        <v>8160.0115686895269</v>
      </c>
      <c r="E52" s="9"/>
      <c r="F52" s="9">
        <f t="shared" si="21"/>
        <v>465536.38331462402</v>
      </c>
      <c r="G52" s="9">
        <f t="shared" si="22"/>
        <v>369736.21702575969</v>
      </c>
      <c r="H52" s="9">
        <f t="shared" si="40"/>
        <v>244317.46016964459</v>
      </c>
      <c r="I52" s="9"/>
      <c r="J52" s="9">
        <f t="shared" si="16"/>
        <v>1805363.4219498599</v>
      </c>
      <c r="K52" s="9">
        <f t="shared" si="17"/>
        <v>1524244.9819709845</v>
      </c>
      <c r="L52" s="9">
        <f t="shared" si="18"/>
        <v>978718.50135170191</v>
      </c>
      <c r="M52" s="9"/>
      <c r="N52" s="9">
        <f t="shared" si="23"/>
        <v>20059593.577220667</v>
      </c>
      <c r="O52" s="9">
        <f t="shared" si="24"/>
        <v>16936055.355233159</v>
      </c>
      <c r="P52" s="9">
        <f t="shared" si="25"/>
        <v>10874650.015018912</v>
      </c>
      <c r="Q52" s="9"/>
      <c r="R52" s="50">
        <f t="shared" si="26"/>
        <v>10.599849743785196</v>
      </c>
      <c r="S52" s="50">
        <f t="shared" si="27"/>
        <v>8.9195858042674931</v>
      </c>
      <c r="T52" s="50">
        <f t="shared" si="43"/>
        <v>6.2112422604211606</v>
      </c>
      <c r="U52" s="50"/>
      <c r="V52" s="50"/>
      <c r="W52" s="9">
        <f t="shared" si="29"/>
        <v>0.95398647694066785</v>
      </c>
      <c r="X52" s="9">
        <f t="shared" si="30"/>
        <v>0.80276272238407453</v>
      </c>
      <c r="Y52" s="9">
        <f t="shared" si="44"/>
        <v>0.55901180343790446</v>
      </c>
      <c r="AA52" s="31">
        <f>Fig1_carbon_intensity!B22</f>
        <v>73.467742947764563</v>
      </c>
      <c r="AB52" s="31">
        <f>Fig1_carbon_intensity!F22</f>
        <v>49.344953967645012</v>
      </c>
      <c r="AC52" s="31">
        <f>Fig1_carbon_intensity!J22</f>
        <v>26.915351664722582</v>
      </c>
      <c r="AD52" s="9"/>
      <c r="AE52" s="31">
        <f>Fig1_carbon_eq_intensity!H56</f>
        <v>124.89516301119976</v>
      </c>
      <c r="AF52" s="31">
        <f>Fig1_carbon_eq_intensity!L56</f>
        <v>98.831297488205905</v>
      </c>
      <c r="AG52" s="31">
        <f>Fig1_carbon_eq_intensity!P56</f>
        <v>70.877092717102784</v>
      </c>
      <c r="AH52" s="9"/>
      <c r="AJ52" s="9">
        <f t="shared" si="32"/>
        <v>1.4059214142180825</v>
      </c>
      <c r="AK52" s="9">
        <f t="shared" si="33"/>
        <v>0.94429370881916497</v>
      </c>
      <c r="AL52" s="9">
        <f t="shared" si="6"/>
        <v>0.51506780742602343</v>
      </c>
      <c r="AN52" s="9">
        <f t="shared" si="34"/>
        <v>0.9988405368279587</v>
      </c>
      <c r="AO52" s="9">
        <f t="shared" si="35"/>
        <v>0.6708759291249351</v>
      </c>
      <c r="AP52" s="9">
        <f t="shared" si="36"/>
        <v>0.36593126761522227</v>
      </c>
      <c r="AR52" s="9">
        <f t="shared" si="37"/>
        <v>0.44661464969159576</v>
      </c>
      <c r="AS52" s="9">
        <f t="shared" si="38"/>
        <v>0.29997082319483803</v>
      </c>
      <c r="AT52" s="9">
        <f t="shared" si="39"/>
        <v>0.16361997623382749</v>
      </c>
      <c r="AV52" s="9">
        <f t="shared" si="7"/>
        <v>2.39006640417074</v>
      </c>
      <c r="AW52" s="9">
        <f t="shared" si="8"/>
        <v>1.8912931302710494</v>
      </c>
      <c r="AX52" s="9">
        <f t="shared" si="9"/>
        <v>1.3563452262218614</v>
      </c>
      <c r="AZ52" s="9">
        <f t="shared" si="10"/>
        <v>1.6980289126075296</v>
      </c>
      <c r="BA52" s="9">
        <f t="shared" si="11"/>
        <v>1.343674138849082</v>
      </c>
      <c r="BB52" s="9">
        <f t="shared" si="12"/>
        <v>0.9636190047200851</v>
      </c>
      <c r="BD52" s="9">
        <f t="shared" si="13"/>
        <v>0.7592449044757128</v>
      </c>
      <c r="BE52" s="9">
        <f t="shared" si="14"/>
        <v>0.60080116164238329</v>
      </c>
      <c r="BF52" s="9">
        <f t="shared" si="15"/>
        <v>0.43086593741574564</v>
      </c>
    </row>
    <row r="53" spans="1:58">
      <c r="A53" s="10">
        <v>2039</v>
      </c>
      <c r="B53" s="9">
        <f t="shared" si="41"/>
        <v>15482.445779784952</v>
      </c>
      <c r="C53" s="9">
        <f t="shared" si="42"/>
        <v>13199.883545873736</v>
      </c>
      <c r="D53" s="9">
        <f t="shared" si="20"/>
        <v>8282.3835099238368</v>
      </c>
      <c r="E53" s="9"/>
      <c r="F53" s="9">
        <f t="shared" si="21"/>
        <v>484157.83864720899</v>
      </c>
      <c r="G53" s="9">
        <f t="shared" si="22"/>
        <v>379349.35866842943</v>
      </c>
      <c r="H53" s="9">
        <f t="shared" si="40"/>
        <v>244630.60934642825</v>
      </c>
      <c r="I53" s="9"/>
      <c r="J53" s="9">
        <f t="shared" si="16"/>
        <v>1877577.9588278546</v>
      </c>
      <c r="K53" s="9">
        <f t="shared" si="17"/>
        <v>1567338.8777970658</v>
      </c>
      <c r="L53" s="9">
        <f t="shared" si="18"/>
        <v>990045.12523957365</v>
      </c>
      <c r="M53" s="9"/>
      <c r="N53" s="9">
        <f t="shared" si="23"/>
        <v>20861977.320309497</v>
      </c>
      <c r="O53" s="9">
        <f t="shared" si="24"/>
        <v>17414876.419967394</v>
      </c>
      <c r="P53" s="9">
        <f t="shared" si="25"/>
        <v>11000501.391550817</v>
      </c>
      <c r="Q53" s="9"/>
      <c r="R53" s="50">
        <f t="shared" si="26"/>
        <v>10.493851246347344</v>
      </c>
      <c r="S53" s="50">
        <f t="shared" si="27"/>
        <v>8.7411940881821426</v>
      </c>
      <c r="T53" s="50">
        <f t="shared" si="43"/>
        <v>6.0050599447225324</v>
      </c>
      <c r="U53" s="50"/>
      <c r="V53" s="50"/>
      <c r="W53" s="9">
        <f t="shared" si="29"/>
        <v>0.94444661217126114</v>
      </c>
      <c r="X53" s="9">
        <f t="shared" si="30"/>
        <v>0.78670746793639301</v>
      </c>
      <c r="Y53" s="9">
        <f t="shared" si="44"/>
        <v>0.54045539502502793</v>
      </c>
      <c r="AA53" s="31">
        <f>Fig1_carbon_intensity!B23</f>
        <v>73.467742947764563</v>
      </c>
      <c r="AB53" s="31">
        <f>Fig1_carbon_intensity!F23</f>
        <v>46.104846654613866</v>
      </c>
      <c r="AC53" s="31">
        <f>Fig1_carbon_intensity!J23</f>
        <v>24.373125557379552</v>
      </c>
      <c r="AD53" s="9"/>
      <c r="AE53" s="31">
        <f>Fig1_carbon_eq_intensity!H57</f>
        <v>124.89516301119976</v>
      </c>
      <c r="AF53" s="31">
        <f>Fig1_carbon_eq_intensity!L57</f>
        <v>95.452541850683744</v>
      </c>
      <c r="AG53" s="31">
        <f>Fig1_carbon_eq_intensity!P57</f>
        <v>67.801603823255832</v>
      </c>
      <c r="AH53" s="9"/>
      <c r="AJ53" s="9">
        <f t="shared" si="32"/>
        <v>1.4475366880789378</v>
      </c>
      <c r="AK53" s="9">
        <f t="shared" si="33"/>
        <v>0.90840489108611888</v>
      </c>
      <c r="AL53" s="9">
        <f t="shared" si="6"/>
        <v>0.48022427301933091</v>
      </c>
      <c r="AN53" s="9">
        <f t="shared" si="34"/>
        <v>1.0065384450106416</v>
      </c>
      <c r="AO53" s="9">
        <f t="shared" si="35"/>
        <v>0.63165545581254523</v>
      </c>
      <c r="AP53" s="9">
        <f t="shared" si="36"/>
        <v>0.33392189434778879</v>
      </c>
      <c r="AR53" s="9">
        <f t="shared" si="37"/>
        <v>0.43678632667273232</v>
      </c>
      <c r="AS53" s="9">
        <f t="shared" si="38"/>
        <v>0.27410623770484493</v>
      </c>
      <c r="AT53" s="9">
        <f t="shared" si="39"/>
        <v>0.1449050638361149</v>
      </c>
      <c r="AV53" s="9">
        <f t="shared" si="7"/>
        <v>2.4608123697341941</v>
      </c>
      <c r="AW53" s="9">
        <f t="shared" si="8"/>
        <v>1.880703704175237</v>
      </c>
      <c r="AX53" s="9">
        <f t="shared" si="9"/>
        <v>1.335896614035593</v>
      </c>
      <c r="AZ53" s="9">
        <f t="shared" si="10"/>
        <v>1.711115356518091</v>
      </c>
      <c r="BA53" s="9">
        <f t="shared" si="11"/>
        <v>1.3077392770186331</v>
      </c>
      <c r="BB53" s="9">
        <f t="shared" si="12"/>
        <v>0.92890999700384869</v>
      </c>
      <c r="BD53" s="9">
        <f t="shared" si="13"/>
        <v>0.74253675534364494</v>
      </c>
      <c r="BE53" s="9">
        <f t="shared" si="14"/>
        <v>0.56749211904030583</v>
      </c>
      <c r="BF53" s="9">
        <f t="shared" si="15"/>
        <v>0.40309954121682873</v>
      </c>
    </row>
    <row r="54" spans="1:58">
      <c r="A54" s="10">
        <v>2040</v>
      </c>
      <c r="B54" s="9">
        <f t="shared" si="41"/>
        <v>16101.743610976351</v>
      </c>
      <c r="C54" s="9">
        <f t="shared" si="42"/>
        <v>13582.680168704073</v>
      </c>
      <c r="D54" s="9">
        <f t="shared" si="20"/>
        <v>8404.7554511581457</v>
      </c>
      <c r="E54" s="9"/>
      <c r="F54" s="9">
        <f t="shared" si="21"/>
        <v>503524.15219309734</v>
      </c>
      <c r="G54" s="9">
        <f t="shared" si="22"/>
        <v>389212.44199380861</v>
      </c>
      <c r="H54" s="9">
        <f t="shared" si="40"/>
        <v>244943.7585232119</v>
      </c>
      <c r="I54" s="9"/>
      <c r="J54" s="9">
        <f t="shared" si="16"/>
        <v>1952681.0771809691</v>
      </c>
      <c r="K54" s="9">
        <f t="shared" si="17"/>
        <v>1611653.6571771752</v>
      </c>
      <c r="L54" s="9">
        <f t="shared" si="18"/>
        <v>1001371.749127445</v>
      </c>
      <c r="M54" s="9"/>
      <c r="N54" s="9">
        <f t="shared" si="23"/>
        <v>21696456.413121879</v>
      </c>
      <c r="O54" s="9">
        <f t="shared" si="24"/>
        <v>17907262.857524171</v>
      </c>
      <c r="P54" s="9">
        <f t="shared" si="25"/>
        <v>11126352.768082723</v>
      </c>
      <c r="Q54" s="9"/>
      <c r="R54" s="50">
        <f t="shared" si="26"/>
        <v>10.38891273388387</v>
      </c>
      <c r="S54" s="50">
        <f t="shared" si="27"/>
        <v>8.5663702064184992</v>
      </c>
      <c r="T54" s="50">
        <f t="shared" si="43"/>
        <v>5.7988776290239041</v>
      </c>
      <c r="U54" s="50"/>
      <c r="V54" s="50"/>
      <c r="W54" s="9">
        <f t="shared" si="29"/>
        <v>0.93500214604954857</v>
      </c>
      <c r="X54" s="9">
        <f t="shared" si="30"/>
        <v>0.77097331857766516</v>
      </c>
      <c r="Y54" s="9">
        <f t="shared" si="44"/>
        <v>0.52189898661215139</v>
      </c>
      <c r="AA54" s="31">
        <f>Fig1_carbon_intensity!B24</f>
        <v>73.467742947764563</v>
      </c>
      <c r="AB54" s="31">
        <f>Fig1_carbon_intensity!F24</f>
        <v>42.882169416661576</v>
      </c>
      <c r="AC54" s="31">
        <f>Fig1_carbon_intensity!J24</f>
        <v>21.885314020087947</v>
      </c>
      <c r="AD54" s="9"/>
      <c r="AE54" s="31">
        <f>Fig1_carbon_eq_intensity!H58</f>
        <v>124.89516301119976</v>
      </c>
      <c r="AF54" s="31">
        <f>Fig1_carbon_eq_intensity!L58</f>
        <v>92.091216288240432</v>
      </c>
      <c r="AG54" s="31">
        <f>Fig1_carbon_eq_intensity!P58</f>
        <v>64.7805294994603</v>
      </c>
      <c r="AH54" s="9"/>
      <c r="AJ54" s="9">
        <f t="shared" si="32"/>
        <v>1.4903837740460746</v>
      </c>
      <c r="AK54" s="9">
        <f t="shared" si="33"/>
        <v>0.86991769353698223</v>
      </c>
      <c r="AL54" s="9">
        <f t="shared" si="6"/>
        <v>0.44397058622902219</v>
      </c>
      <c r="AN54" s="9">
        <f t="shared" si="34"/>
        <v>1.0142972660165499</v>
      </c>
      <c r="AO54" s="9">
        <f t="shared" si="35"/>
        <v>0.59203216888129273</v>
      </c>
      <c r="AP54" s="9">
        <f t="shared" si="36"/>
        <v>0.30214912403490829</v>
      </c>
      <c r="AR54" s="9">
        <f t="shared" si="37"/>
        <v>0.42661485793414239</v>
      </c>
      <c r="AS54" s="9">
        <f t="shared" si="38"/>
        <v>0.2490095636476001</v>
      </c>
      <c r="AT54" s="9">
        <f t="shared" si="39"/>
        <v>0.1270843469107554</v>
      </c>
      <c r="AV54" s="9">
        <f t="shared" si="7"/>
        <v>2.5336524158783269</v>
      </c>
      <c r="AW54" s="9">
        <f t="shared" si="8"/>
        <v>1.8681838992351585</v>
      </c>
      <c r="AX54" s="9">
        <f t="shared" si="9"/>
        <v>1.3141529352379053</v>
      </c>
      <c r="AZ54" s="9">
        <f t="shared" si="10"/>
        <v>1.7243053522281349</v>
      </c>
      <c r="BA54" s="9">
        <f t="shared" si="11"/>
        <v>1.2714133462860546</v>
      </c>
      <c r="BB54" s="9">
        <f t="shared" si="12"/>
        <v>0.89436140714332824</v>
      </c>
      <c r="BD54" s="9">
        <f t="shared" si="13"/>
        <v>0.72524525848804211</v>
      </c>
      <c r="BE54" s="9">
        <f t="shared" si="14"/>
        <v>0.53475824324320675</v>
      </c>
      <c r="BF54" s="9">
        <f t="shared" si="15"/>
        <v>0.37616966685583586</v>
      </c>
    </row>
    <row r="55" spans="1:58">
      <c r="A55" s="10">
        <v>2041</v>
      </c>
      <c r="B55" s="9">
        <f t="shared" si="41"/>
        <v>16745.813355415405</v>
      </c>
      <c r="C55" s="9">
        <f t="shared" si="42"/>
        <v>13976.57789359649</v>
      </c>
      <c r="D55" s="9">
        <f t="shared" si="20"/>
        <v>8527.1273923924546</v>
      </c>
      <c r="E55" s="9"/>
      <c r="F55" s="9">
        <f t="shared" si="21"/>
        <v>523665.11828082125</v>
      </c>
      <c r="G55" s="9">
        <f t="shared" si="22"/>
        <v>399331.96548564761</v>
      </c>
      <c r="H55" s="9">
        <f t="shared" si="40"/>
        <v>245256.90769999556</v>
      </c>
      <c r="I55" s="9"/>
      <c r="J55" s="9">
        <f t="shared" si="16"/>
        <v>2030788.3202682075</v>
      </c>
      <c r="K55" s="9">
        <f t="shared" si="17"/>
        <v>1657223.9759093316</v>
      </c>
      <c r="L55" s="9">
        <f t="shared" si="18"/>
        <v>1012698.3730153166</v>
      </c>
      <c r="M55" s="9"/>
      <c r="N55" s="9">
        <f t="shared" si="23"/>
        <v>22564314.669646751</v>
      </c>
      <c r="O55" s="9">
        <f t="shared" si="24"/>
        <v>18413599.732325908</v>
      </c>
      <c r="P55" s="9">
        <f t="shared" si="25"/>
        <v>11252204.144614628</v>
      </c>
      <c r="Q55" s="9"/>
      <c r="R55" s="50">
        <f t="shared" si="26"/>
        <v>10.285023606545032</v>
      </c>
      <c r="S55" s="50">
        <f t="shared" si="27"/>
        <v>8.3950428022901296</v>
      </c>
      <c r="T55" s="50">
        <f t="shared" si="43"/>
        <v>5.5926953133252759</v>
      </c>
      <c r="U55" s="50"/>
      <c r="V55" s="50"/>
      <c r="W55" s="9">
        <f t="shared" si="29"/>
        <v>0.9256521245890531</v>
      </c>
      <c r="X55" s="9">
        <f t="shared" si="30"/>
        <v>0.75555385220611182</v>
      </c>
      <c r="Y55" s="9">
        <f t="shared" si="44"/>
        <v>0.50334257819927486</v>
      </c>
      <c r="AA55" s="31">
        <f>Fig1_carbon_intensity!B25</f>
        <v>73.467742947764563</v>
      </c>
      <c r="AB55" s="31">
        <f>Fig1_carbon_intensity!F25</f>
        <v>40.658330224729916</v>
      </c>
      <c r="AC55" s="31">
        <f>Fig1_carbon_intensity!J25</f>
        <v>19.451917052847755</v>
      </c>
      <c r="AD55" s="9"/>
      <c r="AE55" s="31">
        <f>Fig1_carbon_eq_intensity!H59</f>
        <v>124.89516301119976</v>
      </c>
      <c r="AF55" s="31">
        <f>Fig1_carbon_eq_intensity!L59</f>
        <v>89.728728771817742</v>
      </c>
      <c r="AG55" s="31">
        <f>Fig1_carbon_eq_intensity!P59</f>
        <v>61.813869745716175</v>
      </c>
      <c r="AH55" s="9"/>
      <c r="AJ55" s="9">
        <f t="shared" si="32"/>
        <v>1.534499133757838</v>
      </c>
      <c r="AK55" s="9">
        <f t="shared" si="33"/>
        <v>0.84921858228648017</v>
      </c>
      <c r="AL55" s="9">
        <f t="shared" si="6"/>
        <v>0.40628646899832965</v>
      </c>
      <c r="AN55" s="9">
        <f t="shared" si="34"/>
        <v>1.0221174913401259</v>
      </c>
      <c r="AO55" s="9">
        <f t="shared" si="35"/>
        <v>0.56565764543667463</v>
      </c>
      <c r="AP55" s="9">
        <f t="shared" si="36"/>
        <v>0.27062413873186669</v>
      </c>
      <c r="AR55" s="9">
        <f t="shared" si="37"/>
        <v>0.41610024347582636</v>
      </c>
      <c r="AS55" s="9">
        <f t="shared" si="38"/>
        <v>0.23027713152776852</v>
      </c>
      <c r="AT55" s="9">
        <f t="shared" si="39"/>
        <v>0.11017008413496944</v>
      </c>
      <c r="AV55" s="9">
        <f t="shared" si="7"/>
        <v>2.6086485273883246</v>
      </c>
      <c r="AW55" s="9">
        <f t="shared" si="8"/>
        <v>1.8741375609080941</v>
      </c>
      <c r="AX55" s="9">
        <f t="shared" si="9"/>
        <v>1.2910881125946916</v>
      </c>
      <c r="AZ55" s="9">
        <f t="shared" si="10"/>
        <v>1.737599735278214</v>
      </c>
      <c r="BA55" s="9">
        <f t="shared" si="11"/>
        <v>1.2483479071705921</v>
      </c>
      <c r="BB55" s="9">
        <f t="shared" si="12"/>
        <v>0.85998337419237625</v>
      </c>
      <c r="BD55" s="9">
        <f t="shared" si="13"/>
        <v>0.70737041390890487</v>
      </c>
      <c r="BE55" s="9">
        <f t="shared" si="14"/>
        <v>0.50819780750955812</v>
      </c>
      <c r="BF55" s="9">
        <f t="shared" si="15"/>
        <v>0.35009604514001386</v>
      </c>
    </row>
    <row r="56" spans="1:58">
      <c r="A56" s="10">
        <v>2042</v>
      </c>
      <c r="B56" s="9">
        <f t="shared" si="41"/>
        <v>17415.645889632022</v>
      </c>
      <c r="C56" s="9">
        <f t="shared" si="42"/>
        <v>14381.898652510787</v>
      </c>
      <c r="D56" s="9">
        <f t="shared" si="20"/>
        <v>8649.4993336267635</v>
      </c>
      <c r="E56" s="9"/>
      <c r="F56" s="9">
        <f t="shared" si="21"/>
        <v>544611.72301205411</v>
      </c>
      <c r="G56" s="9">
        <f t="shared" si="22"/>
        <v>409714.59658827446</v>
      </c>
      <c r="H56" s="9">
        <f t="shared" si="40"/>
        <v>245570.05687677921</v>
      </c>
      <c r="I56" s="9"/>
      <c r="J56" s="9">
        <f t="shared" si="16"/>
        <v>2112019.8530789362</v>
      </c>
      <c r="K56" s="9">
        <f t="shared" si="17"/>
        <v>1704085.4753142451</v>
      </c>
      <c r="L56" s="9">
        <f t="shared" si="18"/>
        <v>1024024.9969031879</v>
      </c>
      <c r="M56" s="9"/>
      <c r="N56" s="9">
        <f t="shared" si="23"/>
        <v>23466887.256432623</v>
      </c>
      <c r="O56" s="9">
        <f t="shared" si="24"/>
        <v>18934283.05904717</v>
      </c>
      <c r="P56" s="9">
        <f t="shared" si="25"/>
        <v>11378055.521146532</v>
      </c>
      <c r="Q56" s="9"/>
      <c r="R56" s="50">
        <f t="shared" si="26"/>
        <v>10.182173370479582</v>
      </c>
      <c r="S56" s="50">
        <f t="shared" si="27"/>
        <v>8.2271419462443269</v>
      </c>
      <c r="T56" s="50">
        <f t="shared" si="43"/>
        <v>5.3865129976266477</v>
      </c>
      <c r="U56" s="50"/>
      <c r="V56" s="50"/>
      <c r="W56" s="9">
        <f t="shared" si="29"/>
        <v>0.91639560334316261</v>
      </c>
      <c r="X56" s="9">
        <f t="shared" si="30"/>
        <v>0.74044277516198953</v>
      </c>
      <c r="Y56" s="9">
        <f t="shared" si="44"/>
        <v>0.48478616978639832</v>
      </c>
      <c r="AA56" s="31">
        <f>Fig1_carbon_intensity!B26</f>
        <v>73.467742947764563</v>
      </c>
      <c r="AB56" s="31">
        <f>Fig1_carbon_intensity!F26</f>
        <v>38.44637517489749</v>
      </c>
      <c r="AC56" s="31">
        <f>Fig1_carbon_intensity!J26</f>
        <v>17.07293465565899</v>
      </c>
      <c r="AD56" s="9"/>
      <c r="AE56" s="31">
        <f>Fig1_carbon_eq_intensity!H60</f>
        <v>124.89516301119976</v>
      </c>
      <c r="AF56" s="31">
        <f>Fig1_carbon_eq_intensity!L60</f>
        <v>87.378125397494301</v>
      </c>
      <c r="AG56" s="31">
        <f>Fig1_carbon_eq_intensity!P60</f>
        <v>58.901624562023478</v>
      </c>
      <c r="AH56" s="9"/>
      <c r="AJ56" s="9">
        <f t="shared" si="32"/>
        <v>1.5799203081170705</v>
      </c>
      <c r="AK56" s="9">
        <f t="shared" si="33"/>
        <v>0.82678746447262086</v>
      </c>
      <c r="AL56" s="9">
        <f t="shared" si="6"/>
        <v>0.3671526454924543</v>
      </c>
      <c r="AN56" s="9">
        <f t="shared" si="34"/>
        <v>1.02999961649697</v>
      </c>
      <c r="AO56" s="9">
        <f t="shared" si="35"/>
        <v>0.53900868730918261</v>
      </c>
      <c r="AP56" s="9">
        <f t="shared" si="36"/>
        <v>0.23935832846137078</v>
      </c>
      <c r="AR56" s="9">
        <f t="shared" si="37"/>
        <v>0.40524248329778417</v>
      </c>
      <c r="AS56" s="9">
        <f t="shared" si="38"/>
        <v>0.21206728183757007</v>
      </c>
      <c r="AT56" s="9">
        <f t="shared" si="39"/>
        <v>9.4173009261482504E-2</v>
      </c>
      <c r="AV56" s="9">
        <f t="shared" si="7"/>
        <v>2.6858645237990197</v>
      </c>
      <c r="AW56" s="9">
        <f t="shared" si="8"/>
        <v>1.8790624192559566</v>
      </c>
      <c r="AX56" s="9">
        <f t="shared" si="9"/>
        <v>1.2666766269489664</v>
      </c>
      <c r="AZ56" s="9">
        <f t="shared" si="10"/>
        <v>1.7509993480448489</v>
      </c>
      <c r="BA56" s="9">
        <f t="shared" si="11"/>
        <v>1.2250197438845063</v>
      </c>
      <c r="BB56" s="9">
        <f t="shared" si="12"/>
        <v>0.82578623319172872</v>
      </c>
      <c r="BD56" s="9">
        <f t="shared" si="13"/>
        <v>0.688912221606233</v>
      </c>
      <c r="BE56" s="9">
        <f t="shared" si="14"/>
        <v>0.48197109508538655</v>
      </c>
      <c r="BF56" s="9">
        <f t="shared" si="15"/>
        <v>0.32489688195211441</v>
      </c>
    </row>
    <row r="57" spans="1:58">
      <c r="A57" s="10">
        <v>2043</v>
      </c>
      <c r="B57" s="9">
        <f t="shared" si="41"/>
        <v>18112.271725217302</v>
      </c>
      <c r="C57" s="9">
        <f t="shared" si="42"/>
        <v>14798.973713433597</v>
      </c>
      <c r="D57" s="9">
        <f t="shared" si="20"/>
        <v>8771.8712748610724</v>
      </c>
      <c r="E57" s="9"/>
      <c r="F57" s="9">
        <f t="shared" si="21"/>
        <v>566396.19193253631</v>
      </c>
      <c r="G57" s="9">
        <f t="shared" si="22"/>
        <v>420367.17609956959</v>
      </c>
      <c r="H57" s="9">
        <f t="shared" si="40"/>
        <v>245883.20605356287</v>
      </c>
      <c r="I57" s="9"/>
      <c r="J57" s="9">
        <f t="shared" si="16"/>
        <v>2196500.6472020936</v>
      </c>
      <c r="K57" s="9">
        <f t="shared" si="17"/>
        <v>1752274.8103085933</v>
      </c>
      <c r="L57" s="9">
        <f t="shared" si="18"/>
        <v>1035351.6207910595</v>
      </c>
      <c r="M57" s="9"/>
      <c r="N57" s="9">
        <f t="shared" si="23"/>
        <v>24405562.746689927</v>
      </c>
      <c r="O57" s="9">
        <f t="shared" si="24"/>
        <v>19469720.114539925</v>
      </c>
      <c r="P57" s="9">
        <f t="shared" si="25"/>
        <v>11503906.897678439</v>
      </c>
      <c r="Q57" s="9"/>
      <c r="R57" s="50">
        <f t="shared" si="26"/>
        <v>10.080351636774786</v>
      </c>
      <c r="S57" s="50">
        <f t="shared" si="27"/>
        <v>8.062599107319441</v>
      </c>
      <c r="T57" s="50">
        <f t="shared" si="43"/>
        <v>5.1803306819280195</v>
      </c>
      <c r="U57" s="50"/>
      <c r="V57" s="50"/>
      <c r="W57" s="9">
        <f t="shared" si="29"/>
        <v>0.90723164730973094</v>
      </c>
      <c r="X57" s="9">
        <f t="shared" si="30"/>
        <v>0.72563391965874968</v>
      </c>
      <c r="Y57" s="9">
        <f t="shared" si="44"/>
        <v>0.46622976137352179</v>
      </c>
      <c r="AA57" s="31">
        <f>Fig1_carbon_intensity!B27</f>
        <v>73.467742947764563</v>
      </c>
      <c r="AB57" s="31">
        <f>Fig1_carbon_intensity!F27</f>
        <v>36.246304267164291</v>
      </c>
      <c r="AC57" s="31">
        <f>Fig1_carbon_intensity!J27</f>
        <v>14.748366828521643</v>
      </c>
      <c r="AD57" s="9"/>
      <c r="AE57" s="31">
        <f>Fig1_carbon_eq_intensity!H61</f>
        <v>124.89516301119976</v>
      </c>
      <c r="AF57" s="31">
        <f>Fig1_carbon_eq_intensity!L61</f>
        <v>85.039406165270094</v>
      </c>
      <c r="AG57" s="31">
        <f>Fig1_carbon_eq_intensity!P61</f>
        <v>56.043793948382209</v>
      </c>
      <c r="AH57" s="9"/>
      <c r="AJ57" s="9">
        <f t="shared" si="32"/>
        <v>1.6266859492373358</v>
      </c>
      <c r="AK57" s="9">
        <f t="shared" si="33"/>
        <v>0.80254750585027301</v>
      </c>
      <c r="AL57" s="9">
        <f t="shared" si="6"/>
        <v>0.32655094782497529</v>
      </c>
      <c r="AN57" s="9">
        <f t="shared" si="34"/>
        <v>1.037944141057056</v>
      </c>
      <c r="AO57" s="9">
        <f t="shared" si="35"/>
        <v>0.51208377499528546</v>
      </c>
      <c r="AP57" s="9">
        <f t="shared" si="36"/>
        <v>0.20836329422435393</v>
      </c>
      <c r="AR57" s="9">
        <f t="shared" si="37"/>
        <v>0.39404157740001566</v>
      </c>
      <c r="AS57" s="9">
        <f t="shared" si="38"/>
        <v>0.19440573965242414</v>
      </c>
      <c r="AT57" s="9">
        <f t="shared" si="39"/>
        <v>7.9102331118524757E-2</v>
      </c>
      <c r="AV57" s="9">
        <f t="shared" si="7"/>
        <v>2.7653661137034709</v>
      </c>
      <c r="AW57" s="9">
        <f t="shared" si="8"/>
        <v>1.8828999175717951</v>
      </c>
      <c r="AX57" s="9">
        <f t="shared" si="9"/>
        <v>1.2408936017349055</v>
      </c>
      <c r="AZ57" s="9">
        <f t="shared" si="10"/>
        <v>1.764505039796995</v>
      </c>
      <c r="BA57" s="9">
        <f t="shared" si="11"/>
        <v>1.2014273182581701</v>
      </c>
      <c r="BB57" s="9">
        <f t="shared" si="12"/>
        <v>0.79178051805254446</v>
      </c>
      <c r="BD57" s="9">
        <f t="shared" si="13"/>
        <v>0.66987068158002661</v>
      </c>
      <c r="BE57" s="9">
        <f t="shared" si="14"/>
        <v>0.45610577379991829</v>
      </c>
      <c r="BF57" s="9">
        <f t="shared" si="15"/>
        <v>0.30058885825039389</v>
      </c>
    </row>
    <row r="58" spans="1:58">
      <c r="A58" s="10">
        <v>2044</v>
      </c>
      <c r="B58" s="9">
        <f t="shared" si="41"/>
        <v>18836.762594225995</v>
      </c>
      <c r="C58" s="9">
        <f t="shared" si="42"/>
        <v>15228.143951123171</v>
      </c>
      <c r="D58" s="9">
        <f t="shared" si="20"/>
        <v>8894.2432160953813</v>
      </c>
      <c r="E58" s="9"/>
      <c r="F58" s="9">
        <f t="shared" si="21"/>
        <v>589052.03960983781</v>
      </c>
      <c r="G58" s="9">
        <f t="shared" si="22"/>
        <v>431296.72267815843</v>
      </c>
      <c r="H58" s="9">
        <f t="shared" si="40"/>
        <v>246196.35523034653</v>
      </c>
      <c r="I58" s="9"/>
      <c r="J58" s="9">
        <f t="shared" si="16"/>
        <v>2284360.6730901776</v>
      </c>
      <c r="K58" s="9">
        <f t="shared" si="17"/>
        <v>1801829.6782792439</v>
      </c>
      <c r="L58" s="9">
        <f t="shared" si="18"/>
        <v>1046678.2446789307</v>
      </c>
      <c r="M58" s="9"/>
      <c r="N58" s="9">
        <f t="shared" si="23"/>
        <v>25381785.256557524</v>
      </c>
      <c r="O58" s="9">
        <f t="shared" si="24"/>
        <v>20020329.758658264</v>
      </c>
      <c r="P58" s="9">
        <f t="shared" si="25"/>
        <v>11629758.274210341</v>
      </c>
      <c r="Q58" s="9"/>
      <c r="R58" s="50">
        <f t="shared" si="26"/>
        <v>9.9795481204070384</v>
      </c>
      <c r="S58" s="50">
        <f t="shared" si="27"/>
        <v>7.9013471251730518</v>
      </c>
      <c r="T58" s="50">
        <f t="shared" si="43"/>
        <v>4.9741483662293913</v>
      </c>
      <c r="U58" s="50"/>
      <c r="V58" s="50"/>
      <c r="W58" s="9">
        <f t="shared" si="29"/>
        <v>0.89815933083663357</v>
      </c>
      <c r="X58" s="9">
        <f t="shared" si="30"/>
        <v>0.71112124126557463</v>
      </c>
      <c r="Y58" s="9">
        <f t="shared" si="44"/>
        <v>0.44767335296064525</v>
      </c>
      <c r="AA58" s="31">
        <f>Fig1_carbon_intensity!B28</f>
        <v>73.467742947764563</v>
      </c>
      <c r="AB58" s="31">
        <f>Fig1_carbon_intensity!F28</f>
        <v>34.058117501530333</v>
      </c>
      <c r="AC58" s="31">
        <f>Fig1_carbon_intensity!J28</f>
        <v>12.47821357143572</v>
      </c>
      <c r="AD58" s="9"/>
      <c r="AE58" s="31">
        <f>Fig1_carbon_eq_intensity!H62</f>
        <v>124.89516301119976</v>
      </c>
      <c r="AF58" s="31">
        <f>Fig1_carbon_eq_intensity!L62</f>
        <v>82.712571075145092</v>
      </c>
      <c r="AG58" s="31">
        <f>Fig1_carbon_eq_intensity!P62</f>
        <v>53.240377904792354</v>
      </c>
      <c r="AH58" s="9"/>
      <c r="AJ58" s="9">
        <f t="shared" si="32"/>
        <v>1.6748358533347611</v>
      </c>
      <c r="AK58" s="9">
        <f t="shared" si="33"/>
        <v>0.77641906502024582</v>
      </c>
      <c r="AL58" s="9">
        <f t="shared" si="6"/>
        <v>0.28446442801255051</v>
      </c>
      <c r="AN58" s="9">
        <f t="shared" si="34"/>
        <v>1.0459515686782226</v>
      </c>
      <c r="AO58" s="9">
        <f t="shared" si="35"/>
        <v>0.48488139144659537</v>
      </c>
      <c r="AP58" s="9">
        <f t="shared" si="36"/>
        <v>0.17765085104934755</v>
      </c>
      <c r="AR58" s="9">
        <f t="shared" si="37"/>
        <v>0.38249752578252094</v>
      </c>
      <c r="AS58" s="9">
        <f t="shared" si="38"/>
        <v>0.17731789700424039</v>
      </c>
      <c r="AT58" s="9">
        <f t="shared" si="39"/>
        <v>6.4965733609831336E-2</v>
      </c>
      <c r="AV58" s="9">
        <f t="shared" si="7"/>
        <v>2.8472209506690938</v>
      </c>
      <c r="AW58" s="9">
        <f t="shared" si="8"/>
        <v>1.8855891579063111</v>
      </c>
      <c r="AX58" s="9">
        <f t="shared" si="9"/>
        <v>1.2137148928535477</v>
      </c>
      <c r="AZ58" s="9">
        <f t="shared" si="10"/>
        <v>1.7781176667529783</v>
      </c>
      <c r="BA58" s="9">
        <f t="shared" si="11"/>
        <v>1.1775690935131602</v>
      </c>
      <c r="BB58" s="9">
        <f t="shared" si="12"/>
        <v>0.75797696447721552</v>
      </c>
      <c r="BD58" s="9">
        <f t="shared" si="13"/>
        <v>0.65024579383028558</v>
      </c>
      <c r="BE58" s="9">
        <f t="shared" si="14"/>
        <v>0.43062917843886955</v>
      </c>
      <c r="BF58" s="9">
        <f t="shared" si="15"/>
        <v>0.2771871300686134</v>
      </c>
    </row>
    <row r="59" spans="1:58">
      <c r="A59" s="10">
        <v>2045</v>
      </c>
      <c r="B59" s="9">
        <f t="shared" si="41"/>
        <v>19590.233097995035</v>
      </c>
      <c r="C59" s="9">
        <f t="shared" si="42"/>
        <v>15669.760125705741</v>
      </c>
      <c r="D59" s="9">
        <f t="shared" si="20"/>
        <v>9016.6151573296902</v>
      </c>
      <c r="E59" s="9"/>
      <c r="F59" s="9">
        <f t="shared" si="21"/>
        <v>612614.12119423132</v>
      </c>
      <c r="G59" s="9">
        <f t="shared" si="22"/>
        <v>442510.43746779056</v>
      </c>
      <c r="H59" s="9">
        <f t="shared" si="40"/>
        <v>246509.50440713018</v>
      </c>
      <c r="I59" s="9"/>
      <c r="J59" s="9">
        <f t="shared" si="16"/>
        <v>2375735.1000137841</v>
      </c>
      <c r="K59" s="9">
        <f t="shared" si="17"/>
        <v>1852788.8487813072</v>
      </c>
      <c r="L59" s="9">
        <f t="shared" si="18"/>
        <v>1058004.8685668022</v>
      </c>
      <c r="M59" s="9"/>
      <c r="N59" s="9">
        <f t="shared" si="23"/>
        <v>26397056.666819826</v>
      </c>
      <c r="O59" s="9">
        <f t="shared" si="24"/>
        <v>20586542.764236748</v>
      </c>
      <c r="P59" s="9">
        <f t="shared" si="25"/>
        <v>11755609.650742248</v>
      </c>
      <c r="Q59" s="9"/>
      <c r="R59" s="50">
        <f t="shared" si="26"/>
        <v>9.8797526392029678</v>
      </c>
      <c r="S59" s="50">
        <f t="shared" si="27"/>
        <v>7.7433201826695903</v>
      </c>
      <c r="T59" s="50">
        <f t="shared" si="43"/>
        <v>4.7679660505307631</v>
      </c>
      <c r="U59" s="50"/>
      <c r="V59" s="50"/>
      <c r="W59" s="9">
        <f t="shared" si="29"/>
        <v>0.88917773752826723</v>
      </c>
      <c r="X59" s="9">
        <f t="shared" si="30"/>
        <v>0.69689881644026308</v>
      </c>
      <c r="Y59" s="9">
        <f t="shared" si="44"/>
        <v>0.42911694454776872</v>
      </c>
      <c r="AA59" s="31">
        <f>Fig1_carbon_intensity!B29</f>
        <v>73.467742947764563</v>
      </c>
      <c r="AB59" s="31">
        <f>Fig1_carbon_intensity!F29</f>
        <v>31.881814877995602</v>
      </c>
      <c r="AC59" s="31">
        <f>Fig1_carbon_intensity!J29</f>
        <v>10.262474884401215</v>
      </c>
      <c r="AD59" s="9"/>
      <c r="AE59" s="31">
        <f>Fig1_carbon_eq_intensity!H63</f>
        <v>124.89516301119976</v>
      </c>
      <c r="AF59" s="31">
        <f>Fig1_carbon_eq_intensity!L63</f>
        <v>80.397620127119353</v>
      </c>
      <c r="AG59" s="31">
        <f>Fig1_carbon_eq_intensity!P63</f>
        <v>50.491376431253926</v>
      </c>
      <c r="AH59" s="9"/>
      <c r="AJ59" s="9">
        <f t="shared" si="32"/>
        <v>1.7244109945934696</v>
      </c>
      <c r="AK59" s="9">
        <f t="shared" si="33"/>
        <v>0.74831960119284024</v>
      </c>
      <c r="AL59" s="9">
        <f t="shared" si="6"/>
        <v>0.24087747645906504</v>
      </c>
      <c r="AN59" s="9">
        <f t="shared" si="34"/>
        <v>1.054022407139944</v>
      </c>
      <c r="AO59" s="9">
        <f t="shared" si="35"/>
        <v>0.45740002228716209</v>
      </c>
      <c r="AP59" s="9">
        <f t="shared" si="36"/>
        <v>0.14723303108087271</v>
      </c>
      <c r="AR59" s="9">
        <f t="shared" si="37"/>
        <v>0.37061032844530006</v>
      </c>
      <c r="AS59" s="9">
        <f t="shared" si="38"/>
        <v>0.16082881288141879</v>
      </c>
      <c r="AT59" s="9">
        <f t="shared" si="39"/>
        <v>5.1769375714642171E-2</v>
      </c>
      <c r="AV59" s="9">
        <f t="shared" si="7"/>
        <v>2.9314986908088985</v>
      </c>
      <c r="AW59" s="9">
        <f t="shared" si="8"/>
        <v>1.8870668203993364</v>
      </c>
      <c r="AX59" s="9">
        <f t="shared" si="9"/>
        <v>1.1851171841785988</v>
      </c>
      <c r="AZ59" s="9">
        <f t="shared" si="10"/>
        <v>1.7918380921379049</v>
      </c>
      <c r="BA59" s="9">
        <f t="shared" si="11"/>
        <v>1.1534435344632785</v>
      </c>
      <c r="BB59" s="9">
        <f t="shared" si="12"/>
        <v>0.72438651291789302</v>
      </c>
      <c r="BD59" s="9">
        <f t="shared" si="13"/>
        <v>0.63003755835701003</v>
      </c>
      <c r="BE59" s="9">
        <f t="shared" si="14"/>
        <v>0.40556831074444749</v>
      </c>
      <c r="BF59" s="9">
        <f t="shared" si="15"/>
        <v>0.25470532851603928</v>
      </c>
    </row>
    <row r="60" spans="1:58">
      <c r="A60" s="10">
        <v>2046</v>
      </c>
      <c r="B60" s="9">
        <f t="shared" si="41"/>
        <v>20373.842421914836</v>
      </c>
      <c r="C60" s="9">
        <f t="shared" si="42"/>
        <v>16124.183169351207</v>
      </c>
      <c r="D60" s="9">
        <f t="shared" si="20"/>
        <v>9138.9870985639991</v>
      </c>
      <c r="E60" s="9"/>
      <c r="F60" s="9">
        <f t="shared" si="21"/>
        <v>637118.68604200066</v>
      </c>
      <c r="G60" s="9">
        <f t="shared" si="22"/>
        <v>454015.70884195314</v>
      </c>
      <c r="H60" s="9">
        <f t="shared" si="40"/>
        <v>246822.65358391384</v>
      </c>
      <c r="I60" s="9"/>
      <c r="J60" s="9">
        <f t="shared" si="16"/>
        <v>2470764.504014336</v>
      </c>
      <c r="K60" s="9">
        <f t="shared" si="17"/>
        <v>1905192.1940835619</v>
      </c>
      <c r="L60" s="9">
        <f t="shared" si="18"/>
        <v>1069331.4924546739</v>
      </c>
      <c r="M60" s="9"/>
      <c r="N60" s="9">
        <f t="shared" si="23"/>
        <v>27452938.933492623</v>
      </c>
      <c r="O60" s="9">
        <f t="shared" si="24"/>
        <v>21168802.156484019</v>
      </c>
      <c r="P60" s="9">
        <f t="shared" si="25"/>
        <v>11881461.027274152</v>
      </c>
      <c r="Q60" s="9"/>
      <c r="R60" s="50">
        <f t="shared" si="26"/>
        <v>9.780955112810938</v>
      </c>
      <c r="S60" s="50">
        <f t="shared" si="27"/>
        <v>7.5884537790161986</v>
      </c>
      <c r="T60" s="50">
        <f t="shared" si="43"/>
        <v>4.5617837348321348</v>
      </c>
      <c r="U60" s="50"/>
      <c r="V60" s="50"/>
      <c r="W60" s="9">
        <f t="shared" si="29"/>
        <v>0.88028596015298455</v>
      </c>
      <c r="X60" s="9">
        <f t="shared" si="30"/>
        <v>0.68296084011145786</v>
      </c>
      <c r="Y60" s="9">
        <f t="shared" si="44"/>
        <v>0.41056053613489218</v>
      </c>
      <c r="AA60" s="31">
        <f>Fig1_carbon_intensity!B30</f>
        <v>73.467742947764563</v>
      </c>
      <c r="AB60" s="31">
        <f>Fig1_carbon_intensity!F30</f>
        <v>30.27027818998447</v>
      </c>
      <c r="AC60" s="31">
        <f>Fig1_carbon_intensity!J30</f>
        <v>8.1011507674181349</v>
      </c>
      <c r="AD60" s="9"/>
      <c r="AE60" s="31">
        <f>Fig1_carbon_eq_intensity!H64</f>
        <v>124.89516301119976</v>
      </c>
      <c r="AF60" s="31">
        <f>Fig1_carbon_eq_intensity!L64</f>
        <v>78.647435114617195</v>
      </c>
      <c r="AG60" s="31">
        <f>Fig1_carbon_eq_intensity!P64</f>
        <v>47.796789527766919</v>
      </c>
      <c r="AH60" s="9"/>
      <c r="AJ60" s="9">
        <f t="shared" si="32"/>
        <v>1.7754535600334365</v>
      </c>
      <c r="AK60" s="9">
        <f t="shared" si="33"/>
        <v>0.73152476201456107</v>
      </c>
      <c r="AL60" s="9">
        <f t="shared" si="6"/>
        <v>0.19577594728351158</v>
      </c>
      <c r="AN60" s="9">
        <f t="shared" si="34"/>
        <v>1.0621571683773825</v>
      </c>
      <c r="AO60" s="9">
        <f t="shared" si="35"/>
        <v>0.43763142405408334</v>
      </c>
      <c r="AP60" s="9">
        <f t="shared" si="36"/>
        <v>0.11712208670731901</v>
      </c>
      <c r="AR60" s="9">
        <f t="shared" si="37"/>
        <v>0.35837998538835292</v>
      </c>
      <c r="AS60" s="9">
        <f t="shared" si="38"/>
        <v>0.1476602032424095</v>
      </c>
      <c r="AT60" s="9">
        <f t="shared" si="39"/>
        <v>3.9517891487702156E-2</v>
      </c>
      <c r="AV60" s="9">
        <f t="shared" si="7"/>
        <v>3.0182710520568423</v>
      </c>
      <c r="AW60" s="9">
        <f t="shared" si="8"/>
        <v>1.9006282629510745</v>
      </c>
      <c r="AX60" s="9">
        <f t="shared" si="9"/>
        <v>1.1550780889727164</v>
      </c>
      <c r="AZ60" s="9">
        <f t="shared" si="10"/>
        <v>1.8056671862415503</v>
      </c>
      <c r="BA60" s="9">
        <f t="shared" si="11"/>
        <v>1.1370423757386916</v>
      </c>
      <c r="BB60" s="9">
        <f t="shared" si="12"/>
        <v>0.691020311573181</v>
      </c>
      <c r="BD60" s="9">
        <f t="shared" si="13"/>
        <v>0.60924597516019996</v>
      </c>
      <c r="BE60" s="9">
        <f t="shared" si="14"/>
        <v>0.38364682942890876</v>
      </c>
      <c r="BF60" s="9">
        <f t="shared" si="15"/>
        <v>0.23315555977744234</v>
      </c>
    </row>
    <row r="61" spans="1:58">
      <c r="A61" s="10">
        <v>2047</v>
      </c>
      <c r="B61" s="9">
        <f t="shared" si="41"/>
        <v>21188.79611879143</v>
      </c>
      <c r="C61" s="9">
        <f t="shared" si="42"/>
        <v>16591.784481262392</v>
      </c>
      <c r="D61" s="9">
        <f t="shared" si="20"/>
        <v>9261.359039798308</v>
      </c>
      <c r="E61" s="9"/>
      <c r="F61" s="9">
        <f t="shared" si="21"/>
        <v>662603.43348368071</v>
      </c>
      <c r="G61" s="9">
        <f t="shared" si="22"/>
        <v>465820.11727184395</v>
      </c>
      <c r="H61" s="9">
        <f t="shared" si="40"/>
        <v>247135.80276069749</v>
      </c>
      <c r="I61" s="9"/>
      <c r="J61" s="9">
        <f t="shared" si="16"/>
        <v>2569595.0841749096</v>
      </c>
      <c r="K61" s="9">
        <f t="shared" si="17"/>
        <v>1959080.7205854594</v>
      </c>
      <c r="L61" s="9">
        <f t="shared" si="18"/>
        <v>1080658.1163425453</v>
      </c>
      <c r="M61" s="9"/>
      <c r="N61" s="9">
        <f t="shared" si="23"/>
        <v>28551056.490832329</v>
      </c>
      <c r="O61" s="9">
        <f t="shared" si="24"/>
        <v>21767563.562060658</v>
      </c>
      <c r="P61" s="9">
        <f t="shared" si="25"/>
        <v>12007312.403806057</v>
      </c>
      <c r="Q61" s="9"/>
      <c r="R61" s="50">
        <f t="shared" si="26"/>
        <v>9.6831455616828279</v>
      </c>
      <c r="S61" s="50">
        <f t="shared" si="27"/>
        <v>7.4366847034358745</v>
      </c>
      <c r="T61" s="50">
        <f t="shared" si="43"/>
        <v>4.3556014191335066</v>
      </c>
      <c r="U61" s="50"/>
      <c r="V61" s="50"/>
      <c r="W61" s="9">
        <f t="shared" si="29"/>
        <v>0.87148310055145473</v>
      </c>
      <c r="X61" s="9">
        <f t="shared" si="30"/>
        <v>0.66930162330922871</v>
      </c>
      <c r="Y61" s="9">
        <f t="shared" si="44"/>
        <v>0.39200412772201565</v>
      </c>
      <c r="AA61" s="31">
        <f>Fig1_carbon_intensity!B31</f>
        <v>73.467742947764563</v>
      </c>
      <c r="AB61" s="31">
        <f>Fig1_carbon_intensity!F31</f>
        <v>28.667456539512777</v>
      </c>
      <c r="AC61" s="31">
        <f>Fig1_carbon_intensity!J31</f>
        <v>5.9942412204864741</v>
      </c>
      <c r="AD61" s="9"/>
      <c r="AE61" s="31">
        <f>Fig1_carbon_eq_intensity!H65</f>
        <v>124.89516301119976</v>
      </c>
      <c r="AF61" s="31">
        <f>Fig1_carbon_eq_intensity!L65</f>
        <v>76.905965139654484</v>
      </c>
      <c r="AG61" s="31">
        <f>Fig1_carbon_eq_intensity!P65</f>
        <v>45.156617194331332</v>
      </c>
      <c r="AH61" s="9"/>
      <c r="AJ61" s="9">
        <f t="shared" si="32"/>
        <v>1.8280069854104264</v>
      </c>
      <c r="AK61" s="9">
        <f t="shared" si="33"/>
        <v>0.71329686615578403</v>
      </c>
      <c r="AL61" s="9">
        <f t="shared" si="6"/>
        <v>0.14914729081952563</v>
      </c>
      <c r="AN61" s="9">
        <f t="shared" si="34"/>
        <v>1.07035636851572</v>
      </c>
      <c r="AO61" s="9">
        <f t="shared" si="35"/>
        <v>0.41765805569978753</v>
      </c>
      <c r="AP61" s="9">
        <f t="shared" si="36"/>
        <v>8.7330493728776812E-2</v>
      </c>
      <c r="AR61" s="9">
        <f t="shared" si="37"/>
        <v>0.34580649661167956</v>
      </c>
      <c r="AS61" s="9">
        <f t="shared" si="38"/>
        <v>0.1349353105858295</v>
      </c>
      <c r="AT61" s="9">
        <f t="shared" si="39"/>
        <v>2.8214390059260932E-2</v>
      </c>
      <c r="AV61" s="9">
        <f t="shared" si="7"/>
        <v>3.1076118751977249</v>
      </c>
      <c r="AW61" s="9">
        <f t="shared" si="8"/>
        <v>1.9135560159371516</v>
      </c>
      <c r="AX61" s="9">
        <f t="shared" si="9"/>
        <v>1.1235762575070902</v>
      </c>
      <c r="AZ61" s="9">
        <f t="shared" si="10"/>
        <v>1.8196058264767239</v>
      </c>
      <c r="BA61" s="9">
        <f t="shared" si="11"/>
        <v>1.1204480532715457</v>
      </c>
      <c r="BB61" s="9">
        <f t="shared" si="12"/>
        <v>0.65788971942345031</v>
      </c>
      <c r="BD61" s="9">
        <f t="shared" si="13"/>
        <v>0.58787104423985526</v>
      </c>
      <c r="BE61" s="9">
        <f t="shared" si="14"/>
        <v>0.36198991974467731</v>
      </c>
      <c r="BF61" s="9">
        <f t="shared" si="15"/>
        <v>0.21254840511309853</v>
      </c>
    </row>
    <row r="62" spans="1:58">
      <c r="A62" s="10">
        <v>2048</v>
      </c>
      <c r="B62" s="9">
        <f t="shared" si="41"/>
        <v>22036.347963543089</v>
      </c>
      <c r="C62" s="9">
        <f t="shared" si="42"/>
        <v>17072.946231219001</v>
      </c>
      <c r="D62" s="9">
        <f t="shared" si="20"/>
        <v>9383.7309810326169</v>
      </c>
      <c r="E62" s="9"/>
      <c r="F62" s="9">
        <f t="shared" si="21"/>
        <v>689107.57082302799</v>
      </c>
      <c r="G62" s="9">
        <f t="shared" si="22"/>
        <v>477931.44032091188</v>
      </c>
      <c r="H62" s="9">
        <f t="shared" si="40"/>
        <v>247448.95193748115</v>
      </c>
      <c r="I62" s="9"/>
      <c r="J62" s="9">
        <f t="shared" si="16"/>
        <v>2672378.887541906</v>
      </c>
      <c r="K62" s="9">
        <f t="shared" si="17"/>
        <v>2014496.6011306217</v>
      </c>
      <c r="L62" s="9">
        <f t="shared" si="18"/>
        <v>1091984.7402304166</v>
      </c>
      <c r="M62" s="9"/>
      <c r="N62" s="9">
        <f t="shared" si="23"/>
        <v>29693098.75046562</v>
      </c>
      <c r="O62" s="9">
        <f t="shared" si="24"/>
        <v>22383295.568118021</v>
      </c>
      <c r="P62" s="9">
        <f t="shared" si="25"/>
        <v>12133163.780337963</v>
      </c>
      <c r="Q62" s="9"/>
      <c r="R62" s="50">
        <f t="shared" si="26"/>
        <v>9.5863141060660002</v>
      </c>
      <c r="S62" s="50">
        <f t="shared" si="27"/>
        <v>7.2879510093671565</v>
      </c>
      <c r="T62" s="50">
        <f t="shared" si="43"/>
        <v>4.1494191034348784</v>
      </c>
      <c r="U62" s="50"/>
      <c r="V62" s="50"/>
      <c r="W62" s="9">
        <f t="shared" si="29"/>
        <v>0.86276826954594021</v>
      </c>
      <c r="X62" s="9">
        <f t="shared" si="30"/>
        <v>0.65591559084304407</v>
      </c>
      <c r="Y62" s="9">
        <f t="shared" si="44"/>
        <v>0.37344771930913911</v>
      </c>
      <c r="AA62" s="31">
        <f>Fig1_carbon_intensity!B32</f>
        <v>73.467742947764563</v>
      </c>
      <c r="AB62" s="31">
        <f>Fig1_carbon_intensity!F32</f>
        <v>27.073349926580519</v>
      </c>
      <c r="AC62" s="31">
        <f>Fig1_carbon_intensity!J32</f>
        <v>3.9417462436062336</v>
      </c>
      <c r="AD62" s="9"/>
      <c r="AE62" s="31">
        <f>Fig1_carbon_eq_intensity!H66</f>
        <v>124.89516301119976</v>
      </c>
      <c r="AF62" s="31">
        <f>Fig1_carbon_eq_intensity!L66</f>
        <v>75.173210202231189</v>
      </c>
      <c r="AG62" s="31">
        <f>Fig1_carbon_eq_intensity!P66</f>
        <v>42.570859430947159</v>
      </c>
      <c r="AH62" s="9"/>
      <c r="AJ62" s="9">
        <f t="shared" si="32"/>
        <v>1.8821159921785751</v>
      </c>
      <c r="AK62" s="9">
        <f t="shared" si="33"/>
        <v>0.69357221025413696</v>
      </c>
      <c r="AL62" s="9">
        <f t="shared" si="6"/>
        <v>0.10098069362871115</v>
      </c>
      <c r="AN62" s="9">
        <f t="shared" si="34"/>
        <v>1.0786205279047796</v>
      </c>
      <c r="AO62" s="9">
        <f t="shared" si="35"/>
        <v>0.39747880931528806</v>
      </c>
      <c r="AP62" s="9">
        <f t="shared" si="36"/>
        <v>5.7870954565300212E-2</v>
      </c>
      <c r="AR62" s="9">
        <f t="shared" si="37"/>
        <v>0.33288986211527999</v>
      </c>
      <c r="AS62" s="9">
        <f t="shared" si="38"/>
        <v>0.12267211925192728</v>
      </c>
      <c r="AT62" s="9">
        <f t="shared" si="39"/>
        <v>1.7860455635073078E-2</v>
      </c>
      <c r="AV62" s="9">
        <f t="shared" si="7"/>
        <v>3.1995971867035777</v>
      </c>
      <c r="AW62" s="9">
        <f t="shared" si="8"/>
        <v>1.9258071015685934</v>
      </c>
      <c r="AX62" s="9">
        <f t="shared" si="9"/>
        <v>1.090591491190076</v>
      </c>
      <c r="AZ62" s="9">
        <f t="shared" si="10"/>
        <v>1.8336548974381257</v>
      </c>
      <c r="BA62" s="9">
        <f t="shared" si="11"/>
        <v>1.1036594350023481</v>
      </c>
      <c r="BB62" s="9">
        <f t="shared" si="12"/>
        <v>0.62500630930523993</v>
      </c>
      <c r="BD62" s="9">
        <f t="shared" si="13"/>
        <v>0.56591276559597592</v>
      </c>
      <c r="BE62" s="9">
        <f t="shared" si="14"/>
        <v>0.34061750878580827</v>
      </c>
      <c r="BF62" s="9">
        <f t="shared" si="15"/>
        <v>0.19289292085878848</v>
      </c>
    </row>
    <row r="63" spans="1:58">
      <c r="A63" s="10">
        <v>2049</v>
      </c>
      <c r="B63" s="9">
        <f t="shared" si="41"/>
        <v>22917.801882084812</v>
      </c>
      <c r="C63" s="9">
        <f t="shared" si="42"/>
        <v>17568.061671924352</v>
      </c>
      <c r="D63" s="9">
        <f t="shared" si="20"/>
        <v>9506.1029222669258</v>
      </c>
      <c r="E63" s="9"/>
      <c r="F63" s="9">
        <f t="shared" si="21"/>
        <v>716671.87365594914</v>
      </c>
      <c r="G63" s="9">
        <f t="shared" si="22"/>
        <v>490357.65776925557</v>
      </c>
      <c r="H63" s="9">
        <f t="shared" si="40"/>
        <v>247762.10111426481</v>
      </c>
      <c r="I63" s="9"/>
      <c r="J63" s="9">
        <f t="shared" si="16"/>
        <v>2779274.0430435822</v>
      </c>
      <c r="K63" s="9">
        <f t="shared" si="17"/>
        <v>2071483.2082424473</v>
      </c>
      <c r="L63" s="9">
        <f t="shared" si="18"/>
        <v>1103311.3641182883</v>
      </c>
      <c r="M63" s="9"/>
      <c r="N63" s="9">
        <f t="shared" si="23"/>
        <v>30880822.700484246</v>
      </c>
      <c r="O63" s="9">
        <f t="shared" si="24"/>
        <v>23016480.091582749</v>
      </c>
      <c r="P63" s="9">
        <f t="shared" si="25"/>
        <v>12259015.15686987</v>
      </c>
      <c r="Q63" s="9"/>
      <c r="R63" s="50">
        <f t="shared" si="26"/>
        <v>9.4904509650053406</v>
      </c>
      <c r="S63" s="50">
        <f t="shared" si="27"/>
        <v>7.1421919891798131</v>
      </c>
      <c r="T63" s="50">
        <f t="shared" si="43"/>
        <v>3.9432367877362506</v>
      </c>
      <c r="U63" s="50"/>
      <c r="V63" s="50"/>
      <c r="W63" s="9">
        <f>W62*0.99</f>
        <v>0.85414058685048078</v>
      </c>
      <c r="X63" s="9">
        <f t="shared" si="30"/>
        <v>0.64279727902618322</v>
      </c>
      <c r="Y63" s="9">
        <f t="shared" si="44"/>
        <v>0.35489131089626258</v>
      </c>
      <c r="AA63" s="31">
        <f>Fig1_carbon_intensity!B33</f>
        <v>73.467742947764563</v>
      </c>
      <c r="AB63" s="31">
        <f>Fig1_carbon_intensity!F33</f>
        <v>25.4879583511877</v>
      </c>
      <c r="AC63" s="31">
        <f>Fig1_carbon_intensity!J33</f>
        <v>1.9436658367774151</v>
      </c>
      <c r="AD63" s="9"/>
      <c r="AE63" s="31">
        <f>Fig1_carbon_eq_intensity!H67</f>
        <v>124.89516301119976</v>
      </c>
      <c r="AF63" s="31">
        <f>Fig1_carbon_eq_intensity!L67</f>
        <v>73.449170302347355</v>
      </c>
      <c r="AG63" s="31">
        <f>Fig1_carbon_eq_intensity!P67</f>
        <v>40.039516237614414</v>
      </c>
      <c r="AH63" s="9"/>
      <c r="AJ63" s="9">
        <f t="shared" si="32"/>
        <v>1.9378266255470609</v>
      </c>
      <c r="AK63" s="9">
        <f t="shared" si="33"/>
        <v>0.67228476528649017</v>
      </c>
      <c r="AL63" s="9">
        <f t="shared" si="6"/>
        <v>5.126722638466584E-2</v>
      </c>
      <c r="AN63" s="9">
        <f t="shared" si="34"/>
        <v>1.0869501711539342</v>
      </c>
      <c r="AO63" s="9">
        <f t="shared" si="35"/>
        <v>0.3770925794179551</v>
      </c>
      <c r="AP63" s="9">
        <f t="shared" si="36"/>
        <v>2.8756401506078243E-2</v>
      </c>
      <c r="AR63" s="9">
        <f t="shared" si="37"/>
        <v>0.31963008189915432</v>
      </c>
      <c r="AS63" s="9">
        <f t="shared" si="38"/>
        <v>0.11088836934904425</v>
      </c>
      <c r="AT63" s="9">
        <f t="shared" si="39"/>
        <v>8.456147496398031E-3</v>
      </c>
      <c r="AV63" s="9">
        <f t="shared" si="7"/>
        <v>3.2943052634300036</v>
      </c>
      <c r="AW63" s="9">
        <f t="shared" si="8"/>
        <v>1.9373367429761224</v>
      </c>
      <c r="AX63" s="9">
        <f t="shared" si="9"/>
        <v>1.0561048635241073</v>
      </c>
      <c r="AZ63" s="9">
        <f t="shared" si="10"/>
        <v>1.8478152909616883</v>
      </c>
      <c r="BA63" s="9">
        <f t="shared" si="11"/>
        <v>1.0866753901506665</v>
      </c>
      <c r="BB63" s="9">
        <f t="shared" si="12"/>
        <v>0.59238187102520679</v>
      </c>
      <c r="BD63" s="9">
        <f t="shared" si="13"/>
        <v>0.54337113922856239</v>
      </c>
      <c r="BE63" s="9">
        <f t="shared" si="14"/>
        <v>0.3195492794144501</v>
      </c>
      <c r="BF63" s="9">
        <f t="shared" si="15"/>
        <v>0.17419663842579799</v>
      </c>
    </row>
    <row r="64" spans="1:58">
      <c r="A64" s="10">
        <v>2050</v>
      </c>
      <c r="B64" s="9">
        <f t="shared" si="41"/>
        <v>23834.513957368206</v>
      </c>
      <c r="C64" s="9">
        <f t="shared" si="42"/>
        <v>18077.535460410156</v>
      </c>
      <c r="D64" s="9">
        <f>D33*1.12</f>
        <v>9628.4748635012347</v>
      </c>
      <c r="E64" s="9"/>
      <c r="F64" s="9">
        <f t="shared" si="21"/>
        <v>745338.74860218714</v>
      </c>
      <c r="G64" s="9">
        <f t="shared" si="22"/>
        <v>503106.95687125623</v>
      </c>
      <c r="H64" s="9">
        <f>H33*1.12</f>
        <v>248075.25029104835</v>
      </c>
      <c r="I64" s="9"/>
      <c r="J64" s="9">
        <f t="shared" si="16"/>
        <v>2890445.0047653257</v>
      </c>
      <c r="K64" s="9">
        <f t="shared" si="17"/>
        <v>2130085.14830817</v>
      </c>
      <c r="L64" s="9">
        <f t="shared" si="18"/>
        <v>1114637.9880061594</v>
      </c>
      <c r="M64" s="9"/>
      <c r="N64" s="9">
        <f>((F64*10^3)/90)+(B64*10^3)</f>
        <v>32116055.608503617</v>
      </c>
      <c r="O64" s="9">
        <f t="shared" si="24"/>
        <v>23667612.758979671</v>
      </c>
      <c r="P64" s="9">
        <f t="shared" si="25"/>
        <v>12384866.533401771</v>
      </c>
      <c r="Q64" s="9"/>
      <c r="R64" s="50">
        <f>R63*0.99</f>
        <v>9.3955464553552872</v>
      </c>
      <c r="S64" s="50">
        <f t="shared" si="27"/>
        <v>6.9993481493962166</v>
      </c>
      <c r="T64" s="50">
        <f t="shared" si="43"/>
        <v>3.7370544720376229</v>
      </c>
      <c r="U64" s="50"/>
      <c r="V64" s="50"/>
      <c r="W64" s="9">
        <f>W63*0.99</f>
        <v>0.84559918098197595</v>
      </c>
      <c r="X64" s="9">
        <f t="shared" si="30"/>
        <v>0.6299413334456595</v>
      </c>
      <c r="Y64" s="9">
        <f t="shared" si="44"/>
        <v>0.33633490248338604</v>
      </c>
      <c r="AA64" s="31">
        <f>Fig1_carbon_intensity!B34</f>
        <v>73.467742947764563</v>
      </c>
      <c r="AB64" s="31">
        <f>Fig1_carbon_intensity!F34</f>
        <v>23.91128181333432</v>
      </c>
      <c r="AC64" s="31">
        <f>Fig1_carbon_intensity!J34</f>
        <v>0</v>
      </c>
      <c r="AD64" s="9"/>
      <c r="AE64" s="31">
        <f>Fig1_carbon_eq_intensity!H68</f>
        <v>124.89516301119976</v>
      </c>
      <c r="AF64" s="31">
        <f>Fig1_carbon_eq_intensity!L68</f>
        <v>71.733845440002966</v>
      </c>
      <c r="AG64" s="31">
        <f>Fig1_carbon_eq_intensity!P68</f>
        <v>37.562587614333069</v>
      </c>
      <c r="AH64" s="9"/>
      <c r="AJ64" s="9">
        <f t="shared" si="32"/>
        <v>1.9951862936632541</v>
      </c>
      <c r="AK64" s="9">
        <f t="shared" si="33"/>
        <v>0.64936610032792208</v>
      </c>
      <c r="AL64" s="9">
        <f t="shared" si="6"/>
        <v>0</v>
      </c>
      <c r="AN64" s="9">
        <f t="shared" si="34"/>
        <v>1.0953458271673011</v>
      </c>
      <c r="AO64" s="9">
        <f t="shared" si="35"/>
        <v>0.35649826312316368</v>
      </c>
      <c r="AP64" s="9">
        <f t="shared" si="36"/>
        <v>0</v>
      </c>
      <c r="AR64" s="9">
        <f t="shared" si="37"/>
        <v>0.30602715596330221</v>
      </c>
      <c r="AS64" s="9">
        <f t="shared" si="38"/>
        <v>9.9601556753614498E-2</v>
      </c>
      <c r="AT64" s="9">
        <f t="shared" si="39"/>
        <v>0</v>
      </c>
      <c r="AV64" s="50">
        <f t="shared" si="7"/>
        <v>3.3918166992275318</v>
      </c>
      <c r="AW64" s="50">
        <f t="shared" si="8"/>
        <v>1.9480983009837665</v>
      </c>
      <c r="AX64" s="50">
        <f t="shared" si="9"/>
        <v>1.0200988482241486</v>
      </c>
      <c r="AY64" s="50"/>
      <c r="AZ64" s="50">
        <f t="shared" si="10"/>
        <v>1.862087906184412</v>
      </c>
      <c r="BA64" s="50">
        <f t="shared" si="11"/>
        <v>1.0694947893694913</v>
      </c>
      <c r="BB64" s="50">
        <f t="shared" si="12"/>
        <v>0.56002841451409779</v>
      </c>
      <c r="BC64" s="50"/>
      <c r="BD64" s="50">
        <f t="shared" si="13"/>
        <v>0.52024616513761368</v>
      </c>
      <c r="BE64" s="50">
        <f t="shared" si="14"/>
        <v>0.29880467026084351</v>
      </c>
      <c r="BF64" s="50">
        <f t="shared" si="15"/>
        <v>0.15646556430091715</v>
      </c>
    </row>
    <row r="65" spans="1:38">
      <c r="A65" s="80" t="s">
        <v>92</v>
      </c>
      <c r="B65" t="s">
        <v>88</v>
      </c>
      <c r="C65" t="s">
        <v>89</v>
      </c>
      <c r="D65" t="s">
        <v>90</v>
      </c>
      <c r="F65" t="s">
        <v>94</v>
      </c>
      <c r="G65" t="s">
        <v>93</v>
      </c>
      <c r="H65" t="s">
        <v>95</v>
      </c>
      <c r="N65" s="9"/>
      <c r="R65" t="s">
        <v>97</v>
      </c>
      <c r="S65" t="s">
        <v>99</v>
      </c>
      <c r="T65" t="s">
        <v>103</v>
      </c>
      <c r="AA65" t="s">
        <v>127</v>
      </c>
      <c r="AB65" t="s">
        <v>131</v>
      </c>
      <c r="AC65" t="s">
        <v>132</v>
      </c>
    </row>
    <row r="66" spans="1:38">
      <c r="J66" s="50">
        <f>(J64*10^6)/10^12</f>
        <v>2.8904450047653256</v>
      </c>
      <c r="K66" s="50">
        <f t="shared" ref="K66:L66" si="45">(K64*10^6)/10^12</f>
        <v>2.13008514830817</v>
      </c>
      <c r="L66" s="50">
        <f t="shared" si="45"/>
        <v>1.1146379880061594</v>
      </c>
      <c r="M66" s="50"/>
      <c r="N66" s="50">
        <f>(N64*10^6)/10^12</f>
        <v>32.116055608503615</v>
      </c>
      <c r="O66" s="50">
        <f t="shared" ref="O66:P66" si="46">(O64*10^6)/10^12</f>
        <v>23.667612758979672</v>
      </c>
      <c r="P66" s="50">
        <f t="shared" si="46"/>
        <v>12.384866533401771</v>
      </c>
      <c r="AJ66" s="9"/>
      <c r="AK66" s="9"/>
      <c r="AL66" s="9"/>
    </row>
    <row r="67" spans="1:38">
      <c r="J67" s="50"/>
      <c r="K67" s="50"/>
      <c r="L67" s="50"/>
      <c r="M67" s="50"/>
      <c r="N67" s="50">
        <f>N64/10^6</f>
        <v>32.116055608503615</v>
      </c>
      <c r="O67" s="50">
        <f t="shared" ref="O67:P67" si="47">O64/10^6</f>
        <v>23.667612758979672</v>
      </c>
      <c r="P67" s="50">
        <f t="shared" si="47"/>
        <v>12.384866533401771</v>
      </c>
    </row>
  </sheetData>
  <mergeCells count="22">
    <mergeCell ref="AN2:AP2"/>
    <mergeCell ref="B1:D1"/>
    <mergeCell ref="B2:D2"/>
    <mergeCell ref="F2:H2"/>
    <mergeCell ref="F1:H1"/>
    <mergeCell ref="J2:L2"/>
    <mergeCell ref="AV1:BF1"/>
    <mergeCell ref="AV2:AX2"/>
    <mergeCell ref="AZ2:BB2"/>
    <mergeCell ref="BD2:BF2"/>
    <mergeCell ref="N2:P2"/>
    <mergeCell ref="J1:P1"/>
    <mergeCell ref="W2:Y2"/>
    <mergeCell ref="R1:Y1"/>
    <mergeCell ref="AR2:AT2"/>
    <mergeCell ref="AJ1:AT1"/>
    <mergeCell ref="AE1:AG1"/>
    <mergeCell ref="AE2:AG2"/>
    <mergeCell ref="R2:T2"/>
    <mergeCell ref="AA1:AC1"/>
    <mergeCell ref="AA2:AC2"/>
    <mergeCell ref="AJ2:AL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862E-21DF-354C-9D40-B1559B57FB9B}">
  <dimension ref="A1:BD207"/>
  <sheetViews>
    <sheetView zoomScale="75" workbookViewId="0">
      <pane xSplit="1" topLeftCell="B1" activePane="topRight" state="frozen"/>
      <selection pane="topRight" activeCell="AJ108" sqref="AJ108:AO139"/>
    </sheetView>
  </sheetViews>
  <sheetFormatPr baseColWidth="10" defaultRowHeight="16"/>
  <cols>
    <col min="1" max="1" width="10.83203125" style="10"/>
    <col min="2" max="2" width="11.5" bestFit="1" customWidth="1"/>
    <col min="3" max="3" width="14.33203125" bestFit="1" customWidth="1"/>
    <col min="4" max="7" width="14.33203125" customWidth="1"/>
    <col min="8" max="10" width="11.6640625" bestFit="1" customWidth="1"/>
    <col min="11" max="13" width="11" bestFit="1" customWidth="1"/>
    <col min="15" max="15" width="16.6640625" bestFit="1" customWidth="1"/>
  </cols>
  <sheetData>
    <row r="1" spans="1:56">
      <c r="A1" s="10" t="s">
        <v>425</v>
      </c>
    </row>
    <row r="2" spans="1:56" ht="17" thickBot="1">
      <c r="B2" t="s">
        <v>180</v>
      </c>
    </row>
    <row r="3" spans="1:56">
      <c r="B3" s="41" t="s">
        <v>181</v>
      </c>
      <c r="C3" s="42" t="s">
        <v>182</v>
      </c>
      <c r="D3" s="94" t="s">
        <v>183</v>
      </c>
      <c r="E3" s="42" t="s">
        <v>184</v>
      </c>
      <c r="F3" s="42" t="s">
        <v>185</v>
      </c>
      <c r="G3" s="95" t="s">
        <v>186</v>
      </c>
    </row>
    <row r="4" spans="1:56" ht="17" thickBot="1">
      <c r="B4" s="44">
        <v>4</v>
      </c>
      <c r="C4" s="45">
        <v>2.2999999999999998</v>
      </c>
      <c r="D4" s="96">
        <v>1.7</v>
      </c>
      <c r="E4" s="45">
        <v>1.3</v>
      </c>
      <c r="F4" s="45">
        <v>1</v>
      </c>
      <c r="G4" s="97">
        <v>1.1000000000000001</v>
      </c>
    </row>
    <row r="6" spans="1:56" ht="16" customHeight="1">
      <c r="B6" s="336" t="s">
        <v>187</v>
      </c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  <c r="W6" s="336"/>
      <c r="X6" s="336"/>
      <c r="Y6" s="336"/>
      <c r="Z6" s="336"/>
      <c r="AA6" s="336"/>
      <c r="AB6" s="336"/>
      <c r="AC6" s="336"/>
      <c r="AD6" s="336"/>
      <c r="AE6" s="336"/>
      <c r="AF6" s="336"/>
      <c r="AG6" s="336"/>
      <c r="AH6" s="336"/>
      <c r="AI6" s="336"/>
      <c r="AJ6" s="336"/>
      <c r="AK6" s="336"/>
      <c r="AL6" s="336"/>
      <c r="AM6" s="336"/>
      <c r="AN6" s="336"/>
      <c r="AO6" s="336"/>
      <c r="AP6" s="336"/>
      <c r="AQ6" s="336"/>
      <c r="AR6" s="336"/>
      <c r="AS6" s="336"/>
      <c r="AT6" s="336"/>
      <c r="AU6" s="336"/>
      <c r="AV6" s="336"/>
      <c r="AY6" s="331" t="s">
        <v>188</v>
      </c>
      <c r="AZ6" s="331"/>
      <c r="BA6" s="331"/>
      <c r="BB6" s="331"/>
      <c r="BC6" s="331"/>
      <c r="BD6" s="331"/>
    </row>
    <row r="7" spans="1:56" ht="16" customHeight="1">
      <c r="B7" s="336"/>
      <c r="C7" s="336"/>
      <c r="D7" s="336"/>
      <c r="E7" s="336"/>
      <c r="F7" s="336"/>
      <c r="G7" s="336"/>
      <c r="H7" s="336"/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  <c r="W7" s="336"/>
      <c r="X7" s="336"/>
      <c r="Y7" s="336"/>
      <c r="Z7" s="336"/>
      <c r="AA7" s="336"/>
      <c r="AB7" s="336"/>
      <c r="AC7" s="336"/>
      <c r="AD7" s="336"/>
      <c r="AE7" s="336"/>
      <c r="AF7" s="336"/>
      <c r="AG7" s="336"/>
      <c r="AH7" s="336"/>
      <c r="AI7" s="336"/>
      <c r="AJ7" s="336"/>
      <c r="AK7" s="336"/>
      <c r="AL7" s="336"/>
      <c r="AM7" s="336"/>
      <c r="AN7" s="336"/>
      <c r="AO7" s="336"/>
      <c r="AP7" s="336"/>
      <c r="AQ7" s="336"/>
      <c r="AR7" s="336"/>
      <c r="AS7" s="336"/>
      <c r="AT7" s="336"/>
      <c r="AU7" s="336"/>
      <c r="AV7" s="336"/>
      <c r="AY7" s="331"/>
      <c r="AZ7" s="331"/>
      <c r="BA7" s="331"/>
      <c r="BB7" s="331"/>
      <c r="BC7" s="331"/>
      <c r="BD7" s="331"/>
    </row>
    <row r="8" spans="1:56">
      <c r="B8" t="s">
        <v>421</v>
      </c>
      <c r="C8" t="s">
        <v>287</v>
      </c>
      <c r="D8" s="330" t="s">
        <v>423</v>
      </c>
      <c r="E8" s="330"/>
      <c r="F8" s="330"/>
      <c r="H8" s="339" t="s">
        <v>190</v>
      </c>
      <c r="I8" s="339"/>
      <c r="J8" s="339"/>
      <c r="K8" s="339"/>
      <c r="L8" s="339"/>
      <c r="M8" s="339"/>
      <c r="N8" s="246"/>
      <c r="O8" s="339" t="s">
        <v>190</v>
      </c>
      <c r="P8" s="339"/>
      <c r="Q8" s="339"/>
      <c r="R8" s="339"/>
      <c r="S8" s="339"/>
      <c r="T8" s="339"/>
      <c r="U8" s="268"/>
      <c r="V8" s="340" t="s">
        <v>191</v>
      </c>
      <c r="W8" s="340"/>
      <c r="X8" s="340"/>
      <c r="Y8" s="340"/>
      <c r="Z8" s="340"/>
      <c r="AA8" s="340"/>
      <c r="AB8" s="93"/>
      <c r="AC8" s="340" t="s">
        <v>191</v>
      </c>
      <c r="AD8" s="340"/>
      <c r="AE8" s="340"/>
      <c r="AF8" s="340"/>
      <c r="AG8" s="340"/>
      <c r="AH8" s="340"/>
      <c r="AI8" s="268"/>
      <c r="AJ8" s="333" t="s">
        <v>192</v>
      </c>
      <c r="AK8" s="333"/>
      <c r="AL8" s="333"/>
      <c r="AM8" s="333"/>
      <c r="AN8" s="333"/>
      <c r="AO8" s="333"/>
      <c r="AQ8" s="333" t="s">
        <v>192</v>
      </c>
      <c r="AR8" s="333"/>
      <c r="AS8" s="333"/>
      <c r="AT8" s="333"/>
      <c r="AU8" s="333"/>
      <c r="AV8" s="333"/>
      <c r="AY8" s="331"/>
      <c r="AZ8" s="331"/>
      <c r="BA8" s="331"/>
      <c r="BB8" s="331"/>
      <c r="BC8" s="331"/>
      <c r="BD8" s="331"/>
    </row>
    <row r="9" spans="1:56">
      <c r="B9" t="str">
        <f>Fig1_future_Kaya!J2</f>
        <v>(million ton-km equivalent)</v>
      </c>
      <c r="C9" t="str">
        <f>Fig1_future_Kaya!R2</f>
        <v>MJ/ton-km-eq</v>
      </c>
      <c r="D9" s="330" t="s">
        <v>424</v>
      </c>
      <c r="E9" s="330"/>
      <c r="F9" s="330"/>
      <c r="H9" s="334" t="str">
        <f>Fig1_carbon_eq_intensity!Q3</f>
        <v>g CO2 eq / MJ</v>
      </c>
      <c r="I9" s="334"/>
      <c r="J9" s="334"/>
      <c r="K9" s="334"/>
      <c r="L9" s="334"/>
      <c r="M9" s="334"/>
      <c r="N9" s="246"/>
      <c r="O9" s="335" t="s">
        <v>422</v>
      </c>
      <c r="P9" s="335"/>
      <c r="Q9" s="335"/>
      <c r="R9" s="335"/>
      <c r="S9" s="335"/>
      <c r="T9" s="335"/>
      <c r="U9" s="269"/>
      <c r="V9" s="334" t="str">
        <f>H9</f>
        <v>g CO2 eq / MJ</v>
      </c>
      <c r="W9" s="334"/>
      <c r="X9" s="334"/>
      <c r="Y9" s="334"/>
      <c r="Z9" s="334"/>
      <c r="AA9" s="334"/>
      <c r="AB9" s="93"/>
      <c r="AC9" s="335" t="s">
        <v>422</v>
      </c>
      <c r="AD9" s="335"/>
      <c r="AE9" s="335"/>
      <c r="AF9" s="335"/>
      <c r="AG9" s="335"/>
      <c r="AH9" s="335"/>
      <c r="AI9" s="269"/>
      <c r="AJ9" s="334" t="str">
        <f>V9</f>
        <v>g CO2 eq / MJ</v>
      </c>
      <c r="AK9" s="334"/>
      <c r="AL9" s="334"/>
      <c r="AM9" s="334"/>
      <c r="AN9" s="334"/>
      <c r="AO9" s="334"/>
      <c r="AQ9" s="335" t="s">
        <v>422</v>
      </c>
      <c r="AR9" s="335"/>
      <c r="AS9" s="335"/>
      <c r="AT9" s="335"/>
      <c r="AU9" s="335"/>
      <c r="AV9" s="335"/>
      <c r="AY9" s="330" t="s">
        <v>193</v>
      </c>
      <c r="AZ9" s="330"/>
      <c r="BA9" s="330"/>
      <c r="BB9" s="330"/>
      <c r="BC9" s="330"/>
      <c r="BD9" s="330"/>
    </row>
    <row r="10" spans="1:56" s="93" customFormat="1">
      <c r="A10" s="114"/>
      <c r="D10" s="271" t="s">
        <v>121</v>
      </c>
      <c r="E10" s="272" t="s">
        <v>189</v>
      </c>
      <c r="F10" s="273" t="s">
        <v>126</v>
      </c>
      <c r="H10" s="114" t="s">
        <v>181</v>
      </c>
      <c r="I10" s="114" t="s">
        <v>182</v>
      </c>
      <c r="J10" s="114" t="s">
        <v>183</v>
      </c>
      <c r="K10" s="114" t="s">
        <v>184</v>
      </c>
      <c r="L10" s="114" t="s">
        <v>185</v>
      </c>
      <c r="M10" s="114" t="s">
        <v>186</v>
      </c>
      <c r="N10" s="114"/>
      <c r="O10" s="114" t="s">
        <v>181</v>
      </c>
      <c r="P10" s="114" t="s">
        <v>182</v>
      </c>
      <c r="Q10" s="79" t="s">
        <v>183</v>
      </c>
      <c r="R10" s="114" t="s">
        <v>184</v>
      </c>
      <c r="S10" s="114" t="s">
        <v>185</v>
      </c>
      <c r="T10" s="114" t="s">
        <v>186</v>
      </c>
      <c r="U10" s="159"/>
      <c r="V10" s="114" t="s">
        <v>181</v>
      </c>
      <c r="W10" s="114" t="s">
        <v>182</v>
      </c>
      <c r="X10" s="114" t="s">
        <v>183</v>
      </c>
      <c r="Y10" s="114" t="s">
        <v>184</v>
      </c>
      <c r="Z10" s="114" t="s">
        <v>185</v>
      </c>
      <c r="AA10" s="114" t="s">
        <v>186</v>
      </c>
      <c r="AC10" s="114" t="s">
        <v>181</v>
      </c>
      <c r="AD10" s="114" t="s">
        <v>182</v>
      </c>
      <c r="AE10" s="79" t="s">
        <v>183</v>
      </c>
      <c r="AF10" s="114" t="s">
        <v>184</v>
      </c>
      <c r="AG10" s="114" t="s">
        <v>185</v>
      </c>
      <c r="AH10" s="114" t="s">
        <v>186</v>
      </c>
      <c r="AI10" s="159"/>
      <c r="AJ10" s="114" t="s">
        <v>181</v>
      </c>
      <c r="AK10" s="114" t="s">
        <v>182</v>
      </c>
      <c r="AL10" s="114" t="s">
        <v>183</v>
      </c>
      <c r="AM10" s="114" t="s">
        <v>184</v>
      </c>
      <c r="AN10" s="114" t="s">
        <v>185</v>
      </c>
      <c r="AO10" s="114" t="s">
        <v>186</v>
      </c>
      <c r="AQ10" s="114" t="s">
        <v>181</v>
      </c>
      <c r="AR10" s="114" t="s">
        <v>182</v>
      </c>
      <c r="AS10" s="79" t="s">
        <v>183</v>
      </c>
      <c r="AT10" s="114" t="s">
        <v>184</v>
      </c>
      <c r="AU10" s="114" t="s">
        <v>185</v>
      </c>
      <c r="AV10" s="114" t="s">
        <v>186</v>
      </c>
      <c r="AY10" s="10" t="s">
        <v>181</v>
      </c>
      <c r="AZ10" s="10" t="s">
        <v>182</v>
      </c>
      <c r="BA10" s="10" t="s">
        <v>183</v>
      </c>
      <c r="BB10" s="10" t="s">
        <v>184</v>
      </c>
      <c r="BC10" s="10" t="s">
        <v>185</v>
      </c>
      <c r="BD10" s="10" t="s">
        <v>186</v>
      </c>
    </row>
    <row r="11" spans="1:56">
      <c r="A11" s="10">
        <v>1990</v>
      </c>
      <c r="B11" s="9">
        <f>Fig1_future_Kaya!J4</f>
        <v>232884.90035010839</v>
      </c>
      <c r="C11" s="30">
        <f>Fig1_future_Kaya!R4</f>
        <v>31.634770408101428</v>
      </c>
      <c r="D11" s="9">
        <f>Fig1_future_Kaya!AJ4</f>
        <v>0.54269778000000002</v>
      </c>
      <c r="E11" s="9">
        <f>Fig1_future_Kaya!AK4</f>
        <v>0.54269778000000002</v>
      </c>
      <c r="F11" s="9">
        <f>Fig1_future_Kaya!AL4</f>
        <v>0.54269778000000002</v>
      </c>
      <c r="G11" s="9"/>
      <c r="H11" s="266">
        <f>H$43</f>
        <v>293.87097179105825</v>
      </c>
      <c r="I11" s="266">
        <f t="shared" ref="I11:M26" si="0">I$43</f>
        <v>168.97580877985848</v>
      </c>
      <c r="J11" s="266">
        <f t="shared" si="0"/>
        <v>124.89516301119976</v>
      </c>
      <c r="K11" s="266">
        <f t="shared" si="0"/>
        <v>95.508065832093919</v>
      </c>
      <c r="L11" s="266">
        <f t="shared" si="0"/>
        <v>73.467742947764563</v>
      </c>
      <c r="M11" s="266">
        <f t="shared" si="0"/>
        <v>80.814517242541029</v>
      </c>
      <c r="O11" s="50">
        <f t="shared" ref="O11:T11" si="1">$D11*B$4</f>
        <v>2.1707911200000001</v>
      </c>
      <c r="P11" s="50">
        <f t="shared" si="1"/>
        <v>1.2482048939999999</v>
      </c>
      <c r="Q11" s="158">
        <f t="shared" si="1"/>
        <v>0.92258622599999995</v>
      </c>
      <c r="R11" s="50">
        <f t="shared" si="1"/>
        <v>0.7055071140000001</v>
      </c>
      <c r="S11" s="50">
        <f t="shared" si="1"/>
        <v>0.54269778000000002</v>
      </c>
      <c r="T11" s="50">
        <f t="shared" si="1"/>
        <v>0.59696755800000012</v>
      </c>
      <c r="U11" s="87"/>
      <c r="V11" s="266">
        <f>V$43</f>
        <v>293.87097179105825</v>
      </c>
      <c r="W11" s="266">
        <f t="shared" ref="W11:AA26" si="2">W$43</f>
        <v>168.97580877985848</v>
      </c>
      <c r="X11" s="266">
        <f t="shared" si="2"/>
        <v>124.89516301119976</v>
      </c>
      <c r="Y11" s="266">
        <f t="shared" si="2"/>
        <v>95.508065832093919</v>
      </c>
      <c r="Z11" s="266">
        <f t="shared" si="2"/>
        <v>73.467742947764563</v>
      </c>
      <c r="AA11" s="266">
        <f t="shared" si="2"/>
        <v>80.814517242541029</v>
      </c>
      <c r="AB11" s="93"/>
      <c r="AC11" s="31">
        <f t="shared" ref="AC11:AC42" si="3">($B11*$C11*V11)/10^9</f>
        <v>2.1650239596939462</v>
      </c>
      <c r="AD11" s="31">
        <f t="shared" ref="AD11:AD42" si="4">($B11*$C11*W11)/10^9</f>
        <v>1.2448887768240191</v>
      </c>
      <c r="AE11" s="158">
        <f t="shared" ref="AE11:AE42" si="5">($B11*$C11*X11)/10^9</f>
        <v>0.92013518286992724</v>
      </c>
      <c r="AF11" s="31">
        <f t="shared" ref="AF11:AF42" si="6">($B11*$C11*Y11)/10^9</f>
        <v>0.70363278690053244</v>
      </c>
      <c r="AG11" s="31">
        <f t="shared" ref="AG11:AG42" si="7">($B11*$C11*Z11)/10^9</f>
        <v>0.54125598992348656</v>
      </c>
      <c r="AH11" s="31">
        <f t="shared" ref="AH11:AH42" si="8">($B11*$C11*AA11)/10^9</f>
        <v>0.59538158891583537</v>
      </c>
      <c r="AI11" s="87"/>
      <c r="AJ11" s="266">
        <f>AJ$43</f>
        <v>293.87097179105825</v>
      </c>
      <c r="AK11" s="266">
        <f t="shared" ref="AK11:AO26" si="9">AK$43</f>
        <v>168.97580877985848</v>
      </c>
      <c r="AL11" s="266">
        <f t="shared" si="9"/>
        <v>124.89516301119976</v>
      </c>
      <c r="AM11" s="266">
        <f t="shared" si="9"/>
        <v>95.508065832093919</v>
      </c>
      <c r="AN11" s="266">
        <f t="shared" si="9"/>
        <v>73.467742947764563</v>
      </c>
      <c r="AO11" s="266">
        <f>AO$43</f>
        <v>80.814517242541029</v>
      </c>
      <c r="AQ11" s="31">
        <f>($B11*$C11*AJ11)/10^9</f>
        <v>2.1650239596939462</v>
      </c>
      <c r="AR11" s="31">
        <f t="shared" ref="AR11:AR71" si="10">($B11*$C11*AK11)/10^9</f>
        <v>1.2448887768240191</v>
      </c>
      <c r="AS11" s="158">
        <f t="shared" ref="AS11:AS71" si="11">($B11*$C11*AL11)/10^9</f>
        <v>0.92013518286992724</v>
      </c>
      <c r="AT11" s="31">
        <f t="shared" ref="AT11:AT71" si="12">($B11*$C11*AM11)/10^9</f>
        <v>0.70363278690053244</v>
      </c>
      <c r="AU11" s="31">
        <f t="shared" ref="AU11:AU71" si="13">($B11*$C11*AN11)/10^9</f>
        <v>0.54125598992348656</v>
      </c>
      <c r="AV11" s="275">
        <f t="shared" ref="AV11:AV70" si="14">($B11*$C11*AO11)/10^9</f>
        <v>0.59538158891583537</v>
      </c>
      <c r="AY11" s="30">
        <f>O11-$D11</f>
        <v>1.6280933399999999</v>
      </c>
      <c r="AZ11" s="30">
        <f t="shared" ref="AZ11:BD11" si="15">P11-$D11</f>
        <v>0.70550711399999988</v>
      </c>
      <c r="BA11" s="30">
        <f t="shared" si="15"/>
        <v>0.37988844599999994</v>
      </c>
      <c r="BB11" s="30">
        <f t="shared" si="15"/>
        <v>0.16280933400000008</v>
      </c>
      <c r="BC11" s="30">
        <f t="shared" si="15"/>
        <v>0</v>
      </c>
      <c r="BD11" s="30">
        <f t="shared" si="15"/>
        <v>5.4269778000000102E-2</v>
      </c>
    </row>
    <row r="12" spans="1:56">
      <c r="A12" s="10">
        <v>1991</v>
      </c>
      <c r="B12" s="9">
        <f>Fig1_future_Kaya!J5</f>
        <v>228843.30008095471</v>
      </c>
      <c r="C12" s="30">
        <f>Fig1_future_Kaya!R5</f>
        <v>31.140677300670895</v>
      </c>
      <c r="D12" s="9">
        <f>Fig1_future_Kaya!AJ5</f>
        <v>0.52562075600000002</v>
      </c>
      <c r="E12" s="9">
        <f>Fig1_future_Kaya!AK5</f>
        <v>0.52562075600000002</v>
      </c>
      <c r="F12" s="9">
        <f>Fig1_future_Kaya!AL5</f>
        <v>0.52562075600000002</v>
      </c>
      <c r="G12" s="9"/>
      <c r="H12" s="266">
        <f t="shared" ref="H12:M42" si="16">H$43</f>
        <v>293.87097179105825</v>
      </c>
      <c r="I12" s="266">
        <f t="shared" si="0"/>
        <v>168.97580877985848</v>
      </c>
      <c r="J12" s="266">
        <f t="shared" si="0"/>
        <v>124.89516301119976</v>
      </c>
      <c r="K12" s="266">
        <f t="shared" si="0"/>
        <v>95.508065832093919</v>
      </c>
      <c r="L12" s="266">
        <f t="shared" si="0"/>
        <v>73.467742947764563</v>
      </c>
      <c r="M12" s="266">
        <f t="shared" si="0"/>
        <v>80.814517242541029</v>
      </c>
      <c r="O12" s="50">
        <f t="shared" ref="O12:O42" si="17">$D12*B$4</f>
        <v>2.1024830240000001</v>
      </c>
      <c r="P12" s="50">
        <f t="shared" ref="P12:P26" si="18">$D12*C$4</f>
        <v>1.2089277387999999</v>
      </c>
      <c r="Q12" s="158">
        <f t="shared" ref="Q12:Q26" si="19">$D12*D$4</f>
        <v>0.89355528520000005</v>
      </c>
      <c r="R12" s="50">
        <f t="shared" ref="R12:R26" si="20">$D12*E$4</f>
        <v>0.68330698280000002</v>
      </c>
      <c r="S12" s="50">
        <f t="shared" ref="S12:S26" si="21">$D12*F$4</f>
        <v>0.52562075600000002</v>
      </c>
      <c r="T12" s="50">
        <f t="shared" ref="T12:T26" si="22">$D12*G$4</f>
        <v>0.57818283160000006</v>
      </c>
      <c r="U12" s="87"/>
      <c r="V12" s="266">
        <f t="shared" ref="V12:AA42" si="23">V$43</f>
        <v>293.87097179105825</v>
      </c>
      <c r="W12" s="266">
        <f t="shared" si="2"/>
        <v>168.97580877985848</v>
      </c>
      <c r="X12" s="266">
        <f t="shared" si="2"/>
        <v>124.89516301119976</v>
      </c>
      <c r="Y12" s="266">
        <f t="shared" si="2"/>
        <v>95.508065832093919</v>
      </c>
      <c r="Z12" s="266">
        <f t="shared" si="2"/>
        <v>73.467742947764563</v>
      </c>
      <c r="AA12" s="266">
        <f t="shared" si="2"/>
        <v>80.814517242541029</v>
      </c>
      <c r="AC12" s="31">
        <f t="shared" si="3"/>
        <v>2.0942230976231815</v>
      </c>
      <c r="AD12" s="31">
        <f t="shared" si="4"/>
        <v>1.2041782811333293</v>
      </c>
      <c r="AE12" s="158">
        <f t="shared" si="5"/>
        <v>0.89004481648985212</v>
      </c>
      <c r="AF12" s="31">
        <f t="shared" si="6"/>
        <v>0.68062250672753377</v>
      </c>
      <c r="AG12" s="31">
        <f t="shared" si="7"/>
        <v>0.52355577440579537</v>
      </c>
      <c r="AH12" s="31">
        <f t="shared" si="8"/>
        <v>0.57591135184637499</v>
      </c>
      <c r="AI12" s="87"/>
      <c r="AJ12" s="266">
        <f t="shared" ref="AJ12:AO42" si="24">AJ$43</f>
        <v>293.87097179105825</v>
      </c>
      <c r="AK12" s="266">
        <f t="shared" si="9"/>
        <v>168.97580877985848</v>
      </c>
      <c r="AL12" s="266">
        <f t="shared" si="9"/>
        <v>124.89516301119976</v>
      </c>
      <c r="AM12" s="266">
        <f t="shared" si="9"/>
        <v>95.508065832093919</v>
      </c>
      <c r="AN12" s="266">
        <f t="shared" si="9"/>
        <v>73.467742947764563</v>
      </c>
      <c r="AO12" s="266">
        <f t="shared" si="9"/>
        <v>80.814517242541029</v>
      </c>
      <c r="AQ12" s="31">
        <f t="shared" ref="AQ12:AQ42" si="25">($B12*$C12*AJ12)/10^9</f>
        <v>2.0942230976231815</v>
      </c>
      <c r="AR12" s="31">
        <f t="shared" si="10"/>
        <v>1.2041782811333293</v>
      </c>
      <c r="AS12" s="158">
        <f t="shared" si="11"/>
        <v>0.89004481648985212</v>
      </c>
      <c r="AT12" s="31">
        <f t="shared" si="12"/>
        <v>0.68062250672753377</v>
      </c>
      <c r="AU12" s="31">
        <f t="shared" si="13"/>
        <v>0.52355577440579537</v>
      </c>
      <c r="AV12" s="275">
        <f t="shared" si="14"/>
        <v>0.57591135184637499</v>
      </c>
      <c r="AY12" s="30">
        <f t="shared" ref="AY12:AY42" si="26">O12-$D12</f>
        <v>1.5768622680000002</v>
      </c>
      <c r="AZ12" s="30">
        <f t="shared" ref="AZ12:AZ42" si="27">P12-$D12</f>
        <v>0.68330698279999991</v>
      </c>
      <c r="BA12" s="30">
        <f t="shared" ref="BA12:BA42" si="28">Q12-$D12</f>
        <v>0.36793452920000003</v>
      </c>
      <c r="BB12" s="30">
        <f t="shared" ref="BB12:BB42" si="29">R12-$D12</f>
        <v>0.1576862268</v>
      </c>
      <c r="BC12" s="30">
        <f t="shared" ref="BC12:BC42" si="30">S12-$D12</f>
        <v>0</v>
      </c>
      <c r="BD12" s="30">
        <f t="shared" ref="BD12:BD42" si="31">T12-$D12</f>
        <v>5.2562075600000036E-2</v>
      </c>
    </row>
    <row r="13" spans="1:56">
      <c r="A13" s="10">
        <v>1992</v>
      </c>
      <c r="B13" s="9">
        <f>Fig1_future_Kaya!J6</f>
        <v>240647.1997384947</v>
      </c>
      <c r="C13" s="30">
        <f>Fig1_future_Kaya!R6</f>
        <v>29.698064240754807</v>
      </c>
      <c r="D13" s="9">
        <f>Fig1_future_Kaya!AJ6</f>
        <v>0.52916584599999994</v>
      </c>
      <c r="E13" s="9">
        <f>Fig1_future_Kaya!AK6</f>
        <v>0.52916584600000005</v>
      </c>
      <c r="F13" s="9">
        <f>Fig1_future_Kaya!AL6</f>
        <v>0.52916584600000005</v>
      </c>
      <c r="G13" s="9"/>
      <c r="H13" s="266">
        <f t="shared" si="16"/>
        <v>293.87097179105825</v>
      </c>
      <c r="I13" s="266">
        <f t="shared" si="0"/>
        <v>168.97580877985848</v>
      </c>
      <c r="J13" s="266">
        <f t="shared" si="0"/>
        <v>124.89516301119976</v>
      </c>
      <c r="K13" s="266">
        <f t="shared" si="0"/>
        <v>95.508065832093919</v>
      </c>
      <c r="L13" s="266">
        <f t="shared" si="0"/>
        <v>73.467742947764563</v>
      </c>
      <c r="M13" s="266">
        <f t="shared" si="0"/>
        <v>80.814517242541029</v>
      </c>
      <c r="O13" s="50">
        <f t="shared" si="17"/>
        <v>2.1166633839999998</v>
      </c>
      <c r="P13" s="50">
        <f t="shared" si="18"/>
        <v>1.2170814457999997</v>
      </c>
      <c r="Q13" s="158">
        <f t="shared" si="19"/>
        <v>0.89958193819999988</v>
      </c>
      <c r="R13" s="50">
        <f t="shared" si="20"/>
        <v>0.68791559979999994</v>
      </c>
      <c r="S13" s="50">
        <f t="shared" si="21"/>
        <v>0.52916584599999994</v>
      </c>
      <c r="T13" s="50">
        <f t="shared" si="22"/>
        <v>0.58208243059999998</v>
      </c>
      <c r="U13" s="87"/>
      <c r="V13" s="266">
        <f t="shared" si="23"/>
        <v>293.87097179105825</v>
      </c>
      <c r="W13" s="266">
        <f t="shared" si="2"/>
        <v>168.97580877985848</v>
      </c>
      <c r="X13" s="266">
        <f t="shared" si="2"/>
        <v>124.89516301119976</v>
      </c>
      <c r="Y13" s="266">
        <f t="shared" si="2"/>
        <v>95.508065832093919</v>
      </c>
      <c r="Z13" s="266">
        <f t="shared" si="2"/>
        <v>73.467742947764563</v>
      </c>
      <c r="AA13" s="266">
        <f t="shared" si="2"/>
        <v>80.814517242541029</v>
      </c>
      <c r="AC13" s="31">
        <f t="shared" si="3"/>
        <v>2.10022413004826</v>
      </c>
      <c r="AD13" s="31">
        <f t="shared" si="4"/>
        <v>1.2076288747777493</v>
      </c>
      <c r="AE13" s="158">
        <f t="shared" si="5"/>
        <v>0.89259525527051042</v>
      </c>
      <c r="AF13" s="31">
        <f t="shared" si="6"/>
        <v>0.68257284226568438</v>
      </c>
      <c r="AG13" s="31">
        <f t="shared" si="7"/>
        <v>0.52505603251206501</v>
      </c>
      <c r="AH13" s="31">
        <f t="shared" si="8"/>
        <v>0.57756163576327157</v>
      </c>
      <c r="AI13" s="87"/>
      <c r="AJ13" s="266">
        <f t="shared" si="24"/>
        <v>293.87097179105825</v>
      </c>
      <c r="AK13" s="266">
        <f t="shared" si="9"/>
        <v>168.97580877985848</v>
      </c>
      <c r="AL13" s="266">
        <f t="shared" si="9"/>
        <v>124.89516301119976</v>
      </c>
      <c r="AM13" s="266">
        <f t="shared" si="9"/>
        <v>95.508065832093919</v>
      </c>
      <c r="AN13" s="266">
        <f t="shared" si="9"/>
        <v>73.467742947764563</v>
      </c>
      <c r="AO13" s="266">
        <f t="shared" si="9"/>
        <v>80.814517242541029</v>
      </c>
      <c r="AQ13" s="31">
        <f t="shared" si="25"/>
        <v>2.10022413004826</v>
      </c>
      <c r="AR13" s="31">
        <f t="shared" si="10"/>
        <v>1.2076288747777493</v>
      </c>
      <c r="AS13" s="158">
        <f t="shared" si="11"/>
        <v>0.89259525527051042</v>
      </c>
      <c r="AT13" s="31">
        <f t="shared" si="12"/>
        <v>0.68257284226568438</v>
      </c>
      <c r="AU13" s="31">
        <f t="shared" si="13"/>
        <v>0.52505603251206501</v>
      </c>
      <c r="AV13" s="275">
        <f t="shared" si="14"/>
        <v>0.57756163576327157</v>
      </c>
      <c r="AY13" s="30">
        <f t="shared" si="26"/>
        <v>1.5874975379999998</v>
      </c>
      <c r="AZ13" s="30">
        <f t="shared" si="27"/>
        <v>0.68791559979999972</v>
      </c>
      <c r="BA13" s="30">
        <f t="shared" si="28"/>
        <v>0.37041609219999994</v>
      </c>
      <c r="BB13" s="30">
        <f t="shared" si="29"/>
        <v>0.1587497538</v>
      </c>
      <c r="BC13" s="30">
        <f t="shared" si="30"/>
        <v>0</v>
      </c>
      <c r="BD13" s="30">
        <f t="shared" si="31"/>
        <v>5.2916584600000038E-2</v>
      </c>
    </row>
    <row r="14" spans="1:56">
      <c r="A14" s="10">
        <v>1993</v>
      </c>
      <c r="B14" s="9">
        <f>Fig1_future_Kaya!J7</f>
        <v>249952.6001899917</v>
      </c>
      <c r="C14" s="30">
        <f>Fig1_future_Kaya!R7</f>
        <v>28.869366882617065</v>
      </c>
      <c r="D14" s="9">
        <f>Fig1_future_Kaya!AJ7</f>
        <v>0.53363175399999996</v>
      </c>
      <c r="E14" s="9">
        <f>Fig1_future_Kaya!AK7</f>
        <v>0.53363175399999996</v>
      </c>
      <c r="F14" s="9">
        <f>Fig1_future_Kaya!AL7</f>
        <v>0.53363175399999996</v>
      </c>
      <c r="G14" s="9"/>
      <c r="H14" s="266">
        <f t="shared" si="16"/>
        <v>293.87097179105825</v>
      </c>
      <c r="I14" s="266">
        <f t="shared" si="0"/>
        <v>168.97580877985848</v>
      </c>
      <c r="J14" s="266">
        <f t="shared" si="0"/>
        <v>124.89516301119976</v>
      </c>
      <c r="K14" s="266">
        <f t="shared" si="0"/>
        <v>95.508065832093919</v>
      </c>
      <c r="L14" s="266">
        <f t="shared" si="0"/>
        <v>73.467742947764563</v>
      </c>
      <c r="M14" s="266">
        <f t="shared" si="0"/>
        <v>80.814517242541029</v>
      </c>
      <c r="O14" s="50">
        <f t="shared" si="17"/>
        <v>2.1345270159999998</v>
      </c>
      <c r="P14" s="50">
        <f t="shared" si="18"/>
        <v>1.2273530341999999</v>
      </c>
      <c r="Q14" s="158">
        <f t="shared" si="19"/>
        <v>0.90717398179999986</v>
      </c>
      <c r="R14" s="50">
        <f t="shared" si="20"/>
        <v>0.69372128020000001</v>
      </c>
      <c r="S14" s="50">
        <f t="shared" si="21"/>
        <v>0.53363175399999996</v>
      </c>
      <c r="T14" s="50">
        <f t="shared" si="22"/>
        <v>0.58699492939999998</v>
      </c>
      <c r="U14" s="87"/>
      <c r="V14" s="266">
        <f t="shared" si="23"/>
        <v>293.87097179105825</v>
      </c>
      <c r="W14" s="266">
        <f t="shared" si="2"/>
        <v>168.97580877985848</v>
      </c>
      <c r="X14" s="266">
        <f t="shared" si="2"/>
        <v>124.89516301119976</v>
      </c>
      <c r="Y14" s="266">
        <f t="shared" si="2"/>
        <v>95.508065832093919</v>
      </c>
      <c r="Z14" s="266">
        <f t="shared" si="2"/>
        <v>73.467742947764563</v>
      </c>
      <c r="AA14" s="266">
        <f t="shared" si="2"/>
        <v>80.814517242541029</v>
      </c>
      <c r="AC14" s="31">
        <f t="shared" si="3"/>
        <v>2.1205650914227849</v>
      </c>
      <c r="AD14" s="31">
        <f t="shared" si="4"/>
        <v>1.2193249275681015</v>
      </c>
      <c r="AE14" s="158">
        <f t="shared" si="5"/>
        <v>0.90124016385468364</v>
      </c>
      <c r="AF14" s="31">
        <f t="shared" si="6"/>
        <v>0.68918365471240506</v>
      </c>
      <c r="AG14" s="31">
        <f t="shared" si="7"/>
        <v>0.53014127285569623</v>
      </c>
      <c r="AH14" s="31">
        <f t="shared" si="8"/>
        <v>0.58315540014126599</v>
      </c>
      <c r="AI14" s="87"/>
      <c r="AJ14" s="266">
        <f t="shared" si="24"/>
        <v>293.87097179105825</v>
      </c>
      <c r="AK14" s="266">
        <f t="shared" si="9"/>
        <v>168.97580877985848</v>
      </c>
      <c r="AL14" s="266">
        <f t="shared" si="9"/>
        <v>124.89516301119976</v>
      </c>
      <c r="AM14" s="266">
        <f t="shared" si="9"/>
        <v>95.508065832093919</v>
      </c>
      <c r="AN14" s="266">
        <f t="shared" si="9"/>
        <v>73.467742947764563</v>
      </c>
      <c r="AO14" s="266">
        <f t="shared" si="9"/>
        <v>80.814517242541029</v>
      </c>
      <c r="AQ14" s="31">
        <f t="shared" si="25"/>
        <v>2.1205650914227849</v>
      </c>
      <c r="AR14" s="31">
        <f t="shared" si="10"/>
        <v>1.2193249275681015</v>
      </c>
      <c r="AS14" s="158">
        <f t="shared" si="11"/>
        <v>0.90124016385468364</v>
      </c>
      <c r="AT14" s="31">
        <f t="shared" si="12"/>
        <v>0.68918365471240506</v>
      </c>
      <c r="AU14" s="31">
        <f t="shared" si="13"/>
        <v>0.53014127285569623</v>
      </c>
      <c r="AV14" s="275">
        <f t="shared" si="14"/>
        <v>0.58315540014126599</v>
      </c>
      <c r="AY14" s="30">
        <f t="shared" si="26"/>
        <v>1.6008952619999999</v>
      </c>
      <c r="AZ14" s="30">
        <f t="shared" si="27"/>
        <v>0.6937212801999999</v>
      </c>
      <c r="BA14" s="30">
        <f t="shared" si="28"/>
        <v>0.3735422277999999</v>
      </c>
      <c r="BB14" s="30">
        <f t="shared" si="29"/>
        <v>0.16008952620000005</v>
      </c>
      <c r="BC14" s="30">
        <f t="shared" si="30"/>
        <v>0</v>
      </c>
      <c r="BD14" s="30">
        <f t="shared" si="31"/>
        <v>5.3363175400000018E-2</v>
      </c>
    </row>
    <row r="15" spans="1:56">
      <c r="A15" s="10">
        <v>1994</v>
      </c>
      <c r="B15" s="9">
        <f>Fig1_future_Kaya!J8</f>
        <v>274769.30033116811</v>
      </c>
      <c r="C15" s="30">
        <f>Fig1_future_Kaya!R8</f>
        <v>27.454390835884784</v>
      </c>
      <c r="D15" s="9">
        <f>Fig1_future_Kaya!AJ8</f>
        <v>0.55670766700000018</v>
      </c>
      <c r="E15" s="9">
        <f>Fig1_future_Kaya!AK8</f>
        <v>0.55670766700000007</v>
      </c>
      <c r="F15" s="9">
        <f>Fig1_future_Kaya!AL8</f>
        <v>0.55670766700000007</v>
      </c>
      <c r="G15" s="9"/>
      <c r="H15" s="266">
        <f t="shared" si="16"/>
        <v>293.87097179105825</v>
      </c>
      <c r="I15" s="266">
        <f t="shared" si="0"/>
        <v>168.97580877985848</v>
      </c>
      <c r="J15" s="266">
        <f t="shared" si="0"/>
        <v>124.89516301119976</v>
      </c>
      <c r="K15" s="266">
        <f t="shared" si="0"/>
        <v>95.508065832093919</v>
      </c>
      <c r="L15" s="266">
        <f t="shared" si="0"/>
        <v>73.467742947764563</v>
      </c>
      <c r="M15" s="266">
        <f t="shared" si="0"/>
        <v>80.814517242541029</v>
      </c>
      <c r="O15" s="50">
        <f t="shared" si="17"/>
        <v>2.2268306680000007</v>
      </c>
      <c r="P15" s="50">
        <f t="shared" si="18"/>
        <v>1.2804276341000003</v>
      </c>
      <c r="Q15" s="158">
        <f t="shared" si="19"/>
        <v>0.94640303390000025</v>
      </c>
      <c r="R15" s="50">
        <f t="shared" si="20"/>
        <v>0.72371996710000031</v>
      </c>
      <c r="S15" s="50">
        <f t="shared" si="21"/>
        <v>0.55670766700000018</v>
      </c>
      <c r="T15" s="50">
        <f t="shared" si="22"/>
        <v>0.61237843370000022</v>
      </c>
      <c r="U15" s="87"/>
      <c r="V15" s="266">
        <f t="shared" si="23"/>
        <v>293.87097179105825</v>
      </c>
      <c r="W15" s="266">
        <f t="shared" si="2"/>
        <v>168.97580877985848</v>
      </c>
      <c r="X15" s="266">
        <f t="shared" si="2"/>
        <v>124.89516301119976</v>
      </c>
      <c r="Y15" s="266">
        <f t="shared" si="2"/>
        <v>95.508065832093919</v>
      </c>
      <c r="Z15" s="266">
        <f t="shared" si="2"/>
        <v>73.467742947764563</v>
      </c>
      <c r="AA15" s="266">
        <f t="shared" si="2"/>
        <v>80.814517242541029</v>
      </c>
      <c r="AC15" s="31">
        <f t="shared" si="3"/>
        <v>2.2168520454695702</v>
      </c>
      <c r="AD15" s="31">
        <f t="shared" si="4"/>
        <v>1.2746899261450029</v>
      </c>
      <c r="AE15" s="158">
        <f t="shared" si="5"/>
        <v>0.94216211932456728</v>
      </c>
      <c r="AF15" s="31">
        <f t="shared" si="6"/>
        <v>0.72047691477761022</v>
      </c>
      <c r="AG15" s="31">
        <f t="shared" si="7"/>
        <v>0.55421301136739254</v>
      </c>
      <c r="AH15" s="31">
        <f t="shared" si="8"/>
        <v>0.60963431250413191</v>
      </c>
      <c r="AI15" s="87"/>
      <c r="AJ15" s="266">
        <f t="shared" si="24"/>
        <v>293.87097179105825</v>
      </c>
      <c r="AK15" s="266">
        <f t="shared" si="9"/>
        <v>168.97580877985848</v>
      </c>
      <c r="AL15" s="266">
        <f t="shared" si="9"/>
        <v>124.89516301119976</v>
      </c>
      <c r="AM15" s="266">
        <f t="shared" si="9"/>
        <v>95.508065832093919</v>
      </c>
      <c r="AN15" s="266">
        <f t="shared" si="9"/>
        <v>73.467742947764563</v>
      </c>
      <c r="AO15" s="266">
        <f t="shared" si="9"/>
        <v>80.814517242541029</v>
      </c>
      <c r="AQ15" s="31">
        <f t="shared" si="25"/>
        <v>2.2168520454695702</v>
      </c>
      <c r="AR15" s="31">
        <f t="shared" si="10"/>
        <v>1.2746899261450029</v>
      </c>
      <c r="AS15" s="158">
        <f t="shared" si="11"/>
        <v>0.94216211932456728</v>
      </c>
      <c r="AT15" s="31">
        <f t="shared" si="12"/>
        <v>0.72047691477761022</v>
      </c>
      <c r="AU15" s="31">
        <f t="shared" si="13"/>
        <v>0.55421301136739254</v>
      </c>
      <c r="AV15" s="275">
        <f t="shared" si="14"/>
        <v>0.60963431250413191</v>
      </c>
      <c r="AY15" s="30">
        <f t="shared" si="26"/>
        <v>1.6701230010000006</v>
      </c>
      <c r="AZ15" s="30">
        <f t="shared" si="27"/>
        <v>0.72371996710000008</v>
      </c>
      <c r="BA15" s="30">
        <f t="shared" si="28"/>
        <v>0.38969536690000006</v>
      </c>
      <c r="BB15" s="30">
        <f t="shared" si="29"/>
        <v>0.16701230010000012</v>
      </c>
      <c r="BC15" s="30">
        <f t="shared" si="30"/>
        <v>0</v>
      </c>
      <c r="BD15" s="30">
        <f t="shared" si="31"/>
        <v>5.5670766700000041E-2</v>
      </c>
    </row>
    <row r="16" spans="1:56">
      <c r="A16" s="10">
        <v>1995</v>
      </c>
      <c r="B16" s="9">
        <f>Fig1_future_Kaya!J9</f>
        <v>293095.20039783453</v>
      </c>
      <c r="C16" s="30">
        <f>Fig1_future_Kaya!R9</f>
        <v>26.383617122651792</v>
      </c>
      <c r="D16" s="9">
        <f>Fig1_future_Kaya!AJ9</f>
        <v>0.57076552599999997</v>
      </c>
      <c r="E16" s="9">
        <f>Fig1_future_Kaya!AK9</f>
        <v>0.57076552599999997</v>
      </c>
      <c r="F16" s="9">
        <f>Fig1_future_Kaya!AL9</f>
        <v>0.57076552599999997</v>
      </c>
      <c r="G16" s="9"/>
      <c r="H16" s="266">
        <f t="shared" si="16"/>
        <v>293.87097179105825</v>
      </c>
      <c r="I16" s="266">
        <f t="shared" si="0"/>
        <v>168.97580877985848</v>
      </c>
      <c r="J16" s="266">
        <f t="shared" si="0"/>
        <v>124.89516301119976</v>
      </c>
      <c r="K16" s="266">
        <f t="shared" si="0"/>
        <v>95.508065832093919</v>
      </c>
      <c r="L16" s="266">
        <f t="shared" si="0"/>
        <v>73.467742947764563</v>
      </c>
      <c r="M16" s="266">
        <f t="shared" si="0"/>
        <v>80.814517242541029</v>
      </c>
      <c r="O16" s="50">
        <f t="shared" si="17"/>
        <v>2.2830621039999999</v>
      </c>
      <c r="P16" s="50">
        <f t="shared" si="18"/>
        <v>1.3127607097999998</v>
      </c>
      <c r="Q16" s="158">
        <f t="shared" si="19"/>
        <v>0.97030139419999994</v>
      </c>
      <c r="R16" s="50">
        <f t="shared" si="20"/>
        <v>0.74199518379999996</v>
      </c>
      <c r="S16" s="50">
        <f t="shared" si="21"/>
        <v>0.57076552599999997</v>
      </c>
      <c r="T16" s="50">
        <f t="shared" si="22"/>
        <v>0.62784207859999996</v>
      </c>
      <c r="U16" s="87"/>
      <c r="V16" s="266">
        <f t="shared" si="23"/>
        <v>293.87097179105825</v>
      </c>
      <c r="W16" s="266">
        <f t="shared" si="2"/>
        <v>168.97580877985848</v>
      </c>
      <c r="X16" s="266">
        <f t="shared" si="2"/>
        <v>124.89516301119976</v>
      </c>
      <c r="Y16" s="266">
        <f t="shared" si="2"/>
        <v>95.508065832093919</v>
      </c>
      <c r="Z16" s="266">
        <f t="shared" si="2"/>
        <v>73.467742947764563</v>
      </c>
      <c r="AA16" s="266">
        <f t="shared" si="2"/>
        <v>80.814517242541029</v>
      </c>
      <c r="AC16" s="31">
        <f t="shared" si="3"/>
        <v>2.272478231321394</v>
      </c>
      <c r="AD16" s="31">
        <f t="shared" si="4"/>
        <v>1.3066749830098014</v>
      </c>
      <c r="AE16" s="158">
        <f t="shared" si="5"/>
        <v>0.96580324831159248</v>
      </c>
      <c r="AF16" s="31">
        <f t="shared" si="6"/>
        <v>0.73855542517945294</v>
      </c>
      <c r="AG16" s="31">
        <f t="shared" si="7"/>
        <v>0.56811955783034851</v>
      </c>
      <c r="AH16" s="31">
        <f t="shared" si="8"/>
        <v>0.62493151361338339</v>
      </c>
      <c r="AI16" s="87"/>
      <c r="AJ16" s="266">
        <f t="shared" si="24"/>
        <v>293.87097179105825</v>
      </c>
      <c r="AK16" s="266">
        <f t="shared" si="9"/>
        <v>168.97580877985848</v>
      </c>
      <c r="AL16" s="266">
        <f t="shared" si="9"/>
        <v>124.89516301119976</v>
      </c>
      <c r="AM16" s="266">
        <f t="shared" si="9"/>
        <v>95.508065832093919</v>
      </c>
      <c r="AN16" s="266">
        <f t="shared" si="9"/>
        <v>73.467742947764563</v>
      </c>
      <c r="AO16" s="266">
        <f t="shared" si="9"/>
        <v>80.814517242541029</v>
      </c>
      <c r="AQ16" s="31">
        <f t="shared" si="25"/>
        <v>2.272478231321394</v>
      </c>
      <c r="AR16" s="31">
        <f t="shared" si="10"/>
        <v>1.3066749830098014</v>
      </c>
      <c r="AS16" s="158">
        <f t="shared" si="11"/>
        <v>0.96580324831159248</v>
      </c>
      <c r="AT16" s="31">
        <f t="shared" si="12"/>
        <v>0.73855542517945294</v>
      </c>
      <c r="AU16" s="31">
        <f t="shared" si="13"/>
        <v>0.56811955783034851</v>
      </c>
      <c r="AV16" s="275">
        <f t="shared" si="14"/>
        <v>0.62493151361338339</v>
      </c>
      <c r="AY16" s="30">
        <f t="shared" si="26"/>
        <v>1.7122965779999999</v>
      </c>
      <c r="AZ16" s="30">
        <f t="shared" si="27"/>
        <v>0.74199518379999985</v>
      </c>
      <c r="BA16" s="30">
        <f t="shared" si="28"/>
        <v>0.39953586819999998</v>
      </c>
      <c r="BB16" s="30">
        <f t="shared" si="29"/>
        <v>0.17122965779999999</v>
      </c>
      <c r="BC16" s="30">
        <f t="shared" si="30"/>
        <v>0</v>
      </c>
      <c r="BD16" s="30">
        <f t="shared" si="31"/>
        <v>5.7076552599999997E-2</v>
      </c>
    </row>
    <row r="17" spans="1:56">
      <c r="A17" s="10">
        <v>1996</v>
      </c>
      <c r="B17" s="9">
        <f>Fig1_future_Kaya!J10</f>
        <v>317053.5999806</v>
      </c>
      <c r="C17" s="30">
        <f>Fig1_future_Kaya!R10</f>
        <v>25.424930964761749</v>
      </c>
      <c r="D17" s="9">
        <f>Fig1_future_Kaya!AJ10</f>
        <v>0.59712128200000014</v>
      </c>
      <c r="E17" s="9">
        <f>Fig1_future_Kaya!AK10</f>
        <v>0.59712128200000025</v>
      </c>
      <c r="F17" s="9">
        <f>Fig1_future_Kaya!AL10</f>
        <v>0.59712128200000025</v>
      </c>
      <c r="G17" s="9"/>
      <c r="H17" s="266">
        <f t="shared" si="16"/>
        <v>293.87097179105825</v>
      </c>
      <c r="I17" s="266">
        <f t="shared" si="0"/>
        <v>168.97580877985848</v>
      </c>
      <c r="J17" s="266">
        <f t="shared" si="0"/>
        <v>124.89516301119976</v>
      </c>
      <c r="K17" s="266">
        <f t="shared" si="0"/>
        <v>95.508065832093919</v>
      </c>
      <c r="L17" s="266">
        <f t="shared" si="0"/>
        <v>73.467742947764563</v>
      </c>
      <c r="M17" s="266">
        <f t="shared" si="0"/>
        <v>80.814517242541029</v>
      </c>
      <c r="O17" s="50">
        <f t="shared" si="17"/>
        <v>2.3884851280000006</v>
      </c>
      <c r="P17" s="50">
        <f t="shared" si="18"/>
        <v>1.3733789486000003</v>
      </c>
      <c r="Q17" s="158">
        <f t="shared" si="19"/>
        <v>1.0151061794000003</v>
      </c>
      <c r="R17" s="50">
        <f t="shared" si="20"/>
        <v>0.77625766660000017</v>
      </c>
      <c r="S17" s="50">
        <f t="shared" si="21"/>
        <v>0.59712128200000014</v>
      </c>
      <c r="T17" s="50">
        <f t="shared" si="22"/>
        <v>0.65683341020000019</v>
      </c>
      <c r="U17" s="87"/>
      <c r="V17" s="266">
        <f t="shared" si="23"/>
        <v>293.87097179105825</v>
      </c>
      <c r="W17" s="266">
        <f t="shared" si="2"/>
        <v>168.97580877985848</v>
      </c>
      <c r="X17" s="266">
        <f t="shared" si="2"/>
        <v>124.89516301119976</v>
      </c>
      <c r="Y17" s="266">
        <f t="shared" si="2"/>
        <v>95.508065832093919</v>
      </c>
      <c r="Z17" s="266">
        <f t="shared" si="2"/>
        <v>73.467742947764563</v>
      </c>
      <c r="AA17" s="266">
        <f t="shared" si="2"/>
        <v>80.814517242541029</v>
      </c>
      <c r="AC17" s="31">
        <f t="shared" si="3"/>
        <v>2.3689132672468078</v>
      </c>
      <c r="AD17" s="31">
        <f t="shared" si="4"/>
        <v>1.3621251286669145</v>
      </c>
      <c r="AE17" s="158">
        <f t="shared" si="5"/>
        <v>1.0067881385798934</v>
      </c>
      <c r="AF17" s="31">
        <f t="shared" si="6"/>
        <v>0.76989681185521242</v>
      </c>
      <c r="AG17" s="31">
        <f t="shared" si="7"/>
        <v>0.59222831681170196</v>
      </c>
      <c r="AH17" s="31">
        <f t="shared" si="8"/>
        <v>0.65145114849287222</v>
      </c>
      <c r="AI17" s="87"/>
      <c r="AJ17" s="266">
        <f t="shared" si="24"/>
        <v>293.87097179105825</v>
      </c>
      <c r="AK17" s="266">
        <f t="shared" si="9"/>
        <v>168.97580877985848</v>
      </c>
      <c r="AL17" s="266">
        <f t="shared" si="9"/>
        <v>124.89516301119976</v>
      </c>
      <c r="AM17" s="266">
        <f t="shared" si="9"/>
        <v>95.508065832093919</v>
      </c>
      <c r="AN17" s="266">
        <f t="shared" si="9"/>
        <v>73.467742947764563</v>
      </c>
      <c r="AO17" s="266">
        <f t="shared" si="9"/>
        <v>80.814517242541029</v>
      </c>
      <c r="AQ17" s="31">
        <f t="shared" si="25"/>
        <v>2.3689132672468078</v>
      </c>
      <c r="AR17" s="31">
        <f t="shared" si="10"/>
        <v>1.3621251286669145</v>
      </c>
      <c r="AS17" s="158">
        <f t="shared" si="11"/>
        <v>1.0067881385798934</v>
      </c>
      <c r="AT17" s="31">
        <f t="shared" si="12"/>
        <v>0.76989681185521242</v>
      </c>
      <c r="AU17" s="31">
        <f t="shared" si="13"/>
        <v>0.59222831681170196</v>
      </c>
      <c r="AV17" s="275">
        <f t="shared" si="14"/>
        <v>0.65145114849287222</v>
      </c>
      <c r="AY17" s="30">
        <f t="shared" si="26"/>
        <v>1.7913638460000003</v>
      </c>
      <c r="AZ17" s="30">
        <f t="shared" si="27"/>
        <v>0.77625766660000017</v>
      </c>
      <c r="BA17" s="30">
        <f t="shared" si="28"/>
        <v>0.41798489740000011</v>
      </c>
      <c r="BB17" s="30">
        <f t="shared" si="29"/>
        <v>0.17913638460000003</v>
      </c>
      <c r="BC17" s="30">
        <f t="shared" si="30"/>
        <v>0</v>
      </c>
      <c r="BD17" s="30">
        <f t="shared" si="31"/>
        <v>5.9712128200000048E-2</v>
      </c>
    </row>
    <row r="18" spans="1:56">
      <c r="A18" s="10">
        <v>1997</v>
      </c>
      <c r="B18" s="9">
        <f>Fig1_future_Kaya!J11</f>
        <v>341799.10121963196</v>
      </c>
      <c r="C18" s="30">
        <f>Fig1_future_Kaya!R11</f>
        <v>24.392367383519211</v>
      </c>
      <c r="D18" s="9">
        <f>Fig1_future_Kaya!AJ11</f>
        <v>0.6162284830000001</v>
      </c>
      <c r="E18" s="9">
        <f>Fig1_future_Kaya!AK11</f>
        <v>0.61622848300000022</v>
      </c>
      <c r="F18" s="9">
        <f>Fig1_future_Kaya!AL11</f>
        <v>0.61622848300000022</v>
      </c>
      <c r="G18" s="9"/>
      <c r="H18" s="266">
        <f t="shared" si="16"/>
        <v>293.87097179105825</v>
      </c>
      <c r="I18" s="266">
        <f t="shared" si="0"/>
        <v>168.97580877985848</v>
      </c>
      <c r="J18" s="266">
        <f t="shared" si="0"/>
        <v>124.89516301119976</v>
      </c>
      <c r="K18" s="266">
        <f t="shared" si="0"/>
        <v>95.508065832093919</v>
      </c>
      <c r="L18" s="266">
        <f t="shared" si="0"/>
        <v>73.467742947764563</v>
      </c>
      <c r="M18" s="266">
        <f t="shared" si="0"/>
        <v>80.814517242541029</v>
      </c>
      <c r="O18" s="50">
        <f t="shared" si="17"/>
        <v>2.4649139320000004</v>
      </c>
      <c r="P18" s="50">
        <f t="shared" si="18"/>
        <v>1.4173255109</v>
      </c>
      <c r="Q18" s="158">
        <f t="shared" si="19"/>
        <v>1.0475884211000002</v>
      </c>
      <c r="R18" s="50">
        <f t="shared" si="20"/>
        <v>0.80109702790000015</v>
      </c>
      <c r="S18" s="50">
        <f t="shared" si="21"/>
        <v>0.6162284830000001</v>
      </c>
      <c r="T18" s="50">
        <f t="shared" si="22"/>
        <v>0.67785133130000019</v>
      </c>
      <c r="U18" s="87"/>
      <c r="V18" s="266">
        <f t="shared" si="23"/>
        <v>293.87097179105825</v>
      </c>
      <c r="W18" s="266">
        <f t="shared" si="2"/>
        <v>168.97580877985848</v>
      </c>
      <c r="X18" s="266">
        <f t="shared" si="2"/>
        <v>124.89516301119976</v>
      </c>
      <c r="Y18" s="266">
        <f t="shared" si="2"/>
        <v>95.508065832093919</v>
      </c>
      <c r="Z18" s="266">
        <f t="shared" si="2"/>
        <v>73.467742947764563</v>
      </c>
      <c r="AA18" s="266">
        <f t="shared" si="2"/>
        <v>80.814517242541029</v>
      </c>
      <c r="AC18" s="31">
        <f t="shared" si="3"/>
        <v>2.4500872935028064</v>
      </c>
      <c r="AD18" s="31">
        <f t="shared" si="4"/>
        <v>1.4088001937641135</v>
      </c>
      <c r="AE18" s="158">
        <f t="shared" si="5"/>
        <v>1.0412870997386925</v>
      </c>
      <c r="AF18" s="31">
        <f t="shared" si="6"/>
        <v>0.79627837038841187</v>
      </c>
      <c r="AG18" s="31">
        <f t="shared" si="7"/>
        <v>0.6125218233757016</v>
      </c>
      <c r="AH18" s="31">
        <f t="shared" si="8"/>
        <v>0.67377400571327173</v>
      </c>
      <c r="AI18" s="87"/>
      <c r="AJ18" s="266">
        <f t="shared" si="24"/>
        <v>293.87097179105825</v>
      </c>
      <c r="AK18" s="266">
        <f t="shared" si="9"/>
        <v>168.97580877985848</v>
      </c>
      <c r="AL18" s="266">
        <f t="shared" si="9"/>
        <v>124.89516301119976</v>
      </c>
      <c r="AM18" s="266">
        <f t="shared" si="9"/>
        <v>95.508065832093919</v>
      </c>
      <c r="AN18" s="266">
        <f t="shared" si="9"/>
        <v>73.467742947764563</v>
      </c>
      <c r="AO18" s="266">
        <f t="shared" si="9"/>
        <v>80.814517242541029</v>
      </c>
      <c r="AQ18" s="31">
        <f t="shared" si="25"/>
        <v>2.4500872935028064</v>
      </c>
      <c r="AR18" s="31">
        <f t="shared" si="10"/>
        <v>1.4088001937641135</v>
      </c>
      <c r="AS18" s="158">
        <f t="shared" si="11"/>
        <v>1.0412870997386925</v>
      </c>
      <c r="AT18" s="31">
        <f t="shared" si="12"/>
        <v>0.79627837038841187</v>
      </c>
      <c r="AU18" s="31">
        <f t="shared" si="13"/>
        <v>0.6125218233757016</v>
      </c>
      <c r="AV18" s="275">
        <f t="shared" si="14"/>
        <v>0.67377400571327173</v>
      </c>
      <c r="AY18" s="30">
        <f t="shared" si="26"/>
        <v>1.8486854490000004</v>
      </c>
      <c r="AZ18" s="30">
        <f t="shared" si="27"/>
        <v>0.80109702789999993</v>
      </c>
      <c r="BA18" s="30">
        <f t="shared" si="28"/>
        <v>0.43135993810000006</v>
      </c>
      <c r="BB18" s="30">
        <f t="shared" si="29"/>
        <v>0.18486854490000004</v>
      </c>
      <c r="BC18" s="30">
        <f t="shared" si="30"/>
        <v>0</v>
      </c>
      <c r="BD18" s="30">
        <f t="shared" si="31"/>
        <v>6.1622848300000088E-2</v>
      </c>
    </row>
    <row r="19" spans="1:56">
      <c r="A19" s="10">
        <v>1998</v>
      </c>
      <c r="B19" s="9">
        <f>Fig1_future_Kaya!J12</f>
        <v>349018.27430563699</v>
      </c>
      <c r="C19" s="30">
        <f>Fig1_future_Kaya!R12</f>
        <v>24.424560202110836</v>
      </c>
      <c r="D19" s="9">
        <f>Fig1_future_Kaya!AJ12</f>
        <v>0.62800909199999999</v>
      </c>
      <c r="E19" s="9">
        <f>Fig1_future_Kaya!AK12</f>
        <v>0.62800909199999999</v>
      </c>
      <c r="F19" s="9">
        <f>Fig1_future_Kaya!AL12</f>
        <v>0.62800909199999999</v>
      </c>
      <c r="G19" s="9"/>
      <c r="H19" s="266">
        <f t="shared" si="16"/>
        <v>293.87097179105825</v>
      </c>
      <c r="I19" s="266">
        <f t="shared" si="0"/>
        <v>168.97580877985848</v>
      </c>
      <c r="J19" s="266">
        <f t="shared" si="0"/>
        <v>124.89516301119976</v>
      </c>
      <c r="K19" s="266">
        <f t="shared" si="0"/>
        <v>95.508065832093919</v>
      </c>
      <c r="L19" s="266">
        <f t="shared" si="0"/>
        <v>73.467742947764563</v>
      </c>
      <c r="M19" s="266">
        <f t="shared" si="0"/>
        <v>80.814517242541029</v>
      </c>
      <c r="O19" s="50">
        <f t="shared" si="17"/>
        <v>2.512036368</v>
      </c>
      <c r="P19" s="50">
        <f t="shared" si="18"/>
        <v>1.4444209116</v>
      </c>
      <c r="Q19" s="158">
        <f t="shared" si="19"/>
        <v>1.0676154564</v>
      </c>
      <c r="R19" s="50">
        <f t="shared" si="20"/>
        <v>0.81641181959999998</v>
      </c>
      <c r="S19" s="50">
        <f t="shared" si="21"/>
        <v>0.62800909199999999</v>
      </c>
      <c r="T19" s="50">
        <f t="shared" si="22"/>
        <v>0.69081000120000002</v>
      </c>
      <c r="U19" s="87"/>
      <c r="V19" s="266">
        <f t="shared" si="23"/>
        <v>293.87097179105825</v>
      </c>
      <c r="W19" s="266">
        <f t="shared" si="2"/>
        <v>168.97580877985848</v>
      </c>
      <c r="X19" s="266">
        <f t="shared" si="2"/>
        <v>124.89516301119976</v>
      </c>
      <c r="Y19" s="266">
        <f t="shared" si="2"/>
        <v>95.508065832093919</v>
      </c>
      <c r="Z19" s="266">
        <f t="shared" si="2"/>
        <v>73.467742947764563</v>
      </c>
      <c r="AA19" s="266">
        <f t="shared" si="2"/>
        <v>80.814517242541029</v>
      </c>
      <c r="AC19" s="31">
        <f t="shared" si="3"/>
        <v>2.5051377324365602</v>
      </c>
      <c r="AD19" s="31">
        <f t="shared" si="4"/>
        <v>1.4404541961510222</v>
      </c>
      <c r="AE19" s="158">
        <f t="shared" si="5"/>
        <v>1.0646835362855382</v>
      </c>
      <c r="AF19" s="31">
        <f t="shared" si="6"/>
        <v>0.81416976304188204</v>
      </c>
      <c r="AG19" s="31">
        <f t="shared" si="7"/>
        <v>0.62628443310914006</v>
      </c>
      <c r="AH19" s="31">
        <f t="shared" si="8"/>
        <v>0.68891287642005417</v>
      </c>
      <c r="AI19" s="87"/>
      <c r="AJ19" s="266">
        <f t="shared" si="24"/>
        <v>293.87097179105825</v>
      </c>
      <c r="AK19" s="266">
        <f t="shared" si="9"/>
        <v>168.97580877985848</v>
      </c>
      <c r="AL19" s="266">
        <f t="shared" si="9"/>
        <v>124.89516301119976</v>
      </c>
      <c r="AM19" s="266">
        <f t="shared" si="9"/>
        <v>95.508065832093919</v>
      </c>
      <c r="AN19" s="266">
        <f t="shared" si="9"/>
        <v>73.467742947764563</v>
      </c>
      <c r="AO19" s="266">
        <f t="shared" si="9"/>
        <v>80.814517242541029</v>
      </c>
      <c r="AQ19" s="31">
        <f t="shared" si="25"/>
        <v>2.5051377324365602</v>
      </c>
      <c r="AR19" s="31">
        <f t="shared" si="10"/>
        <v>1.4404541961510222</v>
      </c>
      <c r="AS19" s="158">
        <f t="shared" si="11"/>
        <v>1.0646835362855382</v>
      </c>
      <c r="AT19" s="31">
        <f t="shared" si="12"/>
        <v>0.81416976304188204</v>
      </c>
      <c r="AU19" s="31">
        <f t="shared" si="13"/>
        <v>0.62628443310914006</v>
      </c>
      <c r="AV19" s="275">
        <f t="shared" si="14"/>
        <v>0.68891287642005417</v>
      </c>
      <c r="AY19" s="30">
        <f t="shared" si="26"/>
        <v>1.8840272759999999</v>
      </c>
      <c r="AZ19" s="30">
        <f t="shared" si="27"/>
        <v>0.81641181959999998</v>
      </c>
      <c r="BA19" s="30">
        <f t="shared" si="28"/>
        <v>0.4396063644</v>
      </c>
      <c r="BB19" s="30">
        <f t="shared" si="29"/>
        <v>0.18840272759999999</v>
      </c>
      <c r="BC19" s="30">
        <f t="shared" si="30"/>
        <v>0</v>
      </c>
      <c r="BD19" s="30">
        <f t="shared" si="31"/>
        <v>6.2800909200000032E-2</v>
      </c>
    </row>
    <row r="20" spans="1:56">
      <c r="A20" s="10">
        <v>1999</v>
      </c>
      <c r="B20" s="9">
        <f>Fig1_future_Kaya!J13</f>
        <v>372383.61824587302</v>
      </c>
      <c r="C20" s="30">
        <f>Fig1_future_Kaya!R13</f>
        <v>23.685610716757044</v>
      </c>
      <c r="D20" s="9">
        <f>Fig1_future_Kaya!AJ13</f>
        <v>0.64914668200000003</v>
      </c>
      <c r="E20" s="9">
        <f>Fig1_future_Kaya!AK13</f>
        <v>0.64914668199999992</v>
      </c>
      <c r="F20" s="9">
        <f>Fig1_future_Kaya!AL13</f>
        <v>0.64914668199999992</v>
      </c>
      <c r="G20" s="9"/>
      <c r="H20" s="266">
        <f t="shared" si="16"/>
        <v>293.87097179105825</v>
      </c>
      <c r="I20" s="266">
        <f t="shared" si="0"/>
        <v>168.97580877985848</v>
      </c>
      <c r="J20" s="266">
        <f t="shared" si="0"/>
        <v>124.89516301119976</v>
      </c>
      <c r="K20" s="266">
        <f t="shared" si="0"/>
        <v>95.508065832093919</v>
      </c>
      <c r="L20" s="266">
        <f t="shared" si="0"/>
        <v>73.467742947764563</v>
      </c>
      <c r="M20" s="266">
        <f t="shared" si="0"/>
        <v>80.814517242541029</v>
      </c>
      <c r="O20" s="50">
        <f t="shared" si="17"/>
        <v>2.5965867280000001</v>
      </c>
      <c r="P20" s="50">
        <f t="shared" si="18"/>
        <v>1.4930373686</v>
      </c>
      <c r="Q20" s="158">
        <f t="shared" si="19"/>
        <v>1.1035493594000001</v>
      </c>
      <c r="R20" s="50">
        <f t="shared" si="20"/>
        <v>0.84389068660000011</v>
      </c>
      <c r="S20" s="50">
        <f t="shared" si="21"/>
        <v>0.64914668200000003</v>
      </c>
      <c r="T20" s="50">
        <f t="shared" si="22"/>
        <v>0.71406135020000006</v>
      </c>
      <c r="U20" s="87"/>
      <c r="V20" s="266">
        <f t="shared" si="23"/>
        <v>293.87097179105825</v>
      </c>
      <c r="W20" s="266">
        <f t="shared" si="2"/>
        <v>168.97580877985848</v>
      </c>
      <c r="X20" s="266">
        <f t="shared" si="2"/>
        <v>124.89516301119976</v>
      </c>
      <c r="Y20" s="266">
        <f t="shared" si="2"/>
        <v>95.508065832093919</v>
      </c>
      <c r="Z20" s="266">
        <f t="shared" si="2"/>
        <v>73.467742947764563</v>
      </c>
      <c r="AA20" s="266">
        <f t="shared" si="2"/>
        <v>80.814517242541029</v>
      </c>
      <c r="AC20" s="31">
        <f t="shared" si="3"/>
        <v>2.5919811791886591</v>
      </c>
      <c r="AD20" s="31">
        <f t="shared" si="4"/>
        <v>1.490389178033479</v>
      </c>
      <c r="AE20" s="158">
        <f t="shared" si="5"/>
        <v>1.1015920011551803</v>
      </c>
      <c r="AF20" s="31">
        <f t="shared" si="6"/>
        <v>0.84239388323631403</v>
      </c>
      <c r="AG20" s="31">
        <f t="shared" si="7"/>
        <v>0.64799529479716478</v>
      </c>
      <c r="AH20" s="31">
        <f t="shared" si="8"/>
        <v>0.71279482427688134</v>
      </c>
      <c r="AI20" s="87"/>
      <c r="AJ20" s="266">
        <f t="shared" si="24"/>
        <v>293.87097179105825</v>
      </c>
      <c r="AK20" s="266">
        <f t="shared" si="9"/>
        <v>168.97580877985848</v>
      </c>
      <c r="AL20" s="266">
        <f t="shared" si="9"/>
        <v>124.89516301119976</v>
      </c>
      <c r="AM20" s="266">
        <f t="shared" si="9"/>
        <v>95.508065832093919</v>
      </c>
      <c r="AN20" s="266">
        <f t="shared" si="9"/>
        <v>73.467742947764563</v>
      </c>
      <c r="AO20" s="266">
        <f t="shared" si="9"/>
        <v>80.814517242541029</v>
      </c>
      <c r="AQ20" s="31">
        <f t="shared" si="25"/>
        <v>2.5919811791886591</v>
      </c>
      <c r="AR20" s="31">
        <f t="shared" si="10"/>
        <v>1.490389178033479</v>
      </c>
      <c r="AS20" s="158">
        <f t="shared" si="11"/>
        <v>1.1015920011551803</v>
      </c>
      <c r="AT20" s="31">
        <f t="shared" si="12"/>
        <v>0.84239388323631403</v>
      </c>
      <c r="AU20" s="31">
        <f t="shared" si="13"/>
        <v>0.64799529479716478</v>
      </c>
      <c r="AV20" s="275">
        <f t="shared" si="14"/>
        <v>0.71279482427688134</v>
      </c>
      <c r="AY20" s="30">
        <f t="shared" si="26"/>
        <v>1.9474400460000001</v>
      </c>
      <c r="AZ20" s="30">
        <f t="shared" si="27"/>
        <v>0.8438906866</v>
      </c>
      <c r="BA20" s="30">
        <f t="shared" si="28"/>
        <v>0.45440267740000007</v>
      </c>
      <c r="BB20" s="30">
        <f t="shared" si="29"/>
        <v>0.19474400460000008</v>
      </c>
      <c r="BC20" s="30">
        <f t="shared" si="30"/>
        <v>0</v>
      </c>
      <c r="BD20" s="30">
        <f t="shared" si="31"/>
        <v>6.4914668200000025E-2</v>
      </c>
    </row>
    <row r="21" spans="1:56">
      <c r="A21" s="10">
        <v>2000</v>
      </c>
      <c r="B21" s="9">
        <f>Fig1_future_Kaya!J14</f>
        <v>399903.21100000001</v>
      </c>
      <c r="C21" s="30">
        <f>Fig1_future_Kaya!R14</f>
        <v>22.819143580846905</v>
      </c>
      <c r="D21" s="9">
        <f>Fig1_future_Kaya!AJ14</f>
        <v>0.67477179700000012</v>
      </c>
      <c r="E21" s="9">
        <f>Fig1_future_Kaya!AK14</f>
        <v>0.67477179700000012</v>
      </c>
      <c r="F21" s="9">
        <f>Fig1_future_Kaya!AL14</f>
        <v>0.67477179700000012</v>
      </c>
      <c r="G21" s="9"/>
      <c r="H21" s="266">
        <f t="shared" si="16"/>
        <v>293.87097179105825</v>
      </c>
      <c r="I21" s="266">
        <f t="shared" si="0"/>
        <v>168.97580877985848</v>
      </c>
      <c r="J21" s="266">
        <f t="shared" si="0"/>
        <v>124.89516301119976</v>
      </c>
      <c r="K21" s="266">
        <f t="shared" si="0"/>
        <v>95.508065832093919</v>
      </c>
      <c r="L21" s="266">
        <f t="shared" si="0"/>
        <v>73.467742947764563</v>
      </c>
      <c r="M21" s="266">
        <f t="shared" si="0"/>
        <v>80.814517242541029</v>
      </c>
      <c r="O21" s="50">
        <f t="shared" si="17"/>
        <v>2.6990871880000005</v>
      </c>
      <c r="P21" s="50">
        <f t="shared" si="18"/>
        <v>1.5519751331000002</v>
      </c>
      <c r="Q21" s="158">
        <f t="shared" si="19"/>
        <v>1.1471120549000002</v>
      </c>
      <c r="R21" s="50">
        <f t="shared" si="20"/>
        <v>0.87720333610000023</v>
      </c>
      <c r="S21" s="50">
        <f t="shared" si="21"/>
        <v>0.67477179700000012</v>
      </c>
      <c r="T21" s="50">
        <f t="shared" si="22"/>
        <v>0.74224897670000023</v>
      </c>
      <c r="U21" s="87"/>
      <c r="V21" s="266">
        <f t="shared" si="23"/>
        <v>293.87097179105825</v>
      </c>
      <c r="W21" s="266">
        <f t="shared" si="2"/>
        <v>168.97580877985848</v>
      </c>
      <c r="X21" s="266">
        <f t="shared" si="2"/>
        <v>124.89516301119976</v>
      </c>
      <c r="Y21" s="266">
        <f t="shared" si="2"/>
        <v>95.508065832093919</v>
      </c>
      <c r="Z21" s="266">
        <f t="shared" si="2"/>
        <v>73.467742947764563</v>
      </c>
      <c r="AA21" s="266">
        <f t="shared" si="2"/>
        <v>80.814517242541029</v>
      </c>
      <c r="AC21" s="31">
        <f t="shared" si="3"/>
        <v>2.6817045040205145</v>
      </c>
      <c r="AD21" s="31">
        <f t="shared" si="4"/>
        <v>1.5419800898117957</v>
      </c>
      <c r="AE21" s="158">
        <f t="shared" si="5"/>
        <v>1.1397244142087186</v>
      </c>
      <c r="AF21" s="31">
        <f t="shared" si="6"/>
        <v>0.87155396380666705</v>
      </c>
      <c r="AG21" s="31">
        <f t="shared" si="7"/>
        <v>0.67042612600512863</v>
      </c>
      <c r="AH21" s="31">
        <f t="shared" si="8"/>
        <v>0.73746873860564155</v>
      </c>
      <c r="AI21" s="87"/>
      <c r="AJ21" s="266">
        <f t="shared" si="24"/>
        <v>293.87097179105825</v>
      </c>
      <c r="AK21" s="266">
        <f t="shared" si="9"/>
        <v>168.97580877985848</v>
      </c>
      <c r="AL21" s="266">
        <f t="shared" si="9"/>
        <v>124.89516301119976</v>
      </c>
      <c r="AM21" s="266">
        <f t="shared" si="9"/>
        <v>95.508065832093919</v>
      </c>
      <c r="AN21" s="266">
        <f t="shared" si="9"/>
        <v>73.467742947764563</v>
      </c>
      <c r="AO21" s="266">
        <f t="shared" si="9"/>
        <v>80.814517242541029</v>
      </c>
      <c r="AQ21" s="31">
        <f t="shared" si="25"/>
        <v>2.6817045040205145</v>
      </c>
      <c r="AR21" s="31">
        <f t="shared" si="10"/>
        <v>1.5419800898117957</v>
      </c>
      <c r="AS21" s="158">
        <f t="shared" si="11"/>
        <v>1.1397244142087186</v>
      </c>
      <c r="AT21" s="31">
        <f t="shared" si="12"/>
        <v>0.87155396380666705</v>
      </c>
      <c r="AU21" s="31">
        <f t="shared" si="13"/>
        <v>0.67042612600512863</v>
      </c>
      <c r="AV21" s="275">
        <f t="shared" si="14"/>
        <v>0.73746873860564155</v>
      </c>
      <c r="AY21" s="30">
        <f t="shared" si="26"/>
        <v>2.0243153910000005</v>
      </c>
      <c r="AZ21" s="30">
        <f t="shared" si="27"/>
        <v>0.87720333610000012</v>
      </c>
      <c r="BA21" s="30">
        <f t="shared" si="28"/>
        <v>0.47234025790000012</v>
      </c>
      <c r="BB21" s="30">
        <f t="shared" si="29"/>
        <v>0.20243153910000011</v>
      </c>
      <c r="BC21" s="30">
        <f t="shared" si="30"/>
        <v>0</v>
      </c>
      <c r="BD21" s="30">
        <f t="shared" si="31"/>
        <v>6.7477179700000112E-2</v>
      </c>
    </row>
    <row r="22" spans="1:56">
      <c r="A22" s="10">
        <v>2001</v>
      </c>
      <c r="B22" s="9">
        <f>Fig1_future_Kaya!J15</f>
        <v>384334.83500009502</v>
      </c>
      <c r="C22" s="30">
        <f>Fig1_future_Kaya!R15</f>
        <v>23.260773823128829</v>
      </c>
      <c r="D22" s="9">
        <f>Fig1_future_Kaya!AJ15</f>
        <v>0.65939666399999997</v>
      </c>
      <c r="E22" s="9">
        <f>Fig1_future_Kaya!AK15</f>
        <v>0.65939666399999997</v>
      </c>
      <c r="F22" s="9">
        <f>Fig1_future_Kaya!AL15</f>
        <v>0.65939666399999997</v>
      </c>
      <c r="G22" s="9"/>
      <c r="H22" s="266">
        <f t="shared" si="16"/>
        <v>293.87097179105825</v>
      </c>
      <c r="I22" s="266">
        <f t="shared" si="0"/>
        <v>168.97580877985848</v>
      </c>
      <c r="J22" s="266">
        <f t="shared" si="0"/>
        <v>124.89516301119976</v>
      </c>
      <c r="K22" s="266">
        <f t="shared" si="0"/>
        <v>95.508065832093919</v>
      </c>
      <c r="L22" s="266">
        <f t="shared" si="0"/>
        <v>73.467742947764563</v>
      </c>
      <c r="M22" s="266">
        <f t="shared" si="0"/>
        <v>80.814517242541029</v>
      </c>
      <c r="O22" s="50">
        <f t="shared" si="17"/>
        <v>2.6375866559999999</v>
      </c>
      <c r="P22" s="50">
        <f t="shared" si="18"/>
        <v>1.5166123271999998</v>
      </c>
      <c r="Q22" s="158">
        <f t="shared" si="19"/>
        <v>1.1209743287999998</v>
      </c>
      <c r="R22" s="50">
        <f t="shared" si="20"/>
        <v>0.85721566319999998</v>
      </c>
      <c r="S22" s="50">
        <f t="shared" si="21"/>
        <v>0.65939666399999997</v>
      </c>
      <c r="T22" s="50">
        <f t="shared" si="22"/>
        <v>0.72533633040000001</v>
      </c>
      <c r="U22" s="87"/>
      <c r="V22" s="266">
        <f t="shared" si="23"/>
        <v>293.87097179105825</v>
      </c>
      <c r="W22" s="266">
        <f t="shared" si="2"/>
        <v>168.97580877985848</v>
      </c>
      <c r="X22" s="266">
        <f t="shared" si="2"/>
        <v>124.89516301119976</v>
      </c>
      <c r="Y22" s="266">
        <f t="shared" si="2"/>
        <v>95.508065832093919</v>
      </c>
      <c r="Z22" s="266">
        <f t="shared" si="2"/>
        <v>73.467742947764563</v>
      </c>
      <c r="AA22" s="266">
        <f t="shared" si="2"/>
        <v>80.814517242541029</v>
      </c>
      <c r="AC22" s="31">
        <f t="shared" si="3"/>
        <v>2.6271846441731239</v>
      </c>
      <c r="AD22" s="31">
        <f t="shared" si="4"/>
        <v>1.5106311703995459</v>
      </c>
      <c r="AE22" s="158">
        <f t="shared" si="5"/>
        <v>1.1165534737735774</v>
      </c>
      <c r="AF22" s="31">
        <f t="shared" si="6"/>
        <v>0.85383500935626511</v>
      </c>
      <c r="AG22" s="31">
        <f t="shared" si="7"/>
        <v>0.65679616104328098</v>
      </c>
      <c r="AH22" s="31">
        <f t="shared" si="8"/>
        <v>0.72247577714760913</v>
      </c>
      <c r="AI22" s="87"/>
      <c r="AJ22" s="266">
        <f t="shared" si="24"/>
        <v>293.87097179105825</v>
      </c>
      <c r="AK22" s="266">
        <f t="shared" si="9"/>
        <v>168.97580877985848</v>
      </c>
      <c r="AL22" s="266">
        <f t="shared" si="9"/>
        <v>124.89516301119976</v>
      </c>
      <c r="AM22" s="266">
        <f t="shared" si="9"/>
        <v>95.508065832093919</v>
      </c>
      <c r="AN22" s="266">
        <f t="shared" si="9"/>
        <v>73.467742947764563</v>
      </c>
      <c r="AO22" s="266">
        <f t="shared" si="9"/>
        <v>80.814517242541029</v>
      </c>
      <c r="AQ22" s="31">
        <f t="shared" si="25"/>
        <v>2.6271846441731239</v>
      </c>
      <c r="AR22" s="31">
        <f t="shared" si="10"/>
        <v>1.5106311703995459</v>
      </c>
      <c r="AS22" s="158">
        <f t="shared" si="11"/>
        <v>1.1165534737735774</v>
      </c>
      <c r="AT22" s="31">
        <f t="shared" si="12"/>
        <v>0.85383500935626511</v>
      </c>
      <c r="AU22" s="31">
        <f t="shared" si="13"/>
        <v>0.65679616104328098</v>
      </c>
      <c r="AV22" s="275">
        <f t="shared" si="14"/>
        <v>0.72247577714760913</v>
      </c>
      <c r="AY22" s="30">
        <f t="shared" si="26"/>
        <v>1.9781899919999999</v>
      </c>
      <c r="AZ22" s="30">
        <f t="shared" si="27"/>
        <v>0.85721566319999987</v>
      </c>
      <c r="BA22" s="30">
        <f t="shared" si="28"/>
        <v>0.46157766479999984</v>
      </c>
      <c r="BB22" s="30">
        <f t="shared" si="29"/>
        <v>0.19781899920000001</v>
      </c>
      <c r="BC22" s="30">
        <f t="shared" si="30"/>
        <v>0</v>
      </c>
      <c r="BD22" s="30">
        <f t="shared" si="31"/>
        <v>6.5939666400000041E-2</v>
      </c>
    </row>
    <row r="23" spans="1:56">
      <c r="A23" s="10">
        <v>2002</v>
      </c>
      <c r="B23" s="9">
        <f>Fig1_future_Kaya!J16</f>
        <v>393788.67300000001</v>
      </c>
      <c r="C23" s="30">
        <f>Fig1_future_Kaya!R16</f>
        <v>22.886139708106437</v>
      </c>
      <c r="D23" s="9">
        <f>Fig1_future_Kaya!AJ16</f>
        <v>0.665410422</v>
      </c>
      <c r="E23" s="9">
        <f>Fig1_future_Kaya!AK16</f>
        <v>0.665410422</v>
      </c>
      <c r="F23" s="9">
        <f>Fig1_future_Kaya!AL16</f>
        <v>0.665410422</v>
      </c>
      <c r="G23" s="9"/>
      <c r="H23" s="266">
        <f t="shared" si="16"/>
        <v>293.87097179105825</v>
      </c>
      <c r="I23" s="266">
        <f t="shared" si="0"/>
        <v>168.97580877985848</v>
      </c>
      <c r="J23" s="266">
        <f t="shared" si="0"/>
        <v>124.89516301119976</v>
      </c>
      <c r="K23" s="266">
        <f t="shared" si="0"/>
        <v>95.508065832093919</v>
      </c>
      <c r="L23" s="266">
        <f t="shared" si="0"/>
        <v>73.467742947764563</v>
      </c>
      <c r="M23" s="266">
        <f t="shared" si="0"/>
        <v>80.814517242541029</v>
      </c>
      <c r="O23" s="50">
        <f t="shared" si="17"/>
        <v>2.661641688</v>
      </c>
      <c r="P23" s="50">
        <f t="shared" si="18"/>
        <v>1.5304439705999999</v>
      </c>
      <c r="Q23" s="158">
        <f t="shared" si="19"/>
        <v>1.1311977174000001</v>
      </c>
      <c r="R23" s="50">
        <f t="shared" si="20"/>
        <v>0.86503354860000004</v>
      </c>
      <c r="S23" s="50">
        <f t="shared" si="21"/>
        <v>0.665410422</v>
      </c>
      <c r="T23" s="50">
        <f t="shared" si="22"/>
        <v>0.73195146420000001</v>
      </c>
      <c r="U23" s="87"/>
      <c r="V23" s="266">
        <f t="shared" si="23"/>
        <v>293.87097179105825</v>
      </c>
      <c r="W23" s="266">
        <f t="shared" si="2"/>
        <v>168.97580877985848</v>
      </c>
      <c r="X23" s="266">
        <f t="shared" si="2"/>
        <v>124.89516301119976</v>
      </c>
      <c r="Y23" s="266">
        <f t="shared" si="2"/>
        <v>95.508065832093919</v>
      </c>
      <c r="Z23" s="266">
        <f t="shared" si="2"/>
        <v>73.467742947764563</v>
      </c>
      <c r="AA23" s="266">
        <f t="shared" si="2"/>
        <v>80.814517242541029</v>
      </c>
      <c r="AC23" s="31">
        <f t="shared" si="3"/>
        <v>2.6484541189487851</v>
      </c>
      <c r="AD23" s="31">
        <f t="shared" si="4"/>
        <v>1.5228611183955514</v>
      </c>
      <c r="AE23" s="158">
        <f t="shared" si="5"/>
        <v>1.125593000553234</v>
      </c>
      <c r="AF23" s="31">
        <f t="shared" si="6"/>
        <v>0.8607475886583551</v>
      </c>
      <c r="AG23" s="31">
        <f t="shared" si="7"/>
        <v>0.66211352973719628</v>
      </c>
      <c r="AH23" s="31">
        <f t="shared" si="8"/>
        <v>0.728324882710916</v>
      </c>
      <c r="AI23" s="87"/>
      <c r="AJ23" s="266">
        <f t="shared" si="24"/>
        <v>293.87097179105825</v>
      </c>
      <c r="AK23" s="266">
        <f t="shared" si="9"/>
        <v>168.97580877985848</v>
      </c>
      <c r="AL23" s="266">
        <f t="shared" si="9"/>
        <v>124.89516301119976</v>
      </c>
      <c r="AM23" s="266">
        <f t="shared" si="9"/>
        <v>95.508065832093919</v>
      </c>
      <c r="AN23" s="266">
        <f t="shared" si="9"/>
        <v>73.467742947764563</v>
      </c>
      <c r="AO23" s="266">
        <f t="shared" si="9"/>
        <v>80.814517242541029</v>
      </c>
      <c r="AQ23" s="31">
        <f t="shared" si="25"/>
        <v>2.6484541189487851</v>
      </c>
      <c r="AR23" s="31">
        <f t="shared" si="10"/>
        <v>1.5228611183955514</v>
      </c>
      <c r="AS23" s="158">
        <f t="shared" si="11"/>
        <v>1.125593000553234</v>
      </c>
      <c r="AT23" s="31">
        <f t="shared" si="12"/>
        <v>0.8607475886583551</v>
      </c>
      <c r="AU23" s="31">
        <f t="shared" si="13"/>
        <v>0.66211352973719628</v>
      </c>
      <c r="AV23" s="275">
        <f t="shared" si="14"/>
        <v>0.728324882710916</v>
      </c>
      <c r="AY23" s="30">
        <f t="shared" si="26"/>
        <v>1.9962312660000001</v>
      </c>
      <c r="AZ23" s="30">
        <f t="shared" si="27"/>
        <v>0.86503354859999992</v>
      </c>
      <c r="BA23" s="30">
        <f t="shared" si="28"/>
        <v>0.46578729540000008</v>
      </c>
      <c r="BB23" s="30">
        <f t="shared" si="29"/>
        <v>0.19962312660000003</v>
      </c>
      <c r="BC23" s="30">
        <f t="shared" si="30"/>
        <v>0</v>
      </c>
      <c r="BD23" s="30">
        <f t="shared" si="31"/>
        <v>6.6541042200000011E-2</v>
      </c>
    </row>
    <row r="24" spans="1:56">
      <c r="A24" s="10">
        <v>2003</v>
      </c>
      <c r="B24" s="9">
        <f>Fig1_future_Kaya!J17</f>
        <v>410151.19900000002</v>
      </c>
      <c r="C24" s="30">
        <f>Fig1_future_Kaya!R17</f>
        <v>21.848733076497489</v>
      </c>
      <c r="D24" s="9">
        <f>Fig1_future_Kaya!AJ17</f>
        <v>0.66125329600000005</v>
      </c>
      <c r="E24" s="9">
        <f>Fig1_future_Kaya!AK17</f>
        <v>0.66125329600000016</v>
      </c>
      <c r="F24" s="9">
        <f>Fig1_future_Kaya!AL17</f>
        <v>0.66125329600000016</v>
      </c>
      <c r="G24" s="9"/>
      <c r="H24" s="266">
        <f t="shared" si="16"/>
        <v>293.87097179105825</v>
      </c>
      <c r="I24" s="266">
        <f t="shared" si="0"/>
        <v>168.97580877985848</v>
      </c>
      <c r="J24" s="266">
        <f t="shared" si="0"/>
        <v>124.89516301119976</v>
      </c>
      <c r="K24" s="266">
        <f t="shared" si="0"/>
        <v>95.508065832093919</v>
      </c>
      <c r="L24" s="266">
        <f t="shared" si="0"/>
        <v>73.467742947764563</v>
      </c>
      <c r="M24" s="266">
        <f t="shared" si="0"/>
        <v>80.814517242541029</v>
      </c>
      <c r="O24" s="50">
        <f t="shared" si="17"/>
        <v>2.6450131840000002</v>
      </c>
      <c r="P24" s="50">
        <f t="shared" si="18"/>
        <v>1.5208825807999999</v>
      </c>
      <c r="Q24" s="158">
        <f t="shared" si="19"/>
        <v>1.1241306032</v>
      </c>
      <c r="R24" s="50">
        <f t="shared" si="20"/>
        <v>0.85962928480000012</v>
      </c>
      <c r="S24" s="50">
        <f t="shared" si="21"/>
        <v>0.66125329600000005</v>
      </c>
      <c r="T24" s="50">
        <f t="shared" si="22"/>
        <v>0.72737862560000011</v>
      </c>
      <c r="U24" s="87"/>
      <c r="V24" s="266">
        <f t="shared" si="23"/>
        <v>293.87097179105825</v>
      </c>
      <c r="W24" s="266">
        <f t="shared" si="2"/>
        <v>168.97580877985848</v>
      </c>
      <c r="X24" s="266">
        <f t="shared" si="2"/>
        <v>124.89516301119976</v>
      </c>
      <c r="Y24" s="266">
        <f t="shared" si="2"/>
        <v>95.508065832093919</v>
      </c>
      <c r="Z24" s="266">
        <f t="shared" si="2"/>
        <v>73.467742947764563</v>
      </c>
      <c r="AA24" s="266">
        <f t="shared" si="2"/>
        <v>80.814517242541029</v>
      </c>
      <c r="AC24" s="31">
        <f t="shared" si="3"/>
        <v>2.6334612575460765</v>
      </c>
      <c r="AD24" s="31">
        <f t="shared" si="4"/>
        <v>1.5142402230889938</v>
      </c>
      <c r="AE24" s="158">
        <f t="shared" si="5"/>
        <v>1.1192210344570825</v>
      </c>
      <c r="AF24" s="31">
        <f t="shared" si="6"/>
        <v>0.85587490870247473</v>
      </c>
      <c r="AG24" s="31">
        <f t="shared" si="7"/>
        <v>0.65836531438651913</v>
      </c>
      <c r="AH24" s="31">
        <f t="shared" si="8"/>
        <v>0.72420184582517111</v>
      </c>
      <c r="AI24" s="87"/>
      <c r="AJ24" s="266">
        <f t="shared" si="24"/>
        <v>293.87097179105825</v>
      </c>
      <c r="AK24" s="266">
        <f t="shared" si="9"/>
        <v>168.97580877985848</v>
      </c>
      <c r="AL24" s="266">
        <f t="shared" si="9"/>
        <v>124.89516301119976</v>
      </c>
      <c r="AM24" s="266">
        <f t="shared" si="9"/>
        <v>95.508065832093919</v>
      </c>
      <c r="AN24" s="266">
        <f t="shared" si="9"/>
        <v>73.467742947764563</v>
      </c>
      <c r="AO24" s="266">
        <f t="shared" si="9"/>
        <v>80.814517242541029</v>
      </c>
      <c r="AQ24" s="31">
        <f t="shared" si="25"/>
        <v>2.6334612575460765</v>
      </c>
      <c r="AR24" s="31">
        <f t="shared" si="10"/>
        <v>1.5142402230889938</v>
      </c>
      <c r="AS24" s="158">
        <f t="shared" si="11"/>
        <v>1.1192210344570825</v>
      </c>
      <c r="AT24" s="31">
        <f t="shared" si="12"/>
        <v>0.85587490870247473</v>
      </c>
      <c r="AU24" s="31">
        <f t="shared" si="13"/>
        <v>0.65836531438651913</v>
      </c>
      <c r="AV24" s="275">
        <f t="shared" si="14"/>
        <v>0.72420184582517111</v>
      </c>
      <c r="AY24" s="30">
        <f t="shared" si="26"/>
        <v>1.9837598880000002</v>
      </c>
      <c r="AZ24" s="30">
        <f t="shared" si="27"/>
        <v>0.85962928479999989</v>
      </c>
      <c r="BA24" s="30">
        <f t="shared" si="28"/>
        <v>0.46287730719999998</v>
      </c>
      <c r="BB24" s="30">
        <f t="shared" si="29"/>
        <v>0.19837598880000007</v>
      </c>
      <c r="BC24" s="30">
        <f t="shared" si="30"/>
        <v>0</v>
      </c>
      <c r="BD24" s="30">
        <f t="shared" si="31"/>
        <v>6.612532960000006E-2</v>
      </c>
    </row>
    <row r="25" spans="1:56">
      <c r="A25" s="10">
        <v>2004</v>
      </c>
      <c r="B25" s="9">
        <f>Fig1_future_Kaya!J18</f>
        <v>462087.94</v>
      </c>
      <c r="C25" s="30">
        <f>Fig1_future_Kaya!R18</f>
        <v>20.631340903864153</v>
      </c>
      <c r="D25" s="9">
        <f>Fig1_future_Kaya!AJ18</f>
        <v>0.70393088600000009</v>
      </c>
      <c r="E25" s="9">
        <f>Fig1_future_Kaya!AK18</f>
        <v>0.70393088599999998</v>
      </c>
      <c r="F25" s="9">
        <f>Fig1_future_Kaya!AL18</f>
        <v>0.70393088599999998</v>
      </c>
      <c r="G25" s="9"/>
      <c r="H25" s="266">
        <f t="shared" si="16"/>
        <v>293.87097179105825</v>
      </c>
      <c r="I25" s="266">
        <f t="shared" si="0"/>
        <v>168.97580877985848</v>
      </c>
      <c r="J25" s="266">
        <f t="shared" si="0"/>
        <v>124.89516301119976</v>
      </c>
      <c r="K25" s="266">
        <f t="shared" si="0"/>
        <v>95.508065832093919</v>
      </c>
      <c r="L25" s="266">
        <f t="shared" si="0"/>
        <v>73.467742947764563</v>
      </c>
      <c r="M25" s="266">
        <f t="shared" si="0"/>
        <v>80.814517242541029</v>
      </c>
      <c r="O25" s="50">
        <f t="shared" si="17"/>
        <v>2.8157235440000004</v>
      </c>
      <c r="P25" s="50">
        <f t="shared" si="18"/>
        <v>1.6190410378</v>
      </c>
      <c r="Q25" s="158">
        <f t="shared" si="19"/>
        <v>1.1966825062000002</v>
      </c>
      <c r="R25" s="50">
        <f t="shared" si="20"/>
        <v>0.9151101518000001</v>
      </c>
      <c r="S25" s="50">
        <f t="shared" si="21"/>
        <v>0.70393088600000009</v>
      </c>
      <c r="T25" s="50">
        <f t="shared" si="22"/>
        <v>0.77432397460000013</v>
      </c>
      <c r="U25" s="87"/>
      <c r="V25" s="266">
        <f t="shared" si="23"/>
        <v>293.87097179105825</v>
      </c>
      <c r="W25" s="266">
        <f t="shared" si="2"/>
        <v>168.97580877985848</v>
      </c>
      <c r="X25" s="266">
        <f t="shared" si="2"/>
        <v>124.89516301119976</v>
      </c>
      <c r="Y25" s="266">
        <f t="shared" si="2"/>
        <v>95.508065832093919</v>
      </c>
      <c r="Z25" s="266">
        <f t="shared" si="2"/>
        <v>73.467742947764563</v>
      </c>
      <c r="AA25" s="266">
        <f t="shared" si="2"/>
        <v>80.814517242541029</v>
      </c>
      <c r="AC25" s="31">
        <f t="shared" si="3"/>
        <v>2.8016170927728159</v>
      </c>
      <c r="AD25" s="31">
        <f t="shared" si="4"/>
        <v>1.6109298283443689</v>
      </c>
      <c r="AE25" s="158">
        <f t="shared" si="5"/>
        <v>1.1906872644284465</v>
      </c>
      <c r="AF25" s="31">
        <f t="shared" si="6"/>
        <v>0.91052555515116484</v>
      </c>
      <c r="AG25" s="31">
        <f t="shared" si="7"/>
        <v>0.70040427319320397</v>
      </c>
      <c r="AH25" s="31">
        <f t="shared" si="8"/>
        <v>0.77044470051252434</v>
      </c>
      <c r="AI25" s="87"/>
      <c r="AJ25" s="266">
        <f t="shared" si="24"/>
        <v>293.87097179105825</v>
      </c>
      <c r="AK25" s="266">
        <f t="shared" si="9"/>
        <v>168.97580877985848</v>
      </c>
      <c r="AL25" s="266">
        <f t="shared" si="9"/>
        <v>124.89516301119976</v>
      </c>
      <c r="AM25" s="266">
        <f t="shared" si="9"/>
        <v>95.508065832093919</v>
      </c>
      <c r="AN25" s="266">
        <f t="shared" si="9"/>
        <v>73.467742947764563</v>
      </c>
      <c r="AO25" s="266">
        <f t="shared" si="9"/>
        <v>80.814517242541029</v>
      </c>
      <c r="AQ25" s="31">
        <f t="shared" si="25"/>
        <v>2.8016170927728159</v>
      </c>
      <c r="AR25" s="31">
        <f t="shared" si="10"/>
        <v>1.6109298283443689</v>
      </c>
      <c r="AS25" s="158">
        <f t="shared" si="11"/>
        <v>1.1906872644284465</v>
      </c>
      <c r="AT25" s="31">
        <f t="shared" si="12"/>
        <v>0.91052555515116484</v>
      </c>
      <c r="AU25" s="31">
        <f t="shared" si="13"/>
        <v>0.70040427319320397</v>
      </c>
      <c r="AV25" s="275">
        <f t="shared" si="14"/>
        <v>0.77044470051252434</v>
      </c>
      <c r="AY25" s="30">
        <f t="shared" si="26"/>
        <v>2.1117926580000002</v>
      </c>
      <c r="AZ25" s="30">
        <f t="shared" si="27"/>
        <v>0.91511015179999988</v>
      </c>
      <c r="BA25" s="30">
        <f t="shared" si="28"/>
        <v>0.49275162020000007</v>
      </c>
      <c r="BB25" s="30">
        <f t="shared" si="29"/>
        <v>0.21117926580000002</v>
      </c>
      <c r="BC25" s="30">
        <f t="shared" si="30"/>
        <v>0</v>
      </c>
      <c r="BD25" s="30">
        <f t="shared" si="31"/>
        <v>7.0393088600000042E-2</v>
      </c>
    </row>
    <row r="26" spans="1:56">
      <c r="A26" s="10">
        <v>2005</v>
      </c>
      <c r="B26" s="9">
        <f>Fig1_future_Kaya!J19</f>
        <v>490665.603</v>
      </c>
      <c r="C26" s="30">
        <f>Fig1_future_Kaya!R19</f>
        <v>20.284318316323407</v>
      </c>
      <c r="D26" s="9">
        <f>Fig1_future_Kaya!AJ19</f>
        <v>0.73205280799999994</v>
      </c>
      <c r="E26" s="9">
        <f>Fig1_future_Kaya!AK19</f>
        <v>0.73205280799999983</v>
      </c>
      <c r="F26" s="9">
        <f>Fig1_future_Kaya!AL19</f>
        <v>0.73205280799999983</v>
      </c>
      <c r="G26" s="9"/>
      <c r="H26" s="266">
        <f t="shared" si="16"/>
        <v>293.87097179105825</v>
      </c>
      <c r="I26" s="266">
        <f t="shared" si="0"/>
        <v>168.97580877985848</v>
      </c>
      <c r="J26" s="266">
        <f t="shared" si="0"/>
        <v>124.89516301119976</v>
      </c>
      <c r="K26" s="266">
        <f t="shared" si="0"/>
        <v>95.508065832093919</v>
      </c>
      <c r="L26" s="266">
        <f t="shared" si="0"/>
        <v>73.467742947764563</v>
      </c>
      <c r="M26" s="266">
        <f t="shared" si="0"/>
        <v>80.814517242541029</v>
      </c>
      <c r="O26" s="50">
        <f t="shared" si="17"/>
        <v>2.9282112319999998</v>
      </c>
      <c r="P26" s="50">
        <f t="shared" si="18"/>
        <v>1.6837214583999998</v>
      </c>
      <c r="Q26" s="158">
        <f t="shared" si="19"/>
        <v>1.2444897735999998</v>
      </c>
      <c r="R26" s="50">
        <f t="shared" si="20"/>
        <v>0.95166865039999993</v>
      </c>
      <c r="S26" s="50">
        <f t="shared" si="21"/>
        <v>0.73205280799999994</v>
      </c>
      <c r="T26" s="50">
        <f t="shared" si="22"/>
        <v>0.80525808880000005</v>
      </c>
      <c r="U26" s="87"/>
      <c r="V26" s="266">
        <f t="shared" si="23"/>
        <v>293.87097179105825</v>
      </c>
      <c r="W26" s="266">
        <f t="shared" si="2"/>
        <v>168.97580877985848</v>
      </c>
      <c r="X26" s="266">
        <f t="shared" si="2"/>
        <v>124.89516301119976</v>
      </c>
      <c r="Y26" s="266">
        <f t="shared" si="2"/>
        <v>95.508065832093919</v>
      </c>
      <c r="Z26" s="266">
        <f t="shared" si="2"/>
        <v>73.467742947764563</v>
      </c>
      <c r="AA26" s="266">
        <f t="shared" si="2"/>
        <v>80.814517242541029</v>
      </c>
      <c r="AC26" s="31">
        <f t="shared" si="3"/>
        <v>2.9248440855807738</v>
      </c>
      <c r="AD26" s="31">
        <f t="shared" si="4"/>
        <v>1.6817853492089447</v>
      </c>
      <c r="AE26" s="158">
        <f t="shared" si="5"/>
        <v>1.2430587363718288</v>
      </c>
      <c r="AF26" s="31">
        <f t="shared" si="6"/>
        <v>0.95057432781375129</v>
      </c>
      <c r="AG26" s="31">
        <f t="shared" si="7"/>
        <v>0.73121102139519345</v>
      </c>
      <c r="AH26" s="31">
        <f t="shared" si="8"/>
        <v>0.80433212353471284</v>
      </c>
      <c r="AI26" s="87"/>
      <c r="AJ26" s="266">
        <f t="shared" si="24"/>
        <v>293.87097179105825</v>
      </c>
      <c r="AK26" s="266">
        <f t="shared" si="9"/>
        <v>168.97580877985848</v>
      </c>
      <c r="AL26" s="266">
        <f t="shared" si="9"/>
        <v>124.89516301119976</v>
      </c>
      <c r="AM26" s="266">
        <f t="shared" si="9"/>
        <v>95.508065832093919</v>
      </c>
      <c r="AN26" s="266">
        <f t="shared" si="9"/>
        <v>73.467742947764563</v>
      </c>
      <c r="AO26" s="266">
        <f t="shared" si="9"/>
        <v>80.814517242541029</v>
      </c>
      <c r="AQ26" s="31">
        <f t="shared" si="25"/>
        <v>2.9248440855807738</v>
      </c>
      <c r="AR26" s="31">
        <f t="shared" si="10"/>
        <v>1.6817853492089447</v>
      </c>
      <c r="AS26" s="158">
        <f t="shared" si="11"/>
        <v>1.2430587363718288</v>
      </c>
      <c r="AT26" s="31">
        <f t="shared" si="12"/>
        <v>0.95057432781375129</v>
      </c>
      <c r="AU26" s="31">
        <f t="shared" si="13"/>
        <v>0.73121102139519345</v>
      </c>
      <c r="AV26" s="275">
        <f t="shared" si="14"/>
        <v>0.80433212353471284</v>
      </c>
      <c r="AY26" s="30">
        <f t="shared" si="26"/>
        <v>2.1961584240000001</v>
      </c>
      <c r="AZ26" s="30">
        <f t="shared" si="27"/>
        <v>0.95166865039999982</v>
      </c>
      <c r="BA26" s="30">
        <f t="shared" si="28"/>
        <v>0.51243696559999985</v>
      </c>
      <c r="BB26" s="30">
        <f t="shared" si="29"/>
        <v>0.21961584239999998</v>
      </c>
      <c r="BC26" s="30">
        <f t="shared" si="30"/>
        <v>0</v>
      </c>
      <c r="BD26" s="30">
        <f t="shared" si="31"/>
        <v>7.3205280800000105E-2</v>
      </c>
    </row>
    <row r="27" spans="1:56">
      <c r="A27" s="10">
        <v>2006</v>
      </c>
      <c r="B27" s="9">
        <f>Fig1_future_Kaya!J20</f>
        <v>520142.60399999999</v>
      </c>
      <c r="C27" s="30">
        <f>Fig1_future_Kaya!R20</f>
        <v>19.352307452012091</v>
      </c>
      <c r="D27" s="9">
        <f>Fig1_future_Kaya!AJ20</f>
        <v>0.74087568299999995</v>
      </c>
      <c r="E27" s="9">
        <f>Fig1_future_Kaya!AK20</f>
        <v>0.74087568299999984</v>
      </c>
      <c r="F27" s="9">
        <f>Fig1_future_Kaya!AL20</f>
        <v>0.74087568299999984</v>
      </c>
      <c r="G27" s="9"/>
      <c r="H27" s="266">
        <f t="shared" si="16"/>
        <v>293.87097179105825</v>
      </c>
      <c r="I27" s="266">
        <f t="shared" si="16"/>
        <v>168.97580877985848</v>
      </c>
      <c r="J27" s="266">
        <f t="shared" si="16"/>
        <v>124.89516301119976</v>
      </c>
      <c r="K27" s="266">
        <f t="shared" si="16"/>
        <v>95.508065832093919</v>
      </c>
      <c r="L27" s="266">
        <f t="shared" si="16"/>
        <v>73.467742947764563</v>
      </c>
      <c r="M27" s="266">
        <f t="shared" si="16"/>
        <v>80.814517242541029</v>
      </c>
      <c r="O27" s="50">
        <f t="shared" si="17"/>
        <v>2.9635027319999998</v>
      </c>
      <c r="P27" s="50">
        <f t="shared" ref="P27:P42" si="32">$D27*C$4</f>
        <v>1.7040140708999998</v>
      </c>
      <c r="Q27" s="158">
        <f t="shared" ref="Q27:Q42" si="33">$D27*D$4</f>
        <v>1.2594886610999998</v>
      </c>
      <c r="R27" s="50">
        <f t="shared" ref="R27:R42" si="34">$D27*E$4</f>
        <v>0.96313838789999995</v>
      </c>
      <c r="S27" s="50">
        <f t="shared" ref="S27:S42" si="35">$D27*F$4</f>
        <v>0.74087568299999995</v>
      </c>
      <c r="T27" s="50">
        <f t="shared" ref="T27:T42" si="36">$D27*G$4</f>
        <v>0.81496325130000002</v>
      </c>
      <c r="U27" s="87"/>
      <c r="V27" s="266">
        <f t="shared" si="23"/>
        <v>293.87097179105825</v>
      </c>
      <c r="W27" s="266">
        <f t="shared" si="23"/>
        <v>168.97580877985848</v>
      </c>
      <c r="X27" s="266">
        <f t="shared" si="23"/>
        <v>124.89516301119976</v>
      </c>
      <c r="Y27" s="266">
        <f t="shared" si="23"/>
        <v>95.508065832093919</v>
      </c>
      <c r="Z27" s="266">
        <f t="shared" si="23"/>
        <v>73.467742947764563</v>
      </c>
      <c r="AA27" s="266">
        <f t="shared" si="23"/>
        <v>80.814517242541029</v>
      </c>
      <c r="AC27" s="31">
        <f t="shared" si="3"/>
        <v>2.958093327163092</v>
      </c>
      <c r="AD27" s="31">
        <f t="shared" si="4"/>
        <v>1.7009036631187777</v>
      </c>
      <c r="AE27" s="158">
        <f t="shared" si="5"/>
        <v>1.2571896640443141</v>
      </c>
      <c r="AF27" s="31">
        <f t="shared" si="6"/>
        <v>0.96138033132800482</v>
      </c>
      <c r="AG27" s="31">
        <f t="shared" si="7"/>
        <v>0.73952333179077301</v>
      </c>
      <c r="AH27" s="31">
        <f t="shared" si="8"/>
        <v>0.81347566496985046</v>
      </c>
      <c r="AI27" s="87"/>
      <c r="AJ27" s="266">
        <f t="shared" si="24"/>
        <v>293.87097179105825</v>
      </c>
      <c r="AK27" s="266">
        <f t="shared" si="24"/>
        <v>168.97580877985848</v>
      </c>
      <c r="AL27" s="266">
        <f t="shared" si="24"/>
        <v>124.89516301119976</v>
      </c>
      <c r="AM27" s="266">
        <f t="shared" si="24"/>
        <v>95.508065832093919</v>
      </c>
      <c r="AN27" s="266">
        <f t="shared" si="24"/>
        <v>73.467742947764563</v>
      </c>
      <c r="AO27" s="266">
        <f t="shared" si="24"/>
        <v>80.814517242541029</v>
      </c>
      <c r="AQ27" s="31">
        <f t="shared" si="25"/>
        <v>2.958093327163092</v>
      </c>
      <c r="AR27" s="31">
        <f t="shared" si="10"/>
        <v>1.7009036631187777</v>
      </c>
      <c r="AS27" s="158">
        <f t="shared" si="11"/>
        <v>1.2571896640443141</v>
      </c>
      <c r="AT27" s="31">
        <f t="shared" si="12"/>
        <v>0.96138033132800482</v>
      </c>
      <c r="AU27" s="31">
        <f t="shared" si="13"/>
        <v>0.73952333179077301</v>
      </c>
      <c r="AV27" s="275">
        <f t="shared" si="14"/>
        <v>0.81347566496985046</v>
      </c>
      <c r="AY27" s="30">
        <f t="shared" si="26"/>
        <v>2.2226270489999997</v>
      </c>
      <c r="AZ27" s="30">
        <f t="shared" si="27"/>
        <v>0.96313838789999984</v>
      </c>
      <c r="BA27" s="30">
        <f t="shared" si="28"/>
        <v>0.51861297809999984</v>
      </c>
      <c r="BB27" s="30">
        <f t="shared" si="29"/>
        <v>0.2222627049</v>
      </c>
      <c r="BC27" s="30">
        <f t="shared" si="30"/>
        <v>0</v>
      </c>
      <c r="BD27" s="30">
        <f t="shared" si="31"/>
        <v>7.4087568300000073E-2</v>
      </c>
    </row>
    <row r="28" spans="1:56">
      <c r="A28" s="10">
        <v>2007</v>
      </c>
      <c r="B28" s="9">
        <f>Fig1_future_Kaya!J21</f>
        <v>555537.946</v>
      </c>
      <c r="C28" s="30">
        <f>Fig1_future_Kaya!R21</f>
        <v>18.610761903543839</v>
      </c>
      <c r="D28" s="9">
        <f>Fig1_future_Kaya!AJ21</f>
        <v>0.75977471099999994</v>
      </c>
      <c r="E28" s="9">
        <f>Fig1_future_Kaya!AK21</f>
        <v>0.75977471099999971</v>
      </c>
      <c r="F28" s="9">
        <f>Fig1_future_Kaya!AL21</f>
        <v>0.75977471099999971</v>
      </c>
      <c r="G28" s="9"/>
      <c r="H28" s="266">
        <f t="shared" si="16"/>
        <v>293.87097179105825</v>
      </c>
      <c r="I28" s="266">
        <f t="shared" si="16"/>
        <v>168.97580877985848</v>
      </c>
      <c r="J28" s="266">
        <f t="shared" si="16"/>
        <v>124.89516301119976</v>
      </c>
      <c r="K28" s="266">
        <f t="shared" si="16"/>
        <v>95.508065832093919</v>
      </c>
      <c r="L28" s="266">
        <f t="shared" si="16"/>
        <v>73.467742947764563</v>
      </c>
      <c r="M28" s="266">
        <f t="shared" si="16"/>
        <v>80.814517242541029</v>
      </c>
      <c r="O28" s="50">
        <f t="shared" si="17"/>
        <v>3.0390988439999997</v>
      </c>
      <c r="P28" s="50">
        <f t="shared" si="32"/>
        <v>1.7474818352999997</v>
      </c>
      <c r="Q28" s="158">
        <f t="shared" si="33"/>
        <v>1.2916170086999998</v>
      </c>
      <c r="R28" s="50">
        <f t="shared" si="34"/>
        <v>0.98770712429999996</v>
      </c>
      <c r="S28" s="50">
        <f t="shared" si="35"/>
        <v>0.75977471099999994</v>
      </c>
      <c r="T28" s="50">
        <f t="shared" si="36"/>
        <v>0.83575218210000002</v>
      </c>
      <c r="U28" s="87"/>
      <c r="V28" s="266">
        <f t="shared" si="23"/>
        <v>293.87097179105825</v>
      </c>
      <c r="W28" s="266">
        <f t="shared" si="23"/>
        <v>168.97580877985848</v>
      </c>
      <c r="X28" s="266">
        <f t="shared" si="23"/>
        <v>124.89516301119976</v>
      </c>
      <c r="Y28" s="266">
        <f t="shared" si="23"/>
        <v>95.508065832093919</v>
      </c>
      <c r="Z28" s="266">
        <f t="shared" si="23"/>
        <v>73.467742947764563</v>
      </c>
      <c r="AA28" s="266">
        <f t="shared" si="23"/>
        <v>80.814517242541029</v>
      </c>
      <c r="AC28" s="31">
        <f t="shared" si="3"/>
        <v>3.0383274051238502</v>
      </c>
      <c r="AD28" s="31">
        <f t="shared" si="4"/>
        <v>1.7470382579462138</v>
      </c>
      <c r="AE28" s="158">
        <f t="shared" si="5"/>
        <v>1.2912891471776364</v>
      </c>
      <c r="AF28" s="31">
        <f t="shared" si="6"/>
        <v>0.98745640666525114</v>
      </c>
      <c r="AG28" s="31">
        <f t="shared" si="7"/>
        <v>0.75958185128096256</v>
      </c>
      <c r="AH28" s="31">
        <f t="shared" si="8"/>
        <v>0.83554003640905894</v>
      </c>
      <c r="AI28" s="87"/>
      <c r="AJ28" s="266">
        <f t="shared" si="24"/>
        <v>293.87097179105825</v>
      </c>
      <c r="AK28" s="266">
        <f t="shared" si="24"/>
        <v>168.97580877985848</v>
      </c>
      <c r="AL28" s="266">
        <f t="shared" si="24"/>
        <v>124.89516301119976</v>
      </c>
      <c r="AM28" s="266">
        <f t="shared" si="24"/>
        <v>95.508065832093919</v>
      </c>
      <c r="AN28" s="266">
        <f t="shared" si="24"/>
        <v>73.467742947764563</v>
      </c>
      <c r="AO28" s="266">
        <f t="shared" si="24"/>
        <v>80.814517242541029</v>
      </c>
      <c r="AQ28" s="31">
        <f t="shared" si="25"/>
        <v>3.0383274051238502</v>
      </c>
      <c r="AR28" s="31">
        <f t="shared" si="10"/>
        <v>1.7470382579462138</v>
      </c>
      <c r="AS28" s="158">
        <f t="shared" si="11"/>
        <v>1.2912891471776364</v>
      </c>
      <c r="AT28" s="31">
        <f t="shared" si="12"/>
        <v>0.98745640666525114</v>
      </c>
      <c r="AU28" s="31">
        <f t="shared" si="13"/>
        <v>0.75958185128096256</v>
      </c>
      <c r="AV28" s="275">
        <f t="shared" si="14"/>
        <v>0.83554003640905894</v>
      </c>
      <c r="AY28" s="30">
        <f t="shared" si="26"/>
        <v>2.2793241329999998</v>
      </c>
      <c r="AZ28" s="30">
        <f t="shared" si="27"/>
        <v>0.98770712429999974</v>
      </c>
      <c r="BA28" s="30">
        <f t="shared" si="28"/>
        <v>0.53184229769999991</v>
      </c>
      <c r="BB28" s="30">
        <f t="shared" si="29"/>
        <v>0.22793241330000003</v>
      </c>
      <c r="BC28" s="30">
        <f t="shared" si="30"/>
        <v>0</v>
      </c>
      <c r="BD28" s="30">
        <f t="shared" si="31"/>
        <v>7.5977471100000082E-2</v>
      </c>
    </row>
    <row r="29" spans="1:56">
      <c r="A29" s="10">
        <v>2008</v>
      </c>
      <c r="B29" s="9">
        <f>Fig1_future_Kaya!J22</f>
        <v>561363.87400000007</v>
      </c>
      <c r="C29" s="30">
        <f>Fig1_future_Kaya!R22</f>
        <v>18.193789300259677</v>
      </c>
      <c r="D29" s="9">
        <f>Fig1_future_Kaya!AJ22</f>
        <v>0.75256760900000008</v>
      </c>
      <c r="E29" s="9">
        <f>Fig1_future_Kaya!AK22</f>
        <v>0.75256760899999997</v>
      </c>
      <c r="F29" s="9">
        <f>Fig1_future_Kaya!AL22</f>
        <v>0.75256760899999997</v>
      </c>
      <c r="G29" s="9"/>
      <c r="H29" s="266">
        <f t="shared" si="16"/>
        <v>293.87097179105825</v>
      </c>
      <c r="I29" s="266">
        <f t="shared" si="16"/>
        <v>168.97580877985848</v>
      </c>
      <c r="J29" s="266">
        <f t="shared" si="16"/>
        <v>124.89516301119976</v>
      </c>
      <c r="K29" s="266">
        <f t="shared" si="16"/>
        <v>95.508065832093919</v>
      </c>
      <c r="L29" s="266">
        <f t="shared" si="16"/>
        <v>73.467742947764563</v>
      </c>
      <c r="M29" s="266">
        <f t="shared" si="16"/>
        <v>80.814517242541029</v>
      </c>
      <c r="O29" s="50">
        <f t="shared" si="17"/>
        <v>3.0102704360000003</v>
      </c>
      <c r="P29" s="50">
        <f t="shared" si="32"/>
        <v>1.7309055007</v>
      </c>
      <c r="Q29" s="158">
        <f t="shared" si="33"/>
        <v>1.2793649353000001</v>
      </c>
      <c r="R29" s="50">
        <f t="shared" si="34"/>
        <v>0.97833789170000018</v>
      </c>
      <c r="S29" s="50">
        <f t="shared" si="35"/>
        <v>0.75256760900000008</v>
      </c>
      <c r="T29" s="50">
        <f t="shared" si="36"/>
        <v>0.82782436990000019</v>
      </c>
      <c r="U29" s="87"/>
      <c r="V29" s="266">
        <f t="shared" si="23"/>
        <v>293.87097179105825</v>
      </c>
      <c r="W29" s="266">
        <f t="shared" si="23"/>
        <v>168.97580877985848</v>
      </c>
      <c r="X29" s="266">
        <f t="shared" si="23"/>
        <v>124.89516301119976</v>
      </c>
      <c r="Y29" s="266">
        <f t="shared" si="23"/>
        <v>95.508065832093919</v>
      </c>
      <c r="Z29" s="266">
        <f t="shared" si="23"/>
        <v>73.467742947764563</v>
      </c>
      <c r="AA29" s="266">
        <f t="shared" si="23"/>
        <v>80.814517242541029</v>
      </c>
      <c r="AC29" s="31">
        <f t="shared" si="3"/>
        <v>3.0014029885769351</v>
      </c>
      <c r="AD29" s="31">
        <f t="shared" si="4"/>
        <v>1.7258067184317376</v>
      </c>
      <c r="AE29" s="158">
        <f t="shared" si="5"/>
        <v>1.2755962701451975</v>
      </c>
      <c r="AF29" s="31">
        <f t="shared" si="6"/>
        <v>0.97545597128750383</v>
      </c>
      <c r="AG29" s="31">
        <f t="shared" si="7"/>
        <v>0.75035074714423378</v>
      </c>
      <c r="AH29" s="31">
        <f t="shared" si="8"/>
        <v>0.82538582185865728</v>
      </c>
      <c r="AI29" s="87"/>
      <c r="AJ29" s="266">
        <f t="shared" si="24"/>
        <v>293.87097179105825</v>
      </c>
      <c r="AK29" s="266">
        <f t="shared" si="24"/>
        <v>168.97580877985848</v>
      </c>
      <c r="AL29" s="266">
        <f t="shared" si="24"/>
        <v>124.89516301119976</v>
      </c>
      <c r="AM29" s="266">
        <f t="shared" si="24"/>
        <v>95.508065832093919</v>
      </c>
      <c r="AN29" s="266">
        <f t="shared" si="24"/>
        <v>73.467742947764563</v>
      </c>
      <c r="AO29" s="266">
        <f t="shared" si="24"/>
        <v>80.814517242541029</v>
      </c>
      <c r="AQ29" s="31">
        <f t="shared" si="25"/>
        <v>3.0014029885769351</v>
      </c>
      <c r="AR29" s="31">
        <f t="shared" si="10"/>
        <v>1.7258067184317376</v>
      </c>
      <c r="AS29" s="158">
        <f t="shared" si="11"/>
        <v>1.2755962701451975</v>
      </c>
      <c r="AT29" s="31">
        <f t="shared" si="12"/>
        <v>0.97545597128750383</v>
      </c>
      <c r="AU29" s="31">
        <f t="shared" si="13"/>
        <v>0.75035074714423378</v>
      </c>
      <c r="AV29" s="275">
        <f t="shared" si="14"/>
        <v>0.82538582185865728</v>
      </c>
      <c r="AY29" s="30">
        <f t="shared" si="26"/>
        <v>2.2577028270000001</v>
      </c>
      <c r="AZ29" s="30">
        <f t="shared" si="27"/>
        <v>0.97833789169999996</v>
      </c>
      <c r="BA29" s="30">
        <f t="shared" si="28"/>
        <v>0.52679732629999998</v>
      </c>
      <c r="BB29" s="30">
        <f t="shared" si="29"/>
        <v>0.2257702827000001</v>
      </c>
      <c r="BC29" s="30">
        <f t="shared" si="30"/>
        <v>0</v>
      </c>
      <c r="BD29" s="30">
        <f t="shared" si="31"/>
        <v>7.5256760900000108E-2</v>
      </c>
    </row>
    <row r="30" spans="1:56">
      <c r="A30" s="10">
        <v>2009</v>
      </c>
      <c r="B30" s="9">
        <f>Fig1_future_Kaya!J23</f>
        <v>579816.34365439601</v>
      </c>
      <c r="C30" s="30">
        <f>Fig1_future_Kaya!R23</f>
        <v>16.72422930113062</v>
      </c>
      <c r="D30" s="9">
        <f>Fig1_future_Kaya!AJ23</f>
        <v>0.71209145900000004</v>
      </c>
      <c r="E30" s="9">
        <f>Fig1_future_Kaya!AK23</f>
        <v>0.71209145899999993</v>
      </c>
      <c r="F30" s="9">
        <f>Fig1_future_Kaya!AL23</f>
        <v>0.71209145899999993</v>
      </c>
      <c r="G30" s="9"/>
      <c r="H30" s="266">
        <f t="shared" si="16"/>
        <v>293.87097179105825</v>
      </c>
      <c r="I30" s="266">
        <f t="shared" si="16"/>
        <v>168.97580877985848</v>
      </c>
      <c r="J30" s="266">
        <f t="shared" si="16"/>
        <v>124.89516301119976</v>
      </c>
      <c r="K30" s="266">
        <f t="shared" si="16"/>
        <v>95.508065832093919</v>
      </c>
      <c r="L30" s="266">
        <f t="shared" si="16"/>
        <v>73.467742947764563</v>
      </c>
      <c r="M30" s="266">
        <f t="shared" si="16"/>
        <v>80.814517242541029</v>
      </c>
      <c r="O30" s="50">
        <f t="shared" si="17"/>
        <v>2.8483658360000002</v>
      </c>
      <c r="P30" s="50">
        <f t="shared" si="32"/>
        <v>1.6378103556999999</v>
      </c>
      <c r="Q30" s="158">
        <f t="shared" si="33"/>
        <v>1.2105554803</v>
      </c>
      <c r="R30" s="50">
        <f t="shared" si="34"/>
        <v>0.92571889670000007</v>
      </c>
      <c r="S30" s="50">
        <f t="shared" si="35"/>
        <v>0.71209145900000004</v>
      </c>
      <c r="T30" s="50">
        <f t="shared" si="36"/>
        <v>0.78330060490000009</v>
      </c>
      <c r="U30" s="87"/>
      <c r="V30" s="266">
        <f t="shared" si="23"/>
        <v>293.87097179105825</v>
      </c>
      <c r="W30" s="266">
        <f t="shared" si="23"/>
        <v>168.97580877985848</v>
      </c>
      <c r="X30" s="266">
        <f t="shared" si="23"/>
        <v>124.89516301119976</v>
      </c>
      <c r="Y30" s="266">
        <f t="shared" si="23"/>
        <v>95.508065832093919</v>
      </c>
      <c r="Z30" s="266">
        <f t="shared" si="23"/>
        <v>73.467742947764563</v>
      </c>
      <c r="AA30" s="266">
        <f t="shared" si="23"/>
        <v>80.814517242541029</v>
      </c>
      <c r="AC30" s="31">
        <f t="shared" si="3"/>
        <v>2.8496613720898671</v>
      </c>
      <c r="AD30" s="31">
        <f t="shared" si="4"/>
        <v>1.6385552889516735</v>
      </c>
      <c r="AE30" s="158">
        <f t="shared" si="5"/>
        <v>1.2111060831381935</v>
      </c>
      <c r="AF30" s="31">
        <f t="shared" si="6"/>
        <v>0.92613994592920657</v>
      </c>
      <c r="AG30" s="31">
        <f t="shared" si="7"/>
        <v>0.71241534302246678</v>
      </c>
      <c r="AH30" s="31">
        <f t="shared" si="8"/>
        <v>0.78365687732471356</v>
      </c>
      <c r="AI30" s="87"/>
      <c r="AJ30" s="266">
        <f t="shared" si="24"/>
        <v>293.87097179105825</v>
      </c>
      <c r="AK30" s="266">
        <f t="shared" si="24"/>
        <v>168.97580877985848</v>
      </c>
      <c r="AL30" s="266">
        <f t="shared" si="24"/>
        <v>124.89516301119976</v>
      </c>
      <c r="AM30" s="266">
        <f t="shared" si="24"/>
        <v>95.508065832093919</v>
      </c>
      <c r="AN30" s="266">
        <f t="shared" si="24"/>
        <v>73.467742947764563</v>
      </c>
      <c r="AO30" s="266">
        <f t="shared" si="24"/>
        <v>80.814517242541029</v>
      </c>
      <c r="AQ30" s="31">
        <f t="shared" si="25"/>
        <v>2.8496613720898671</v>
      </c>
      <c r="AR30" s="31">
        <f t="shared" si="10"/>
        <v>1.6385552889516735</v>
      </c>
      <c r="AS30" s="158">
        <f t="shared" si="11"/>
        <v>1.2111060831381935</v>
      </c>
      <c r="AT30" s="31">
        <f t="shared" si="12"/>
        <v>0.92613994592920657</v>
      </c>
      <c r="AU30" s="31">
        <f t="shared" si="13"/>
        <v>0.71241534302246678</v>
      </c>
      <c r="AV30" s="275">
        <f t="shared" si="14"/>
        <v>0.78365687732471356</v>
      </c>
      <c r="AY30" s="30">
        <f t="shared" si="26"/>
        <v>2.1362743770000003</v>
      </c>
      <c r="AZ30" s="30">
        <f t="shared" si="27"/>
        <v>0.92571889669999985</v>
      </c>
      <c r="BA30" s="30">
        <f t="shared" si="28"/>
        <v>0.4984640213</v>
      </c>
      <c r="BB30" s="30">
        <f t="shared" si="29"/>
        <v>0.21362743770000003</v>
      </c>
      <c r="BC30" s="30">
        <f t="shared" si="30"/>
        <v>0</v>
      </c>
      <c r="BD30" s="30">
        <f t="shared" si="31"/>
        <v>7.1209145900000048E-2</v>
      </c>
    </row>
    <row r="31" spans="1:56">
      <c r="A31" s="10">
        <v>2010</v>
      </c>
      <c r="B31" s="9">
        <f>Fig1_future_Kaya!J24</f>
        <v>625062.68707797001</v>
      </c>
      <c r="C31" s="30">
        <f>Fig1_future_Kaya!R24</f>
        <v>16.355968316974295</v>
      </c>
      <c r="D31" s="9">
        <f>Fig1_future_Kaya!AJ24</f>
        <v>0.75039058400000003</v>
      </c>
      <c r="E31" s="9">
        <f>Fig1_future_Kaya!AK24</f>
        <v>0.75039058400000014</v>
      </c>
      <c r="F31" s="9">
        <f>Fig1_future_Kaya!AL24</f>
        <v>0.75039058400000014</v>
      </c>
      <c r="G31" s="9"/>
      <c r="H31" s="266">
        <f t="shared" si="16"/>
        <v>293.87097179105825</v>
      </c>
      <c r="I31" s="266">
        <f t="shared" si="16"/>
        <v>168.97580877985848</v>
      </c>
      <c r="J31" s="266">
        <f t="shared" si="16"/>
        <v>124.89516301119976</v>
      </c>
      <c r="K31" s="266">
        <f t="shared" si="16"/>
        <v>95.508065832093919</v>
      </c>
      <c r="L31" s="266">
        <f t="shared" si="16"/>
        <v>73.467742947764563</v>
      </c>
      <c r="M31" s="266">
        <f t="shared" si="16"/>
        <v>80.814517242541029</v>
      </c>
      <c r="O31" s="50">
        <f t="shared" si="17"/>
        <v>3.0015623360000001</v>
      </c>
      <c r="P31" s="50">
        <f t="shared" si="32"/>
        <v>1.7258983431999999</v>
      </c>
      <c r="Q31" s="158">
        <f t="shared" si="33"/>
        <v>1.2756639928</v>
      </c>
      <c r="R31" s="50">
        <f t="shared" si="34"/>
        <v>0.9755077592000001</v>
      </c>
      <c r="S31" s="50">
        <f t="shared" si="35"/>
        <v>0.75039058400000003</v>
      </c>
      <c r="T31" s="50">
        <f t="shared" si="36"/>
        <v>0.82542964240000005</v>
      </c>
      <c r="U31" s="87"/>
      <c r="V31" s="266">
        <f t="shared" si="23"/>
        <v>293.87097179105825</v>
      </c>
      <c r="W31" s="266">
        <f t="shared" si="23"/>
        <v>168.97580877985848</v>
      </c>
      <c r="X31" s="266">
        <f t="shared" si="23"/>
        <v>124.89516301119976</v>
      </c>
      <c r="Y31" s="266">
        <f t="shared" si="23"/>
        <v>95.508065832093919</v>
      </c>
      <c r="Z31" s="266">
        <f t="shared" si="23"/>
        <v>73.467742947764563</v>
      </c>
      <c r="AA31" s="266">
        <f t="shared" si="23"/>
        <v>80.814517242541029</v>
      </c>
      <c r="AC31" s="31">
        <f t="shared" si="3"/>
        <v>3.0043914981506665</v>
      </c>
      <c r="AD31" s="31">
        <f t="shared" si="4"/>
        <v>1.7275251114366335</v>
      </c>
      <c r="AE31" s="158">
        <f t="shared" si="5"/>
        <v>1.2768663867140333</v>
      </c>
      <c r="AF31" s="31">
        <f t="shared" si="6"/>
        <v>0.9764272368989666</v>
      </c>
      <c r="AG31" s="31">
        <f t="shared" si="7"/>
        <v>0.75109787453766663</v>
      </c>
      <c r="AH31" s="31">
        <f t="shared" si="8"/>
        <v>0.82620766199143347</v>
      </c>
      <c r="AI31" s="87"/>
      <c r="AJ31" s="266">
        <f t="shared" si="24"/>
        <v>293.87097179105825</v>
      </c>
      <c r="AK31" s="266">
        <f t="shared" si="24"/>
        <v>168.97580877985848</v>
      </c>
      <c r="AL31" s="266">
        <f t="shared" si="24"/>
        <v>124.89516301119976</v>
      </c>
      <c r="AM31" s="266">
        <f t="shared" si="24"/>
        <v>95.508065832093919</v>
      </c>
      <c r="AN31" s="266">
        <f t="shared" si="24"/>
        <v>73.467742947764563</v>
      </c>
      <c r="AO31" s="266">
        <f t="shared" si="24"/>
        <v>80.814517242541029</v>
      </c>
      <c r="AQ31" s="31">
        <f t="shared" si="25"/>
        <v>3.0043914981506665</v>
      </c>
      <c r="AR31" s="31">
        <f t="shared" si="10"/>
        <v>1.7275251114366335</v>
      </c>
      <c r="AS31" s="158">
        <f t="shared" si="11"/>
        <v>1.2768663867140333</v>
      </c>
      <c r="AT31" s="31">
        <f t="shared" si="12"/>
        <v>0.9764272368989666</v>
      </c>
      <c r="AU31" s="31">
        <f t="shared" si="13"/>
        <v>0.75109787453766663</v>
      </c>
      <c r="AV31" s="275">
        <f t="shared" si="14"/>
        <v>0.82620766199143347</v>
      </c>
      <c r="AY31" s="30">
        <f t="shared" si="26"/>
        <v>2.2511717520000003</v>
      </c>
      <c r="AZ31" s="30">
        <f t="shared" si="27"/>
        <v>0.97550775919999988</v>
      </c>
      <c r="BA31" s="30">
        <f t="shared" si="28"/>
        <v>0.52527340879999995</v>
      </c>
      <c r="BB31" s="30">
        <f t="shared" si="29"/>
        <v>0.22511717520000007</v>
      </c>
      <c r="BC31" s="30">
        <f t="shared" si="30"/>
        <v>0</v>
      </c>
      <c r="BD31" s="30">
        <f t="shared" si="31"/>
        <v>7.5039058400000025E-2</v>
      </c>
    </row>
    <row r="32" spans="1:56">
      <c r="A32" s="10">
        <v>2011</v>
      </c>
      <c r="B32" s="9">
        <f>Fig1_future_Kaya!J25</f>
        <v>655216.83005902299</v>
      </c>
      <c r="C32" s="30">
        <f>Fig1_future_Kaya!R25</f>
        <v>15.974387215917677</v>
      </c>
      <c r="D32" s="9">
        <f>Fig1_future_Kaya!AJ25</f>
        <v>0.77119166600000011</v>
      </c>
      <c r="E32" s="9">
        <f>Fig1_future_Kaya!AK25</f>
        <v>0.771191666</v>
      </c>
      <c r="F32" s="9">
        <f>Fig1_future_Kaya!AL25</f>
        <v>0.771191666</v>
      </c>
      <c r="G32" s="9"/>
      <c r="H32" s="266">
        <f t="shared" si="16"/>
        <v>293.87097179105825</v>
      </c>
      <c r="I32" s="266">
        <f t="shared" si="16"/>
        <v>168.97580877985848</v>
      </c>
      <c r="J32" s="266">
        <f t="shared" si="16"/>
        <v>124.89516301119976</v>
      </c>
      <c r="K32" s="266">
        <f t="shared" si="16"/>
        <v>95.508065832093919</v>
      </c>
      <c r="L32" s="266">
        <f t="shared" si="16"/>
        <v>73.467742947764563</v>
      </c>
      <c r="M32" s="266">
        <f t="shared" si="16"/>
        <v>80.814517242541029</v>
      </c>
      <c r="O32" s="50">
        <f t="shared" si="17"/>
        <v>3.0847666640000004</v>
      </c>
      <c r="P32" s="50">
        <f t="shared" si="32"/>
        <v>1.7737408318000001</v>
      </c>
      <c r="Q32" s="158">
        <f t="shared" si="33"/>
        <v>1.3110258322000001</v>
      </c>
      <c r="R32" s="50">
        <f t="shared" si="34"/>
        <v>1.0025491658000001</v>
      </c>
      <c r="S32" s="50">
        <f t="shared" si="35"/>
        <v>0.77119166600000011</v>
      </c>
      <c r="T32" s="50">
        <f t="shared" si="36"/>
        <v>0.84831083260000018</v>
      </c>
      <c r="U32" s="87"/>
      <c r="V32" s="266">
        <f t="shared" si="23"/>
        <v>293.87097179105825</v>
      </c>
      <c r="W32" s="266">
        <f t="shared" si="23"/>
        <v>168.97580877985848</v>
      </c>
      <c r="X32" s="266">
        <f t="shared" si="23"/>
        <v>124.89516301119976</v>
      </c>
      <c r="Y32" s="266">
        <f t="shared" si="23"/>
        <v>95.508065832093919</v>
      </c>
      <c r="Z32" s="266">
        <f t="shared" si="23"/>
        <v>73.467742947764563</v>
      </c>
      <c r="AA32" s="266">
        <f t="shared" si="23"/>
        <v>80.814517242541029</v>
      </c>
      <c r="AC32" s="31">
        <f t="shared" si="3"/>
        <v>3.0758555840793878</v>
      </c>
      <c r="AD32" s="31">
        <f t="shared" si="4"/>
        <v>1.7686169608456477</v>
      </c>
      <c r="AE32" s="158">
        <f t="shared" si="5"/>
        <v>1.3072386232337396</v>
      </c>
      <c r="AF32" s="31">
        <f t="shared" si="6"/>
        <v>0.99965306482580074</v>
      </c>
      <c r="AG32" s="31">
        <f t="shared" si="7"/>
        <v>0.76896389601984694</v>
      </c>
      <c r="AH32" s="31">
        <f t="shared" si="8"/>
        <v>0.84586028562183169</v>
      </c>
      <c r="AI32" s="87"/>
      <c r="AJ32" s="266">
        <f t="shared" si="24"/>
        <v>293.87097179105825</v>
      </c>
      <c r="AK32" s="266">
        <f t="shared" si="24"/>
        <v>168.97580877985848</v>
      </c>
      <c r="AL32" s="266">
        <f t="shared" si="24"/>
        <v>124.89516301119976</v>
      </c>
      <c r="AM32" s="266">
        <f t="shared" si="24"/>
        <v>95.508065832093919</v>
      </c>
      <c r="AN32" s="266">
        <f t="shared" si="24"/>
        <v>73.467742947764563</v>
      </c>
      <c r="AO32" s="266">
        <f t="shared" si="24"/>
        <v>80.814517242541029</v>
      </c>
      <c r="AQ32" s="31">
        <f t="shared" si="25"/>
        <v>3.0758555840793878</v>
      </c>
      <c r="AR32" s="31">
        <f t="shared" si="10"/>
        <v>1.7686169608456477</v>
      </c>
      <c r="AS32" s="158">
        <f t="shared" si="11"/>
        <v>1.3072386232337396</v>
      </c>
      <c r="AT32" s="31">
        <f t="shared" si="12"/>
        <v>0.99965306482580074</v>
      </c>
      <c r="AU32" s="31">
        <f t="shared" si="13"/>
        <v>0.76896389601984694</v>
      </c>
      <c r="AV32" s="275">
        <f t="shared" si="14"/>
        <v>0.84586028562183169</v>
      </c>
      <c r="AY32" s="30">
        <f t="shared" si="26"/>
        <v>2.3135749980000004</v>
      </c>
      <c r="AZ32" s="30">
        <f t="shared" si="27"/>
        <v>1.0025491658000001</v>
      </c>
      <c r="BA32" s="30">
        <f t="shared" si="28"/>
        <v>0.53983416620000002</v>
      </c>
      <c r="BB32" s="30">
        <f t="shared" si="29"/>
        <v>0.23135749979999998</v>
      </c>
      <c r="BC32" s="30">
        <f t="shared" si="30"/>
        <v>0</v>
      </c>
      <c r="BD32" s="30">
        <f t="shared" si="31"/>
        <v>7.7119166600000066E-2</v>
      </c>
    </row>
    <row r="33" spans="1:56">
      <c r="A33" s="10">
        <v>2012</v>
      </c>
      <c r="B33" s="9">
        <f>Fig1_future_Kaya!J26</f>
        <v>672489.35224884306</v>
      </c>
      <c r="C33" s="30">
        <f>Fig1_future_Kaya!R26</f>
        <v>15.677884313364491</v>
      </c>
      <c r="D33" s="9">
        <f>Fig1_future_Kaya!AJ26</f>
        <v>0.78059377800000007</v>
      </c>
      <c r="E33" s="9">
        <f>Fig1_future_Kaya!AK26</f>
        <v>0.78059377800000029</v>
      </c>
      <c r="F33" s="9">
        <f>Fig1_future_Kaya!AL26</f>
        <v>0.78059377800000029</v>
      </c>
      <c r="G33" s="9"/>
      <c r="H33" s="266">
        <f t="shared" si="16"/>
        <v>293.87097179105825</v>
      </c>
      <c r="I33" s="266">
        <f t="shared" si="16"/>
        <v>168.97580877985848</v>
      </c>
      <c r="J33" s="266">
        <f t="shared" si="16"/>
        <v>124.89516301119976</v>
      </c>
      <c r="K33" s="266">
        <f t="shared" si="16"/>
        <v>95.508065832093919</v>
      </c>
      <c r="L33" s="266">
        <f t="shared" si="16"/>
        <v>73.467742947764563</v>
      </c>
      <c r="M33" s="266">
        <f t="shared" si="16"/>
        <v>80.814517242541029</v>
      </c>
      <c r="O33" s="50">
        <f t="shared" si="17"/>
        <v>3.1223751120000003</v>
      </c>
      <c r="P33" s="50">
        <f t="shared" si="32"/>
        <v>1.7953656894000001</v>
      </c>
      <c r="Q33" s="158">
        <f t="shared" si="33"/>
        <v>1.3270094226</v>
      </c>
      <c r="R33" s="50">
        <f t="shared" si="34"/>
        <v>1.0147719114000002</v>
      </c>
      <c r="S33" s="50">
        <f t="shared" si="35"/>
        <v>0.78059377800000007</v>
      </c>
      <c r="T33" s="50">
        <f t="shared" si="36"/>
        <v>0.85865315580000012</v>
      </c>
      <c r="U33" s="87"/>
      <c r="V33" s="266">
        <f t="shared" si="23"/>
        <v>293.87097179105825</v>
      </c>
      <c r="W33" s="266">
        <f t="shared" si="23"/>
        <v>168.97580877985848</v>
      </c>
      <c r="X33" s="266">
        <f t="shared" si="23"/>
        <v>124.89516301119976</v>
      </c>
      <c r="Y33" s="266">
        <f t="shared" si="23"/>
        <v>95.508065832093919</v>
      </c>
      <c r="Z33" s="266">
        <f t="shared" si="23"/>
        <v>73.467742947764563</v>
      </c>
      <c r="AA33" s="266">
        <f t="shared" si="23"/>
        <v>80.814517242541029</v>
      </c>
      <c r="AC33" s="31">
        <f t="shared" si="3"/>
        <v>3.0983434468216888</v>
      </c>
      <c r="AD33" s="31">
        <f t="shared" si="4"/>
        <v>1.7815474819224708</v>
      </c>
      <c r="AE33" s="158">
        <f t="shared" si="5"/>
        <v>1.3167959648992176</v>
      </c>
      <c r="AF33" s="31">
        <f t="shared" si="6"/>
        <v>1.0069616202170486</v>
      </c>
      <c r="AG33" s="31">
        <f t="shared" si="7"/>
        <v>0.77458586170542221</v>
      </c>
      <c r="AH33" s="31">
        <f t="shared" si="8"/>
        <v>0.85204444787596445</v>
      </c>
      <c r="AI33" s="87"/>
      <c r="AJ33" s="266">
        <f t="shared" si="24"/>
        <v>293.87097179105825</v>
      </c>
      <c r="AK33" s="266">
        <f t="shared" si="24"/>
        <v>168.97580877985848</v>
      </c>
      <c r="AL33" s="266">
        <f t="shared" si="24"/>
        <v>124.89516301119976</v>
      </c>
      <c r="AM33" s="266">
        <f t="shared" si="24"/>
        <v>95.508065832093919</v>
      </c>
      <c r="AN33" s="266">
        <f t="shared" si="24"/>
        <v>73.467742947764563</v>
      </c>
      <c r="AO33" s="266">
        <f t="shared" si="24"/>
        <v>80.814517242541029</v>
      </c>
      <c r="AQ33" s="31">
        <f t="shared" si="25"/>
        <v>3.0983434468216888</v>
      </c>
      <c r="AR33" s="31">
        <f t="shared" si="10"/>
        <v>1.7815474819224708</v>
      </c>
      <c r="AS33" s="158">
        <f t="shared" si="11"/>
        <v>1.3167959648992176</v>
      </c>
      <c r="AT33" s="31">
        <f t="shared" si="12"/>
        <v>1.0069616202170486</v>
      </c>
      <c r="AU33" s="31">
        <f t="shared" si="13"/>
        <v>0.77458586170542221</v>
      </c>
      <c r="AV33" s="275">
        <f t="shared" si="14"/>
        <v>0.85204444787596445</v>
      </c>
      <c r="AY33" s="30">
        <f t="shared" si="26"/>
        <v>2.3417813340000002</v>
      </c>
      <c r="AZ33" s="30">
        <f t="shared" si="27"/>
        <v>1.0147719114</v>
      </c>
      <c r="BA33" s="30">
        <f t="shared" si="28"/>
        <v>0.54641564459999992</v>
      </c>
      <c r="BB33" s="30">
        <f t="shared" si="29"/>
        <v>0.23417813340000015</v>
      </c>
      <c r="BC33" s="30">
        <f t="shared" si="30"/>
        <v>0</v>
      </c>
      <c r="BD33" s="30">
        <f t="shared" si="31"/>
        <v>7.8059377800000052E-2</v>
      </c>
    </row>
    <row r="34" spans="1:56">
      <c r="A34" s="10">
        <v>2013</v>
      </c>
      <c r="B34" s="9">
        <f>Fig1_future_Kaya!J27</f>
        <v>700590.30781354802</v>
      </c>
      <c r="C34" s="30">
        <f>Fig1_future_Kaya!R27</f>
        <v>15.529631804717662</v>
      </c>
      <c r="D34" s="9">
        <f>Fig1_future_Kaya!AJ27</f>
        <v>0.79993577999999999</v>
      </c>
      <c r="E34" s="9">
        <f>Fig1_future_Kaya!AK27</f>
        <v>0.79993577999999999</v>
      </c>
      <c r="F34" s="9">
        <f>Fig1_future_Kaya!AL27</f>
        <v>0.79993577999999999</v>
      </c>
      <c r="G34" s="9"/>
      <c r="H34" s="266">
        <f t="shared" si="16"/>
        <v>293.87097179105825</v>
      </c>
      <c r="I34" s="266">
        <f t="shared" si="16"/>
        <v>168.97580877985848</v>
      </c>
      <c r="J34" s="266">
        <f t="shared" si="16"/>
        <v>124.89516301119976</v>
      </c>
      <c r="K34" s="266">
        <f t="shared" si="16"/>
        <v>95.508065832093919</v>
      </c>
      <c r="L34" s="266">
        <f t="shared" si="16"/>
        <v>73.467742947764563</v>
      </c>
      <c r="M34" s="266">
        <f t="shared" si="16"/>
        <v>80.814517242541029</v>
      </c>
      <c r="O34" s="50">
        <f t="shared" si="17"/>
        <v>3.1997431199999999</v>
      </c>
      <c r="P34" s="50">
        <f t="shared" si="32"/>
        <v>1.8398522939999997</v>
      </c>
      <c r="Q34" s="158">
        <f t="shared" si="33"/>
        <v>1.359890826</v>
      </c>
      <c r="R34" s="50">
        <f t="shared" si="34"/>
        <v>1.039916514</v>
      </c>
      <c r="S34" s="50">
        <f t="shared" si="35"/>
        <v>0.79993577999999999</v>
      </c>
      <c r="T34" s="50">
        <f t="shared" si="36"/>
        <v>0.87992935800000005</v>
      </c>
      <c r="U34" s="87"/>
      <c r="V34" s="266">
        <f t="shared" si="23"/>
        <v>293.87097179105825</v>
      </c>
      <c r="W34" s="266">
        <f t="shared" si="23"/>
        <v>168.97580877985848</v>
      </c>
      <c r="X34" s="266">
        <f t="shared" si="23"/>
        <v>124.89516301119976</v>
      </c>
      <c r="Y34" s="266">
        <f t="shared" si="23"/>
        <v>95.508065832093919</v>
      </c>
      <c r="Z34" s="266">
        <f t="shared" si="23"/>
        <v>73.467742947764563</v>
      </c>
      <c r="AA34" s="266">
        <f t="shared" si="23"/>
        <v>80.814517242541029</v>
      </c>
      <c r="AC34" s="31">
        <f t="shared" si="3"/>
        <v>3.1972895854920478</v>
      </c>
      <c r="AD34" s="31">
        <f t="shared" si="4"/>
        <v>1.8384415116579274</v>
      </c>
      <c r="AE34" s="158">
        <f t="shared" si="5"/>
        <v>1.3588480738341202</v>
      </c>
      <c r="AF34" s="31">
        <f t="shared" si="6"/>
        <v>1.0391191152849155</v>
      </c>
      <c r="AG34" s="31">
        <f t="shared" si="7"/>
        <v>0.79932239637301195</v>
      </c>
      <c r="AH34" s="31">
        <f t="shared" si="8"/>
        <v>0.87925463601031328</v>
      </c>
      <c r="AI34" s="87"/>
      <c r="AJ34" s="266">
        <f t="shared" si="24"/>
        <v>293.87097179105825</v>
      </c>
      <c r="AK34" s="266">
        <f t="shared" si="24"/>
        <v>168.97580877985848</v>
      </c>
      <c r="AL34" s="266">
        <f t="shared" si="24"/>
        <v>124.89516301119976</v>
      </c>
      <c r="AM34" s="266">
        <f t="shared" si="24"/>
        <v>95.508065832093919</v>
      </c>
      <c r="AN34" s="266">
        <f t="shared" si="24"/>
        <v>73.467742947764563</v>
      </c>
      <c r="AO34" s="266">
        <f t="shared" si="24"/>
        <v>80.814517242541029</v>
      </c>
      <c r="AQ34" s="31">
        <f t="shared" si="25"/>
        <v>3.1972895854920478</v>
      </c>
      <c r="AR34" s="31">
        <f t="shared" si="10"/>
        <v>1.8384415116579274</v>
      </c>
      <c r="AS34" s="158">
        <f t="shared" si="11"/>
        <v>1.3588480738341202</v>
      </c>
      <c r="AT34" s="31">
        <f t="shared" si="12"/>
        <v>1.0391191152849155</v>
      </c>
      <c r="AU34" s="31">
        <f t="shared" si="13"/>
        <v>0.79932239637301195</v>
      </c>
      <c r="AV34" s="275">
        <f t="shared" si="14"/>
        <v>0.87925463601031328</v>
      </c>
      <c r="AY34" s="30">
        <f t="shared" si="26"/>
        <v>2.3998073399999997</v>
      </c>
      <c r="AZ34" s="30">
        <f t="shared" si="27"/>
        <v>1.0399165139999997</v>
      </c>
      <c r="BA34" s="30">
        <f t="shared" si="28"/>
        <v>0.55995504600000001</v>
      </c>
      <c r="BB34" s="30">
        <f t="shared" si="29"/>
        <v>0.23998073399999997</v>
      </c>
      <c r="BC34" s="30">
        <f t="shared" si="30"/>
        <v>0</v>
      </c>
      <c r="BD34" s="30">
        <f t="shared" si="31"/>
        <v>7.9993578000000065E-2</v>
      </c>
    </row>
    <row r="35" spans="1:56">
      <c r="A35" s="10">
        <v>2014</v>
      </c>
      <c r="B35" s="9">
        <f>Fig1_future_Kaya!J28</f>
        <v>740956.85946141905</v>
      </c>
      <c r="C35" s="30">
        <f>Fig1_future_Kaya!R28</f>
        <v>15.153670387054609</v>
      </c>
      <c r="D35" s="9">
        <f>Fig1_future_Kaya!AJ28</f>
        <v>0.82632976600000008</v>
      </c>
      <c r="E35" s="9">
        <f>Fig1_future_Kaya!AK28</f>
        <v>0.82632976599999997</v>
      </c>
      <c r="F35" s="9">
        <f>Fig1_future_Kaya!AL28</f>
        <v>0.82632976599999997</v>
      </c>
      <c r="G35" s="9"/>
      <c r="H35" s="266">
        <f t="shared" si="16"/>
        <v>293.87097179105825</v>
      </c>
      <c r="I35" s="266">
        <f t="shared" si="16"/>
        <v>168.97580877985848</v>
      </c>
      <c r="J35" s="266">
        <f t="shared" si="16"/>
        <v>124.89516301119976</v>
      </c>
      <c r="K35" s="266">
        <f t="shared" si="16"/>
        <v>95.508065832093919</v>
      </c>
      <c r="L35" s="266">
        <f t="shared" si="16"/>
        <v>73.467742947764563</v>
      </c>
      <c r="M35" s="266">
        <f t="shared" si="16"/>
        <v>80.814517242541029</v>
      </c>
      <c r="O35" s="50">
        <f t="shared" si="17"/>
        <v>3.3053190640000003</v>
      </c>
      <c r="P35" s="50">
        <f t="shared" si="32"/>
        <v>1.9005584618</v>
      </c>
      <c r="Q35" s="158">
        <f t="shared" si="33"/>
        <v>1.4047606022000001</v>
      </c>
      <c r="R35" s="50">
        <f t="shared" si="34"/>
        <v>1.0742286958000002</v>
      </c>
      <c r="S35" s="50">
        <f t="shared" si="35"/>
        <v>0.82632976600000008</v>
      </c>
      <c r="T35" s="50">
        <f t="shared" si="36"/>
        <v>0.90896274260000021</v>
      </c>
      <c r="U35" s="87"/>
      <c r="V35" s="266">
        <f t="shared" si="23"/>
        <v>293.87097179105825</v>
      </c>
      <c r="W35" s="266">
        <f t="shared" si="23"/>
        <v>168.97580877985848</v>
      </c>
      <c r="X35" s="266">
        <f t="shared" si="23"/>
        <v>124.89516301119976</v>
      </c>
      <c r="Y35" s="266">
        <f t="shared" si="23"/>
        <v>95.508065832093919</v>
      </c>
      <c r="Z35" s="266">
        <f t="shared" si="23"/>
        <v>73.467742947764563</v>
      </c>
      <c r="AA35" s="266">
        <f t="shared" si="23"/>
        <v>80.814517242541029</v>
      </c>
      <c r="AC35" s="31">
        <f t="shared" si="3"/>
        <v>3.2996467530732323</v>
      </c>
      <c r="AD35" s="31">
        <f t="shared" si="4"/>
        <v>1.8972968830171082</v>
      </c>
      <c r="AE35" s="158">
        <f t="shared" si="5"/>
        <v>1.4023498700561234</v>
      </c>
      <c r="AF35" s="31">
        <f t="shared" si="6"/>
        <v>1.0723851947488003</v>
      </c>
      <c r="AG35" s="31">
        <f t="shared" si="7"/>
        <v>0.82491168826830807</v>
      </c>
      <c r="AH35" s="31">
        <f t="shared" si="8"/>
        <v>0.9074028570951389</v>
      </c>
      <c r="AI35" s="87"/>
      <c r="AJ35" s="266">
        <f t="shared" si="24"/>
        <v>293.87097179105825</v>
      </c>
      <c r="AK35" s="266">
        <f t="shared" si="24"/>
        <v>168.97580877985848</v>
      </c>
      <c r="AL35" s="266">
        <f t="shared" si="24"/>
        <v>124.89516301119976</v>
      </c>
      <c r="AM35" s="266">
        <f t="shared" si="24"/>
        <v>95.508065832093919</v>
      </c>
      <c r="AN35" s="266">
        <f t="shared" si="24"/>
        <v>73.467742947764563</v>
      </c>
      <c r="AO35" s="266">
        <f t="shared" si="24"/>
        <v>80.814517242541029</v>
      </c>
      <c r="AQ35" s="31">
        <f t="shared" si="25"/>
        <v>3.2996467530732323</v>
      </c>
      <c r="AR35" s="31">
        <f t="shared" si="10"/>
        <v>1.8972968830171082</v>
      </c>
      <c r="AS35" s="158">
        <f t="shared" si="11"/>
        <v>1.4023498700561234</v>
      </c>
      <c r="AT35" s="31">
        <f t="shared" si="12"/>
        <v>1.0723851947488003</v>
      </c>
      <c r="AU35" s="31">
        <f t="shared" si="13"/>
        <v>0.82491168826830807</v>
      </c>
      <c r="AV35" s="275">
        <f t="shared" si="14"/>
        <v>0.9074028570951389</v>
      </c>
      <c r="AY35" s="30">
        <f t="shared" si="26"/>
        <v>2.4789892980000001</v>
      </c>
      <c r="AZ35" s="30">
        <f t="shared" si="27"/>
        <v>1.0742286958</v>
      </c>
      <c r="BA35" s="30">
        <f t="shared" si="28"/>
        <v>0.57843083620000002</v>
      </c>
      <c r="BB35" s="30">
        <f t="shared" si="29"/>
        <v>0.24789892980000017</v>
      </c>
      <c r="BC35" s="30">
        <f t="shared" si="30"/>
        <v>0</v>
      </c>
      <c r="BD35" s="30">
        <f t="shared" si="31"/>
        <v>8.263297660000013E-2</v>
      </c>
    </row>
    <row r="36" spans="1:56">
      <c r="A36" s="10">
        <v>2015</v>
      </c>
      <c r="B36" s="9">
        <f>Fig1_future_Kaya!J29</f>
        <v>785595.67631234508</v>
      </c>
      <c r="C36" s="30">
        <f>Fig1_future_Kaya!R29</f>
        <v>15.080854303119143</v>
      </c>
      <c r="D36" s="9">
        <f>Fig1_future_Kaya!AJ29</f>
        <v>0.87193010700000007</v>
      </c>
      <c r="E36" s="9">
        <f>Fig1_future_Kaya!AK29</f>
        <v>0.87193010699999995</v>
      </c>
      <c r="F36" s="9">
        <f>Fig1_future_Kaya!AL29</f>
        <v>0.87193010699999995</v>
      </c>
      <c r="G36" s="9"/>
      <c r="H36" s="266">
        <f t="shared" si="16"/>
        <v>293.87097179105825</v>
      </c>
      <c r="I36" s="266">
        <f t="shared" si="16"/>
        <v>168.97580877985848</v>
      </c>
      <c r="J36" s="266">
        <f t="shared" si="16"/>
        <v>124.89516301119976</v>
      </c>
      <c r="K36" s="266">
        <f t="shared" si="16"/>
        <v>95.508065832093919</v>
      </c>
      <c r="L36" s="266">
        <f t="shared" si="16"/>
        <v>73.467742947764563</v>
      </c>
      <c r="M36" s="266">
        <f t="shared" si="16"/>
        <v>80.814517242541029</v>
      </c>
      <c r="O36" s="50">
        <f t="shared" si="17"/>
        <v>3.4877204280000003</v>
      </c>
      <c r="P36" s="50">
        <f t="shared" si="32"/>
        <v>2.0054392460999999</v>
      </c>
      <c r="Q36" s="158">
        <f t="shared" si="33"/>
        <v>1.4822811819000001</v>
      </c>
      <c r="R36" s="50">
        <f t="shared" si="34"/>
        <v>1.1335091391000001</v>
      </c>
      <c r="S36" s="50">
        <f t="shared" si="35"/>
        <v>0.87193010700000007</v>
      </c>
      <c r="T36" s="50">
        <f t="shared" si="36"/>
        <v>0.95912311770000014</v>
      </c>
      <c r="U36" s="87"/>
      <c r="V36" s="266">
        <f t="shared" si="23"/>
        <v>293.87097179105825</v>
      </c>
      <c r="W36" s="266">
        <f t="shared" si="23"/>
        <v>168.97580877985848</v>
      </c>
      <c r="X36" s="266">
        <f t="shared" si="23"/>
        <v>124.89516301119976</v>
      </c>
      <c r="Y36" s="266">
        <f t="shared" si="23"/>
        <v>95.508065832093919</v>
      </c>
      <c r="Z36" s="266">
        <f t="shared" si="23"/>
        <v>73.467742947764563</v>
      </c>
      <c r="AA36" s="266">
        <f t="shared" si="23"/>
        <v>80.814517242541029</v>
      </c>
      <c r="AC36" s="31">
        <f t="shared" si="3"/>
        <v>3.4816228013124517</v>
      </c>
      <c r="AD36" s="31">
        <f t="shared" si="4"/>
        <v>2.0019331107546599</v>
      </c>
      <c r="AE36" s="158">
        <f t="shared" si="5"/>
        <v>1.4796896905577919</v>
      </c>
      <c r="AF36" s="31">
        <f t="shared" si="6"/>
        <v>1.1315274104265465</v>
      </c>
      <c r="AG36" s="31">
        <f t="shared" si="7"/>
        <v>0.87040570032811293</v>
      </c>
      <c r="AH36" s="31">
        <f t="shared" si="8"/>
        <v>0.95744627036092433</v>
      </c>
      <c r="AI36" s="87"/>
      <c r="AJ36" s="266">
        <f t="shared" si="24"/>
        <v>293.87097179105825</v>
      </c>
      <c r="AK36" s="266">
        <f t="shared" si="24"/>
        <v>168.97580877985848</v>
      </c>
      <c r="AL36" s="266">
        <f t="shared" si="24"/>
        <v>124.89516301119976</v>
      </c>
      <c r="AM36" s="266">
        <f t="shared" si="24"/>
        <v>95.508065832093919</v>
      </c>
      <c r="AN36" s="266">
        <f t="shared" si="24"/>
        <v>73.467742947764563</v>
      </c>
      <c r="AO36" s="266">
        <f t="shared" si="24"/>
        <v>80.814517242541029</v>
      </c>
      <c r="AQ36" s="31">
        <f t="shared" si="25"/>
        <v>3.4816228013124517</v>
      </c>
      <c r="AR36" s="31">
        <f t="shared" si="10"/>
        <v>2.0019331107546599</v>
      </c>
      <c r="AS36" s="158">
        <f t="shared" si="11"/>
        <v>1.4796896905577919</v>
      </c>
      <c r="AT36" s="31">
        <f t="shared" si="12"/>
        <v>1.1315274104265465</v>
      </c>
      <c r="AU36" s="31">
        <f t="shared" si="13"/>
        <v>0.87040570032811293</v>
      </c>
      <c r="AV36" s="275">
        <f t="shared" si="14"/>
        <v>0.95744627036092433</v>
      </c>
      <c r="AY36" s="30">
        <f t="shared" si="26"/>
        <v>2.6157903210000004</v>
      </c>
      <c r="AZ36" s="30">
        <f t="shared" si="27"/>
        <v>1.1335091390999998</v>
      </c>
      <c r="BA36" s="30">
        <f t="shared" si="28"/>
        <v>0.61035107490000007</v>
      </c>
      <c r="BB36" s="30">
        <f t="shared" si="29"/>
        <v>0.2615790321</v>
      </c>
      <c r="BC36" s="30">
        <f t="shared" si="30"/>
        <v>0</v>
      </c>
      <c r="BD36" s="30">
        <f t="shared" si="31"/>
        <v>8.7193010700000073E-2</v>
      </c>
    </row>
    <row r="37" spans="1:56">
      <c r="A37" s="10">
        <v>2016</v>
      </c>
      <c r="B37" s="9">
        <f>Fig1_future_Kaya!J30</f>
        <v>836909.76509403402</v>
      </c>
      <c r="C37" s="30">
        <f>Fig1_future_Kaya!R30</f>
        <v>14.775283399578271</v>
      </c>
      <c r="D37" s="9">
        <f>Fig1_future_Kaya!AJ30</f>
        <v>0.91315499400000011</v>
      </c>
      <c r="E37" s="9">
        <f>Fig1_future_Kaya!AK30</f>
        <v>0.91315499400000011</v>
      </c>
      <c r="F37" s="9">
        <f>Fig1_future_Kaya!AL30</f>
        <v>0.91315499400000011</v>
      </c>
      <c r="G37" s="9"/>
      <c r="H37" s="266">
        <f t="shared" si="16"/>
        <v>293.87097179105825</v>
      </c>
      <c r="I37" s="266">
        <f t="shared" si="16"/>
        <v>168.97580877985848</v>
      </c>
      <c r="J37" s="266">
        <f t="shared" si="16"/>
        <v>124.89516301119976</v>
      </c>
      <c r="K37" s="266">
        <f t="shared" si="16"/>
        <v>95.508065832093919</v>
      </c>
      <c r="L37" s="266">
        <f t="shared" si="16"/>
        <v>73.467742947764563</v>
      </c>
      <c r="M37" s="266">
        <f t="shared" si="16"/>
        <v>80.814517242541029</v>
      </c>
      <c r="N37" s="264"/>
      <c r="O37" s="50">
        <f t="shared" si="17"/>
        <v>3.6526199760000004</v>
      </c>
      <c r="P37" s="50">
        <f t="shared" si="32"/>
        <v>2.1002564862000002</v>
      </c>
      <c r="Q37" s="158">
        <f t="shared" si="33"/>
        <v>1.5523634898000001</v>
      </c>
      <c r="R37" s="50">
        <f t="shared" si="34"/>
        <v>1.1871014922000003</v>
      </c>
      <c r="S37" s="50">
        <f t="shared" si="35"/>
        <v>0.91315499400000011</v>
      </c>
      <c r="T37" s="50">
        <f t="shared" si="36"/>
        <v>1.0044704934000002</v>
      </c>
      <c r="U37" s="87"/>
      <c r="V37" s="266">
        <f t="shared" si="23"/>
        <v>293.87097179105825</v>
      </c>
      <c r="W37" s="266">
        <f t="shared" si="23"/>
        <v>168.97580877985848</v>
      </c>
      <c r="X37" s="266">
        <f t="shared" si="23"/>
        <v>124.89516301119976</v>
      </c>
      <c r="Y37" s="266">
        <f t="shared" si="23"/>
        <v>95.508065832093919</v>
      </c>
      <c r="Z37" s="266">
        <f t="shared" si="23"/>
        <v>73.467742947764563</v>
      </c>
      <c r="AA37" s="266">
        <f t="shared" si="23"/>
        <v>80.814517242541029</v>
      </c>
      <c r="AC37" s="31">
        <f t="shared" si="3"/>
        <v>3.6338847054811905</v>
      </c>
      <c r="AD37" s="31">
        <f t="shared" si="4"/>
        <v>2.0894837056516846</v>
      </c>
      <c r="AE37" s="158">
        <f t="shared" si="5"/>
        <v>1.5444009998295061</v>
      </c>
      <c r="AF37" s="31">
        <f t="shared" si="6"/>
        <v>1.1810125292813869</v>
      </c>
      <c r="AG37" s="31">
        <f t="shared" si="7"/>
        <v>0.90847117637029762</v>
      </c>
      <c r="AH37" s="31">
        <f t="shared" si="8"/>
        <v>0.99931829400732763</v>
      </c>
      <c r="AI37" s="87"/>
      <c r="AJ37" s="266">
        <f t="shared" si="24"/>
        <v>293.87097179105825</v>
      </c>
      <c r="AK37" s="266">
        <f t="shared" si="24"/>
        <v>168.97580877985848</v>
      </c>
      <c r="AL37" s="266">
        <f t="shared" si="24"/>
        <v>124.89516301119976</v>
      </c>
      <c r="AM37" s="266">
        <f t="shared" si="24"/>
        <v>95.508065832093919</v>
      </c>
      <c r="AN37" s="266">
        <f t="shared" si="24"/>
        <v>73.467742947764563</v>
      </c>
      <c r="AO37" s="266">
        <f t="shared" si="24"/>
        <v>80.814517242541029</v>
      </c>
      <c r="AQ37" s="31">
        <f t="shared" si="25"/>
        <v>3.6338847054811905</v>
      </c>
      <c r="AR37" s="31">
        <f t="shared" si="10"/>
        <v>2.0894837056516846</v>
      </c>
      <c r="AS37" s="158">
        <f t="shared" si="11"/>
        <v>1.5444009998295061</v>
      </c>
      <c r="AT37" s="31">
        <f t="shared" si="12"/>
        <v>1.1810125292813869</v>
      </c>
      <c r="AU37" s="31">
        <f t="shared" si="13"/>
        <v>0.90847117637029762</v>
      </c>
      <c r="AV37" s="275">
        <f t="shared" si="14"/>
        <v>0.99931829400732763</v>
      </c>
      <c r="AY37" s="30">
        <f t="shared" si="26"/>
        <v>2.7394649820000003</v>
      </c>
      <c r="AZ37" s="30">
        <f t="shared" si="27"/>
        <v>1.1871014922000001</v>
      </c>
      <c r="BA37" s="30">
        <f t="shared" si="28"/>
        <v>0.63920849579999994</v>
      </c>
      <c r="BB37" s="30">
        <f t="shared" si="29"/>
        <v>0.27394649820000017</v>
      </c>
      <c r="BC37" s="30">
        <f t="shared" si="30"/>
        <v>0</v>
      </c>
      <c r="BD37" s="30">
        <f t="shared" si="31"/>
        <v>9.1315499400000055E-2</v>
      </c>
    </row>
    <row r="38" spans="1:56">
      <c r="A38" s="10">
        <v>2017</v>
      </c>
      <c r="B38" s="9">
        <f>Fig1_future_Kaya!J31</f>
        <v>905814.44717206201</v>
      </c>
      <c r="C38" s="30">
        <f>Fig1_future_Kaya!R31</f>
        <v>14.555888031102301</v>
      </c>
      <c r="D38" s="9">
        <f>Fig1_future_Kaya!AJ31</f>
        <v>0.97062137300000007</v>
      </c>
      <c r="E38" s="9">
        <f>Fig1_future_Kaya!AK31</f>
        <v>0.97062137299999984</v>
      </c>
      <c r="F38" s="9">
        <f>Fig1_future_Kaya!AL31</f>
        <v>0.97062137299999984</v>
      </c>
      <c r="G38" s="9"/>
      <c r="H38" s="266">
        <f t="shared" si="16"/>
        <v>293.87097179105825</v>
      </c>
      <c r="I38" s="266">
        <f t="shared" si="16"/>
        <v>168.97580877985848</v>
      </c>
      <c r="J38" s="266">
        <f t="shared" si="16"/>
        <v>124.89516301119976</v>
      </c>
      <c r="K38" s="266">
        <f t="shared" si="16"/>
        <v>95.508065832093919</v>
      </c>
      <c r="L38" s="266">
        <f t="shared" si="16"/>
        <v>73.467742947764563</v>
      </c>
      <c r="M38" s="266">
        <f t="shared" si="16"/>
        <v>80.814517242541029</v>
      </c>
      <c r="N38" s="264"/>
      <c r="O38" s="50">
        <f t="shared" si="17"/>
        <v>3.8824854920000003</v>
      </c>
      <c r="P38" s="50">
        <f t="shared" si="32"/>
        <v>2.2324291579</v>
      </c>
      <c r="Q38" s="158">
        <f t="shared" si="33"/>
        <v>1.6500563341000001</v>
      </c>
      <c r="R38" s="50">
        <f t="shared" si="34"/>
        <v>1.2618077849000002</v>
      </c>
      <c r="S38" s="50">
        <f t="shared" si="35"/>
        <v>0.97062137300000007</v>
      </c>
      <c r="T38" s="50">
        <f t="shared" si="36"/>
        <v>1.0676835103000002</v>
      </c>
      <c r="U38" s="87"/>
      <c r="V38" s="266">
        <f t="shared" si="23"/>
        <v>293.87097179105825</v>
      </c>
      <c r="W38" s="266">
        <f t="shared" si="23"/>
        <v>168.97580877985848</v>
      </c>
      <c r="X38" s="266">
        <f t="shared" si="23"/>
        <v>124.89516301119976</v>
      </c>
      <c r="Y38" s="266">
        <f t="shared" si="23"/>
        <v>95.508065832093919</v>
      </c>
      <c r="Z38" s="266">
        <f t="shared" si="23"/>
        <v>73.467742947764563</v>
      </c>
      <c r="AA38" s="266">
        <f t="shared" si="23"/>
        <v>80.814517242541029</v>
      </c>
      <c r="AC38" s="31">
        <f t="shared" si="3"/>
        <v>3.8746692706010064</v>
      </c>
      <c r="AD38" s="31">
        <f t="shared" si="4"/>
        <v>2.2279348305955788</v>
      </c>
      <c r="AE38" s="158">
        <f t="shared" si="5"/>
        <v>1.6467344400054278</v>
      </c>
      <c r="AF38" s="31">
        <f t="shared" si="6"/>
        <v>1.259267512945327</v>
      </c>
      <c r="AG38" s="31">
        <f t="shared" si="7"/>
        <v>0.9686673176502516</v>
      </c>
      <c r="AH38" s="31">
        <f t="shared" si="8"/>
        <v>1.065534049415277</v>
      </c>
      <c r="AI38" s="87"/>
      <c r="AJ38" s="266">
        <f t="shared" si="24"/>
        <v>293.87097179105825</v>
      </c>
      <c r="AK38" s="266">
        <f t="shared" si="24"/>
        <v>168.97580877985848</v>
      </c>
      <c r="AL38" s="266">
        <f t="shared" si="24"/>
        <v>124.89516301119976</v>
      </c>
      <c r="AM38" s="266">
        <f t="shared" si="24"/>
        <v>95.508065832093919</v>
      </c>
      <c r="AN38" s="266">
        <f t="shared" si="24"/>
        <v>73.467742947764563</v>
      </c>
      <c r="AO38" s="266">
        <f t="shared" si="24"/>
        <v>80.814517242541029</v>
      </c>
      <c r="AQ38" s="31">
        <f t="shared" si="25"/>
        <v>3.8746692706010064</v>
      </c>
      <c r="AR38" s="31">
        <f t="shared" si="10"/>
        <v>2.2279348305955788</v>
      </c>
      <c r="AS38" s="158">
        <f t="shared" si="11"/>
        <v>1.6467344400054278</v>
      </c>
      <c r="AT38" s="31">
        <f t="shared" si="12"/>
        <v>1.259267512945327</v>
      </c>
      <c r="AU38" s="31">
        <f t="shared" si="13"/>
        <v>0.9686673176502516</v>
      </c>
      <c r="AV38" s="275">
        <f t="shared" si="14"/>
        <v>1.065534049415277</v>
      </c>
      <c r="AY38" s="30">
        <f t="shared" si="26"/>
        <v>2.9118641190000001</v>
      </c>
      <c r="AZ38" s="30">
        <f t="shared" si="27"/>
        <v>1.2618077848999998</v>
      </c>
      <c r="BA38" s="30">
        <f t="shared" si="28"/>
        <v>0.67943496110000001</v>
      </c>
      <c r="BB38" s="30">
        <f t="shared" si="29"/>
        <v>0.29118641190000016</v>
      </c>
      <c r="BC38" s="30">
        <f t="shared" si="30"/>
        <v>0</v>
      </c>
      <c r="BD38" s="30">
        <f t="shared" si="31"/>
        <v>9.7062137300000129E-2</v>
      </c>
    </row>
    <row r="39" spans="1:56">
      <c r="A39" s="10">
        <v>2018</v>
      </c>
      <c r="B39" s="9">
        <f>Fig1_future_Kaya!J32</f>
        <v>954497.96583072376</v>
      </c>
      <c r="C39" s="30">
        <f>Fig1_future_Kaya!R32</f>
        <v>14.424016294141925</v>
      </c>
      <c r="D39" s="9">
        <f>Fig1_future_Kaya!AJ32</f>
        <v>1.007615221</v>
      </c>
      <c r="E39" s="9">
        <f>Fig1_future_Kaya!AK32</f>
        <v>1.007615221</v>
      </c>
      <c r="F39" s="9">
        <f>Fig1_future_Kaya!AL32</f>
        <v>1.007615221</v>
      </c>
      <c r="G39" s="9"/>
      <c r="H39" s="266">
        <f t="shared" si="16"/>
        <v>293.87097179105825</v>
      </c>
      <c r="I39" s="266">
        <f t="shared" si="16"/>
        <v>168.97580877985848</v>
      </c>
      <c r="J39" s="266">
        <f t="shared" si="16"/>
        <v>124.89516301119976</v>
      </c>
      <c r="K39" s="266">
        <f t="shared" si="16"/>
        <v>95.508065832093919</v>
      </c>
      <c r="L39" s="266">
        <f t="shared" si="16"/>
        <v>73.467742947764563</v>
      </c>
      <c r="M39" s="266">
        <f t="shared" si="16"/>
        <v>80.814517242541029</v>
      </c>
      <c r="N39" s="264"/>
      <c r="O39" s="50">
        <f t="shared" si="17"/>
        <v>4.030460884</v>
      </c>
      <c r="P39" s="50">
        <f t="shared" si="32"/>
        <v>2.3175150083</v>
      </c>
      <c r="Q39" s="158">
        <f t="shared" si="33"/>
        <v>1.7129458757</v>
      </c>
      <c r="R39" s="50">
        <f t="shared" si="34"/>
        <v>1.3098997873</v>
      </c>
      <c r="S39" s="50">
        <f t="shared" si="35"/>
        <v>1.007615221</v>
      </c>
      <c r="T39" s="50">
        <f t="shared" si="36"/>
        <v>1.1083767431</v>
      </c>
      <c r="U39" s="87"/>
      <c r="V39" s="266">
        <f t="shared" si="23"/>
        <v>293.87097179105825</v>
      </c>
      <c r="W39" s="266">
        <f t="shared" si="23"/>
        <v>168.97580877985848</v>
      </c>
      <c r="X39" s="266">
        <f t="shared" si="23"/>
        <v>124.89516301119976</v>
      </c>
      <c r="Y39" s="266">
        <f t="shared" si="23"/>
        <v>95.508065832093919</v>
      </c>
      <c r="Z39" s="266">
        <f t="shared" si="23"/>
        <v>73.467742947764563</v>
      </c>
      <c r="AA39" s="266">
        <f t="shared" si="23"/>
        <v>80.814517242541029</v>
      </c>
      <c r="AC39" s="31">
        <f t="shared" si="3"/>
        <v>4.0459256773636838</v>
      </c>
      <c r="AD39" s="31">
        <f t="shared" si="4"/>
        <v>2.3264072644841178</v>
      </c>
      <c r="AE39" s="158">
        <f t="shared" si="5"/>
        <v>1.7195184128795655</v>
      </c>
      <c r="AF39" s="31">
        <f t="shared" si="6"/>
        <v>1.3149258451431971</v>
      </c>
      <c r="AG39" s="31">
        <f t="shared" si="7"/>
        <v>1.011481419340921</v>
      </c>
      <c r="AH39" s="31">
        <f t="shared" si="8"/>
        <v>1.1126295612750132</v>
      </c>
      <c r="AI39" s="87"/>
      <c r="AJ39" s="266">
        <f t="shared" si="24"/>
        <v>293.87097179105825</v>
      </c>
      <c r="AK39" s="266">
        <f t="shared" si="24"/>
        <v>168.97580877985848</v>
      </c>
      <c r="AL39" s="266">
        <f t="shared" si="24"/>
        <v>124.89516301119976</v>
      </c>
      <c r="AM39" s="266">
        <f t="shared" si="24"/>
        <v>95.508065832093919</v>
      </c>
      <c r="AN39" s="266">
        <f t="shared" si="24"/>
        <v>73.467742947764563</v>
      </c>
      <c r="AO39" s="266">
        <f t="shared" si="24"/>
        <v>80.814517242541029</v>
      </c>
      <c r="AQ39" s="31">
        <f t="shared" si="25"/>
        <v>4.0459256773636838</v>
      </c>
      <c r="AR39" s="31">
        <f t="shared" si="10"/>
        <v>2.3264072644841178</v>
      </c>
      <c r="AS39" s="158">
        <f t="shared" si="11"/>
        <v>1.7195184128795655</v>
      </c>
      <c r="AT39" s="31">
        <f t="shared" si="12"/>
        <v>1.3149258451431971</v>
      </c>
      <c r="AU39" s="31">
        <f t="shared" si="13"/>
        <v>1.011481419340921</v>
      </c>
      <c r="AV39" s="275">
        <f t="shared" si="14"/>
        <v>1.1126295612750132</v>
      </c>
      <c r="AY39" s="30">
        <f t="shared" si="26"/>
        <v>3.022845663</v>
      </c>
      <c r="AZ39" s="30">
        <f t="shared" si="27"/>
        <v>1.3098997873</v>
      </c>
      <c r="BA39" s="30">
        <f t="shared" si="28"/>
        <v>0.7053306547</v>
      </c>
      <c r="BB39" s="30">
        <f t="shared" si="29"/>
        <v>0.3022845663</v>
      </c>
      <c r="BC39" s="30">
        <f t="shared" si="30"/>
        <v>0</v>
      </c>
      <c r="BD39" s="30">
        <f t="shared" si="31"/>
        <v>0.1007615221</v>
      </c>
    </row>
    <row r="40" spans="1:56">
      <c r="A40" s="10">
        <v>2019</v>
      </c>
      <c r="B40" s="9">
        <f>Fig1_future_Kaya!J33</f>
        <v>995212.48929121357</v>
      </c>
      <c r="C40" s="30">
        <f>Fig1_future_Kaya!R33</f>
        <v>14.046170256969022</v>
      </c>
      <c r="D40" s="9">
        <f>Fig1_future_Kaya!AJ33</f>
        <v>1.0269999999999999</v>
      </c>
      <c r="E40" s="9">
        <f>Fig1_future_Kaya!AK33</f>
        <v>1.0269999999999999</v>
      </c>
      <c r="F40" s="9">
        <f>Fig1_future_Kaya!AL33</f>
        <v>1.0269999999999999</v>
      </c>
      <c r="G40" s="9"/>
      <c r="H40" s="266">
        <f t="shared" si="16"/>
        <v>293.87097179105825</v>
      </c>
      <c r="I40" s="266">
        <f t="shared" si="16"/>
        <v>168.97580877985848</v>
      </c>
      <c r="J40" s="266">
        <f t="shared" si="16"/>
        <v>124.89516301119976</v>
      </c>
      <c r="K40" s="266">
        <f t="shared" si="16"/>
        <v>95.508065832093919</v>
      </c>
      <c r="L40" s="266">
        <f t="shared" si="16"/>
        <v>73.467742947764563</v>
      </c>
      <c r="M40" s="266">
        <f t="shared" si="16"/>
        <v>80.814517242541029</v>
      </c>
      <c r="N40" s="264"/>
      <c r="O40" s="50">
        <f t="shared" si="17"/>
        <v>4.1079999999999997</v>
      </c>
      <c r="P40" s="50">
        <f t="shared" si="32"/>
        <v>2.3620999999999994</v>
      </c>
      <c r="Q40" s="158">
        <f t="shared" si="33"/>
        <v>1.7458999999999998</v>
      </c>
      <c r="R40" s="50">
        <f t="shared" si="34"/>
        <v>1.3351</v>
      </c>
      <c r="S40" s="50">
        <f t="shared" si="35"/>
        <v>1.0269999999999999</v>
      </c>
      <c r="T40" s="50">
        <f t="shared" si="36"/>
        <v>1.1296999999999999</v>
      </c>
      <c r="U40" s="87"/>
      <c r="V40" s="266">
        <f t="shared" si="23"/>
        <v>293.87097179105825</v>
      </c>
      <c r="W40" s="266">
        <f t="shared" si="23"/>
        <v>168.97580877985848</v>
      </c>
      <c r="X40" s="266">
        <f t="shared" si="23"/>
        <v>124.89516301119976</v>
      </c>
      <c r="Y40" s="266">
        <f t="shared" si="23"/>
        <v>95.508065832093919</v>
      </c>
      <c r="Z40" s="266">
        <f t="shared" si="23"/>
        <v>73.467742947764563</v>
      </c>
      <c r="AA40" s="266">
        <f t="shared" si="23"/>
        <v>80.814517242541029</v>
      </c>
      <c r="AC40" s="31">
        <f t="shared" si="3"/>
        <v>4.1079999999999988</v>
      </c>
      <c r="AD40" s="31">
        <f t="shared" si="4"/>
        <v>2.3620999999999994</v>
      </c>
      <c r="AE40" s="158">
        <f t="shared" si="5"/>
        <v>1.7458999999999998</v>
      </c>
      <c r="AF40" s="31">
        <f t="shared" si="6"/>
        <v>1.3350999999999995</v>
      </c>
      <c r="AG40" s="31">
        <f t="shared" si="7"/>
        <v>1.0269999999999997</v>
      </c>
      <c r="AH40" s="31">
        <f t="shared" si="8"/>
        <v>1.1296999999999999</v>
      </c>
      <c r="AI40" s="87"/>
      <c r="AJ40" s="266">
        <f t="shared" si="24"/>
        <v>293.87097179105825</v>
      </c>
      <c r="AK40" s="266">
        <f t="shared" si="24"/>
        <v>168.97580877985848</v>
      </c>
      <c r="AL40" s="266">
        <f t="shared" si="24"/>
        <v>124.89516301119976</v>
      </c>
      <c r="AM40" s="266">
        <f t="shared" si="24"/>
        <v>95.508065832093919</v>
      </c>
      <c r="AN40" s="266">
        <f t="shared" si="24"/>
        <v>73.467742947764563</v>
      </c>
      <c r="AO40" s="266">
        <f t="shared" si="24"/>
        <v>80.814517242541029</v>
      </c>
      <c r="AQ40" s="31">
        <f t="shared" si="25"/>
        <v>4.1079999999999988</v>
      </c>
      <c r="AR40" s="31">
        <f t="shared" si="10"/>
        <v>2.3620999999999994</v>
      </c>
      <c r="AS40" s="158">
        <f t="shared" si="11"/>
        <v>1.7458999999999998</v>
      </c>
      <c r="AT40" s="31">
        <f t="shared" si="12"/>
        <v>1.3350999999999995</v>
      </c>
      <c r="AU40" s="31">
        <f t="shared" si="13"/>
        <v>1.0269999999999997</v>
      </c>
      <c r="AV40" s="275">
        <f t="shared" si="14"/>
        <v>1.1296999999999999</v>
      </c>
      <c r="AY40" s="30">
        <f t="shared" si="26"/>
        <v>3.0809999999999995</v>
      </c>
      <c r="AZ40" s="30">
        <f t="shared" si="27"/>
        <v>1.3350999999999995</v>
      </c>
      <c r="BA40" s="30">
        <f t="shared" si="28"/>
        <v>0.71889999999999987</v>
      </c>
      <c r="BB40" s="30">
        <f t="shared" si="29"/>
        <v>0.30810000000000004</v>
      </c>
      <c r="BC40" s="30">
        <f t="shared" si="30"/>
        <v>0</v>
      </c>
      <c r="BD40" s="30">
        <f t="shared" si="31"/>
        <v>0.10270000000000001</v>
      </c>
    </row>
    <row r="41" spans="1:56">
      <c r="A41" s="10">
        <v>2020</v>
      </c>
      <c r="B41" s="9">
        <f>Fig1_future_Kaya!J34</f>
        <v>449630.976503552</v>
      </c>
      <c r="C41" s="30">
        <f>Fig1_future_Kaya!R34</f>
        <v>18.345083922942074</v>
      </c>
      <c r="D41" s="9">
        <f>Fig1_future_Kaya!AJ34</f>
        <v>0.60599999999999998</v>
      </c>
      <c r="E41" s="9">
        <f>Fig1_future_Kaya!AK34</f>
        <v>0.60599999999999987</v>
      </c>
      <c r="F41" s="9">
        <f>Fig1_future_Kaya!AL34</f>
        <v>0.60599999999999987</v>
      </c>
      <c r="G41" s="9"/>
      <c r="H41" s="266">
        <f t="shared" si="16"/>
        <v>293.87097179105825</v>
      </c>
      <c r="I41" s="266">
        <f t="shared" si="16"/>
        <v>168.97580877985848</v>
      </c>
      <c r="J41" s="266">
        <f t="shared" si="16"/>
        <v>124.89516301119976</v>
      </c>
      <c r="K41" s="266">
        <f t="shared" si="16"/>
        <v>95.508065832093919</v>
      </c>
      <c r="L41" s="266">
        <f t="shared" si="16"/>
        <v>73.467742947764563</v>
      </c>
      <c r="M41" s="266">
        <f t="shared" si="16"/>
        <v>80.814517242541029</v>
      </c>
      <c r="N41" s="264"/>
      <c r="O41" s="50">
        <f t="shared" si="17"/>
        <v>2.4239999999999999</v>
      </c>
      <c r="P41" s="50">
        <f t="shared" si="32"/>
        <v>1.3937999999999999</v>
      </c>
      <c r="Q41" s="158">
        <f t="shared" si="33"/>
        <v>1.0302</v>
      </c>
      <c r="R41" s="50">
        <f t="shared" si="34"/>
        <v>0.78780000000000006</v>
      </c>
      <c r="S41" s="50">
        <f t="shared" si="35"/>
        <v>0.60599999999999998</v>
      </c>
      <c r="T41" s="50">
        <f t="shared" si="36"/>
        <v>0.66660000000000008</v>
      </c>
      <c r="U41" s="87"/>
      <c r="V41" s="266">
        <f t="shared" si="23"/>
        <v>293.87097179105825</v>
      </c>
      <c r="W41" s="266">
        <f t="shared" si="23"/>
        <v>168.97580877985848</v>
      </c>
      <c r="X41" s="266">
        <f t="shared" si="23"/>
        <v>124.89516301119976</v>
      </c>
      <c r="Y41" s="266">
        <f t="shared" si="23"/>
        <v>95.508065832093919</v>
      </c>
      <c r="Z41" s="266">
        <f t="shared" si="23"/>
        <v>73.467742947764563</v>
      </c>
      <c r="AA41" s="266">
        <f t="shared" si="23"/>
        <v>80.814517242541029</v>
      </c>
      <c r="AC41" s="31">
        <f t="shared" si="3"/>
        <v>2.4239999999999986</v>
      </c>
      <c r="AD41" s="31">
        <f t="shared" si="4"/>
        <v>1.3937999999999993</v>
      </c>
      <c r="AE41" s="158">
        <f t="shared" si="5"/>
        <v>1.0301999999999996</v>
      </c>
      <c r="AF41" s="31">
        <f t="shared" si="6"/>
        <v>0.7877999999999995</v>
      </c>
      <c r="AG41" s="31">
        <f t="shared" si="7"/>
        <v>0.60599999999999965</v>
      </c>
      <c r="AH41" s="31">
        <f t="shared" si="8"/>
        <v>0.66659999999999975</v>
      </c>
      <c r="AI41" s="87"/>
      <c r="AJ41" s="266">
        <f t="shared" si="24"/>
        <v>293.87097179105825</v>
      </c>
      <c r="AK41" s="266">
        <f t="shared" si="24"/>
        <v>168.97580877985848</v>
      </c>
      <c r="AL41" s="266">
        <f t="shared" si="24"/>
        <v>124.89516301119976</v>
      </c>
      <c r="AM41" s="266">
        <f t="shared" si="24"/>
        <v>95.508065832093919</v>
      </c>
      <c r="AN41" s="266">
        <f t="shared" si="24"/>
        <v>73.467742947764563</v>
      </c>
      <c r="AO41" s="266">
        <f t="shared" si="24"/>
        <v>80.814517242541029</v>
      </c>
      <c r="AQ41" s="31">
        <f t="shared" si="25"/>
        <v>2.4239999999999986</v>
      </c>
      <c r="AR41" s="31">
        <f t="shared" si="10"/>
        <v>1.3937999999999993</v>
      </c>
      <c r="AS41" s="158">
        <f t="shared" si="11"/>
        <v>1.0301999999999996</v>
      </c>
      <c r="AT41" s="31">
        <f t="shared" si="12"/>
        <v>0.7877999999999995</v>
      </c>
      <c r="AU41" s="31">
        <f t="shared" si="13"/>
        <v>0.60599999999999965</v>
      </c>
      <c r="AV41" s="275">
        <f t="shared" si="14"/>
        <v>0.66659999999999975</v>
      </c>
      <c r="AY41" s="30">
        <f t="shared" si="26"/>
        <v>1.8180000000000001</v>
      </c>
      <c r="AZ41" s="30">
        <f t="shared" si="27"/>
        <v>0.78779999999999994</v>
      </c>
      <c r="BA41" s="30">
        <f t="shared" si="28"/>
        <v>0.42420000000000002</v>
      </c>
      <c r="BB41" s="30">
        <f t="shared" si="29"/>
        <v>0.18180000000000007</v>
      </c>
      <c r="BC41" s="30">
        <f t="shared" si="30"/>
        <v>0</v>
      </c>
      <c r="BD41" s="30">
        <f t="shared" si="31"/>
        <v>6.0600000000000098E-2</v>
      </c>
    </row>
    <row r="42" spans="1:56" s="45" customFormat="1" ht="17" thickBot="1">
      <c r="A42" s="76">
        <v>2021</v>
      </c>
      <c r="B42" s="77">
        <f>Fig1_future_Kaya!J35</f>
        <v>786165.89525788592</v>
      </c>
      <c r="C42" s="98">
        <f>Fig1_future_Kaya!R35</f>
        <v>12.574809105739336</v>
      </c>
      <c r="D42" s="9">
        <f>Fig1_future_Kaya!AJ35</f>
        <v>0.72629373574285117</v>
      </c>
      <c r="E42" s="9">
        <f>Fig1_future_Kaya!AK35</f>
        <v>0.72629373574285128</v>
      </c>
      <c r="F42" s="9">
        <f>Fig1_future_Kaya!AL35</f>
        <v>0.72629373574285128</v>
      </c>
      <c r="G42" s="77"/>
      <c r="H42" s="270">
        <f t="shared" si="16"/>
        <v>293.87097179105825</v>
      </c>
      <c r="I42" s="270">
        <f t="shared" si="16"/>
        <v>168.97580877985848</v>
      </c>
      <c r="J42" s="270">
        <f t="shared" si="16"/>
        <v>124.89516301119976</v>
      </c>
      <c r="K42" s="270">
        <f t="shared" si="16"/>
        <v>95.508065832093919</v>
      </c>
      <c r="L42" s="270">
        <f t="shared" si="16"/>
        <v>73.467742947764563</v>
      </c>
      <c r="M42" s="270">
        <f t="shared" si="16"/>
        <v>80.814517242541029</v>
      </c>
      <c r="N42" s="265"/>
      <c r="O42" s="78">
        <f t="shared" si="17"/>
        <v>2.9051749429714047</v>
      </c>
      <c r="P42" s="78">
        <f t="shared" si="32"/>
        <v>1.6704755922085575</v>
      </c>
      <c r="Q42" s="274">
        <f t="shared" si="33"/>
        <v>1.234699350762847</v>
      </c>
      <c r="R42" s="78">
        <f t="shared" si="34"/>
        <v>0.94418185646570651</v>
      </c>
      <c r="S42" s="78">
        <f t="shared" si="35"/>
        <v>0.72629373574285117</v>
      </c>
      <c r="T42" s="78">
        <f t="shared" si="36"/>
        <v>0.79892310931713639</v>
      </c>
      <c r="U42" s="99"/>
      <c r="V42" s="270">
        <f t="shared" si="23"/>
        <v>293.87097179105825</v>
      </c>
      <c r="W42" s="270">
        <f t="shared" si="23"/>
        <v>168.97580877985848</v>
      </c>
      <c r="X42" s="270">
        <f t="shared" si="23"/>
        <v>124.89516301119976</v>
      </c>
      <c r="Y42" s="270">
        <f t="shared" si="23"/>
        <v>95.508065832093919</v>
      </c>
      <c r="Z42" s="270">
        <f t="shared" si="23"/>
        <v>73.467742947764563</v>
      </c>
      <c r="AA42" s="270">
        <f t="shared" si="23"/>
        <v>80.814517242541029</v>
      </c>
      <c r="AC42" s="148">
        <f t="shared" si="3"/>
        <v>2.9051749429714051</v>
      </c>
      <c r="AD42" s="148">
        <f t="shared" si="4"/>
        <v>1.6704755922085577</v>
      </c>
      <c r="AE42" s="274">
        <f t="shared" si="5"/>
        <v>1.2346993507628472</v>
      </c>
      <c r="AF42" s="148">
        <f t="shared" si="6"/>
        <v>0.94418185646570651</v>
      </c>
      <c r="AG42" s="148">
        <f t="shared" si="7"/>
        <v>0.72629373574285128</v>
      </c>
      <c r="AH42" s="148">
        <f t="shared" si="8"/>
        <v>0.79892310931713639</v>
      </c>
      <c r="AI42" s="99"/>
      <c r="AJ42" s="270">
        <f t="shared" si="24"/>
        <v>293.87097179105825</v>
      </c>
      <c r="AK42" s="270">
        <f t="shared" si="24"/>
        <v>168.97580877985848</v>
      </c>
      <c r="AL42" s="270">
        <f t="shared" si="24"/>
        <v>124.89516301119976</v>
      </c>
      <c r="AM42" s="270">
        <f t="shared" si="24"/>
        <v>95.508065832093919</v>
      </c>
      <c r="AN42" s="270">
        <f t="shared" si="24"/>
        <v>73.467742947764563</v>
      </c>
      <c r="AO42" s="270">
        <f t="shared" si="24"/>
        <v>80.814517242541029</v>
      </c>
      <c r="AQ42" s="148">
        <f t="shared" si="25"/>
        <v>2.9051749429714051</v>
      </c>
      <c r="AR42" s="148">
        <f t="shared" si="10"/>
        <v>1.6704755922085577</v>
      </c>
      <c r="AS42" s="274">
        <f t="shared" si="11"/>
        <v>1.2346993507628472</v>
      </c>
      <c r="AT42" s="148">
        <f t="shared" si="12"/>
        <v>0.94418185646570651</v>
      </c>
      <c r="AU42" s="148">
        <f t="shared" si="13"/>
        <v>0.72629373574285128</v>
      </c>
      <c r="AV42" s="276">
        <f t="shared" si="14"/>
        <v>0.79892310931713639</v>
      </c>
      <c r="AY42" s="30">
        <f t="shared" si="26"/>
        <v>2.1788812072285535</v>
      </c>
      <c r="AZ42" s="30">
        <f t="shared" si="27"/>
        <v>0.94418185646570629</v>
      </c>
      <c r="BA42" s="30">
        <f t="shared" si="28"/>
        <v>0.50840561501999582</v>
      </c>
      <c r="BB42" s="30">
        <f t="shared" si="29"/>
        <v>0.21788812072285535</v>
      </c>
      <c r="BC42" s="30">
        <f t="shared" si="30"/>
        <v>0</v>
      </c>
      <c r="BD42" s="30">
        <f t="shared" si="31"/>
        <v>7.2629373574285228E-2</v>
      </c>
    </row>
    <row r="43" spans="1:56">
      <c r="A43" s="10">
        <v>2022</v>
      </c>
      <c r="B43" s="9">
        <f>Fig1_future_Kaya!J36</f>
        <v>871240.57189419679</v>
      </c>
      <c r="C43" s="30">
        <f>Fig1_future_Kaya!R36</f>
        <v>12.449061014681941</v>
      </c>
      <c r="D43" s="9">
        <f>Fig1_future_Kaya!AJ36</f>
        <v>0.79684047320491125</v>
      </c>
      <c r="E43" s="9">
        <f>Fig1_future_Kaya!AK36</f>
        <v>0.79684047320491125</v>
      </c>
      <c r="F43" s="9">
        <f>Fig1_future_Kaya!AL36</f>
        <v>0.79684047320491125</v>
      </c>
      <c r="G43" s="31"/>
      <c r="H43" s="266">
        <f>Fig1_carbon_eq_intensity!U40</f>
        <v>293.87097179105825</v>
      </c>
      <c r="I43" s="266">
        <f>Fig1_carbon_eq_intensity!AH40</f>
        <v>168.97580877985848</v>
      </c>
      <c r="J43" s="266">
        <f>Fig1_carbon_eq_intensity!H40</f>
        <v>124.89516301119976</v>
      </c>
      <c r="K43" s="266">
        <f>Fig1_carbon_eq_intensity!AU40</f>
        <v>95.508065832093919</v>
      </c>
      <c r="L43" s="266">
        <f>Fig1_carbon_eq_intensity!BH40</f>
        <v>73.467742947764563</v>
      </c>
      <c r="M43" s="266">
        <f>Fig1_carbon_eq_intensity!BU40</f>
        <v>80.814517242541029</v>
      </c>
      <c r="N43" s="264"/>
      <c r="O43" s="50">
        <f>($B43*$C43*H43)/10^9</f>
        <v>3.187361892819645</v>
      </c>
      <c r="P43" s="50">
        <f t="shared" ref="P43:T43" si="37">($B43*$C43*I43)/10^9</f>
        <v>1.8327330883712958</v>
      </c>
      <c r="Q43" s="158">
        <f t="shared" si="37"/>
        <v>1.3546288044483492</v>
      </c>
      <c r="R43" s="50">
        <f t="shared" si="37"/>
        <v>1.0358926151663845</v>
      </c>
      <c r="S43" s="50">
        <f t="shared" si="37"/>
        <v>0.79684047320491125</v>
      </c>
      <c r="T43" s="50">
        <f t="shared" si="37"/>
        <v>0.87652452052540253</v>
      </c>
      <c r="U43" s="87"/>
      <c r="V43" s="267">
        <f>Fig1_carbon_eq_intensity!Y40</f>
        <v>293.87097179105825</v>
      </c>
      <c r="W43" s="267">
        <f>Fig1_carbon_eq_intensity!AL40</f>
        <v>168.97580877985848</v>
      </c>
      <c r="X43" s="267">
        <f>Fig1_carbon_eq_intensity!L40</f>
        <v>124.89516301119976</v>
      </c>
      <c r="Y43" s="267">
        <f>Fig1_carbon_eq_intensity!AY40</f>
        <v>95.508065832093919</v>
      </c>
      <c r="Z43" s="267">
        <f>Fig1_carbon_eq_intensity!BL40</f>
        <v>73.467742947764563</v>
      </c>
      <c r="AA43" s="267">
        <f>Fig1_carbon_eq_intensity!BY40</f>
        <v>80.814517242541029</v>
      </c>
      <c r="AC43" s="31">
        <f>($B43*$C43*V43)/10^9</f>
        <v>3.187361892819645</v>
      </c>
      <c r="AD43" s="31">
        <f t="shared" ref="AD43:AH43" si="38">($B43*$C43*W43)/10^9</f>
        <v>1.8327330883712958</v>
      </c>
      <c r="AE43" s="158">
        <f t="shared" si="38"/>
        <v>1.3546288044483492</v>
      </c>
      <c r="AF43" s="31">
        <f t="shared" si="38"/>
        <v>1.0358926151663845</v>
      </c>
      <c r="AG43" s="31">
        <f t="shared" si="38"/>
        <v>0.79684047320491125</v>
      </c>
      <c r="AH43" s="31">
        <f t="shared" si="38"/>
        <v>0.87652452052540253</v>
      </c>
      <c r="AI43" s="87"/>
      <c r="AJ43" s="266">
        <f>Fig1_carbon_eq_intensity!AC40</f>
        <v>293.87097179105825</v>
      </c>
      <c r="AK43" s="266">
        <f>Fig1_carbon_eq_intensity!AP40</f>
        <v>168.97580877985848</v>
      </c>
      <c r="AL43" s="266">
        <f>Fig1_carbon_eq_intensity!P40</f>
        <v>124.89516301119976</v>
      </c>
      <c r="AM43" s="266">
        <f>Fig1_carbon_eq_intensity!BC40</f>
        <v>95.508065832093919</v>
      </c>
      <c r="AN43" s="266">
        <f>Fig1_carbon_eq_intensity!BP40</f>
        <v>73.467742947764563</v>
      </c>
      <c r="AO43" s="266">
        <f>Fig1_carbon_eq_intensity!CC40</f>
        <v>80.814517242541029</v>
      </c>
      <c r="AQ43" s="31">
        <f>($B43*$C43*AJ43)/10^9</f>
        <v>3.187361892819645</v>
      </c>
      <c r="AR43" s="31">
        <f t="shared" si="10"/>
        <v>1.8327330883712958</v>
      </c>
      <c r="AS43" s="158">
        <f t="shared" si="11"/>
        <v>1.3546288044483492</v>
      </c>
      <c r="AT43" s="31">
        <f t="shared" si="12"/>
        <v>1.0358926151663845</v>
      </c>
      <c r="AU43" s="31">
        <f t="shared" si="13"/>
        <v>0.79684047320491125</v>
      </c>
      <c r="AV43" s="275">
        <f t="shared" si="14"/>
        <v>0.87652452052540253</v>
      </c>
    </row>
    <row r="44" spans="1:56">
      <c r="A44" s="10">
        <v>2023</v>
      </c>
      <c r="B44" s="9">
        <f>Fig1_future_Kaya!J37</f>
        <v>956697.63880917069</v>
      </c>
      <c r="C44" s="30">
        <f>Fig1_future_Kaya!R37</f>
        <v>12.324570404535121</v>
      </c>
      <c r="D44" s="9">
        <f>Fig1_future_Kaya!AJ37</f>
        <v>0.86624988502273925</v>
      </c>
      <c r="E44" s="9">
        <f>Fig1_future_Kaya!AK37</f>
        <v>0.86047488578925457</v>
      </c>
      <c r="F44" s="9">
        <f>Fig1_future_Kaya!AL37</f>
        <v>0.83531238912907013</v>
      </c>
      <c r="H44" s="266">
        <f>Fig1_carbon_eq_intensity!U41</f>
        <v>293.87097179105825</v>
      </c>
      <c r="I44" s="266">
        <f>Fig1_carbon_eq_intensity!AH41</f>
        <v>168.97580877985848</v>
      </c>
      <c r="J44" s="266">
        <f>Fig1_carbon_eq_intensity!H41</f>
        <v>124.89516301119976</v>
      </c>
      <c r="K44" s="266">
        <f>Fig1_carbon_eq_intensity!AU41</f>
        <v>95.508065832093919</v>
      </c>
      <c r="L44" s="266">
        <f>Fig1_carbon_eq_intensity!BH41</f>
        <v>73.467742947764563</v>
      </c>
      <c r="M44" s="266">
        <f>Fig1_carbon_eq_intensity!BU41</f>
        <v>80.814517242541029</v>
      </c>
      <c r="N44" s="264"/>
      <c r="O44" s="50">
        <f t="shared" ref="O44:O71" si="39">($B44*$C44*H44)/10^9</f>
        <v>3.464999540090957</v>
      </c>
      <c r="P44" s="50">
        <f t="shared" ref="P44:P71" si="40">($B44*$C44*I44)/10^9</f>
        <v>1.9923747355523005</v>
      </c>
      <c r="Q44" s="158">
        <f t="shared" ref="Q44:Q71" si="41">($B44*$C44*J44)/10^9</f>
        <v>1.472624804538657</v>
      </c>
      <c r="R44" s="50">
        <f t="shared" ref="R44:R71" si="42">($B44*$C44*K44)/10^9</f>
        <v>1.1261248505295611</v>
      </c>
      <c r="S44" s="50">
        <f t="shared" ref="S44:S71" si="43">($B44*$C44*L44)/10^9</f>
        <v>0.86624988502273925</v>
      </c>
      <c r="T44" s="50">
        <f t="shared" ref="T44:T71" si="44">($B44*$C44*M44)/10^9</f>
        <v>0.95287487352501343</v>
      </c>
      <c r="U44" s="87"/>
      <c r="V44" s="267">
        <f>Fig1_carbon_eq_intensity!Y41</f>
        <v>293.38118683807318</v>
      </c>
      <c r="W44" s="267">
        <f>Fig1_carbon_eq_intensity!AL41</f>
        <v>168.48602382687341</v>
      </c>
      <c r="X44" s="267">
        <f>Fig1_carbon_eq_intensity!L41</f>
        <v>124.40537805821467</v>
      </c>
      <c r="Y44" s="267">
        <f>Fig1_carbon_eq_intensity!AY41</f>
        <v>95.018280879108829</v>
      </c>
      <c r="Z44" s="267">
        <f>Fig1_carbon_eq_intensity!BL41</f>
        <v>72.977957994779473</v>
      </c>
      <c r="AA44" s="267">
        <f>Fig1_carbon_eq_intensity!BY41</f>
        <v>80.324732289555939</v>
      </c>
      <c r="AC44" s="31">
        <f t="shared" ref="AC44:AC71" si="45">($B44*$C44*V44)/10^9</f>
        <v>3.4592245408574729</v>
      </c>
      <c r="AD44" s="31">
        <f t="shared" ref="AD44:AD71" si="46">($B44*$C44*W44)/10^9</f>
        <v>1.9865997363188157</v>
      </c>
      <c r="AE44" s="158">
        <f t="shared" ref="AE44:AE71" si="47">($B44*$C44*X44)/10^9</f>
        <v>1.4668498053051719</v>
      </c>
      <c r="AF44" s="31">
        <f t="shared" ref="AF44:AF71" si="48">($B44*$C44*Y44)/10^9</f>
        <v>1.1203498512960761</v>
      </c>
      <c r="AG44" s="31">
        <f t="shared" ref="AG44:AG71" si="49">($B44*$C44*Z44)/10^9</f>
        <v>0.86047488578925457</v>
      </c>
      <c r="AH44" s="31">
        <f t="shared" ref="AH44:AH71" si="50">($B44*$C44*AA44)/10^9</f>
        <v>0.94709987429152853</v>
      </c>
      <c r="AI44" s="87"/>
      <c r="AJ44" s="266">
        <f>Fig1_carbon_eq_intensity!AC41</f>
        <v>291.24712382863811</v>
      </c>
      <c r="AK44" s="266">
        <f>Fig1_carbon_eq_intensity!AP41</f>
        <v>166.35196081743831</v>
      </c>
      <c r="AL44" s="266">
        <f>Fig1_carbon_eq_intensity!P41</f>
        <v>122.2713150487796</v>
      </c>
      <c r="AM44" s="266">
        <f>Fig1_carbon_eq_intensity!BC41</f>
        <v>92.884217869673748</v>
      </c>
      <c r="AN44" s="266">
        <f>Fig1_carbon_eq_intensity!BP41</f>
        <v>70.843894985344406</v>
      </c>
      <c r="AO44" s="266">
        <f>Fig1_carbon_eq_intensity!CC41</f>
        <v>78.190669280120872</v>
      </c>
      <c r="AQ44" s="31">
        <f t="shared" ref="AQ44:AQ71" si="51">($B44*$C44*AJ44)/10^9</f>
        <v>3.4340620441972884</v>
      </c>
      <c r="AR44" s="31">
        <f t="shared" si="10"/>
        <v>1.961437239658631</v>
      </c>
      <c r="AS44" s="158">
        <f t="shared" si="11"/>
        <v>1.4416873086449875</v>
      </c>
      <c r="AT44" s="31">
        <f t="shared" si="12"/>
        <v>1.0951873546358917</v>
      </c>
      <c r="AU44" s="31">
        <f t="shared" si="13"/>
        <v>0.83531238912907013</v>
      </c>
      <c r="AV44" s="275">
        <f t="shared" si="14"/>
        <v>0.9219373776313442</v>
      </c>
    </row>
    <row r="45" spans="1:56" ht="19">
      <c r="A45" s="10">
        <v>2024</v>
      </c>
      <c r="B45" s="9">
        <f>Fig1_future_Kaya!J38</f>
        <v>1042552.391613954</v>
      </c>
      <c r="C45" s="30">
        <f>Fig1_future_Kaya!R38</f>
        <v>12.201324700489771</v>
      </c>
      <c r="D45" s="9">
        <f>Fig1_future_Kaya!AJ38</f>
        <v>0.93454791169443974</v>
      </c>
      <c r="E45" s="9">
        <f>Fig1_future_Kaya!AK38</f>
        <v>0.92208727287184711</v>
      </c>
      <c r="F45" s="9">
        <f>Fig1_future_Kaya!AL38</f>
        <v>0.86779448943055115</v>
      </c>
      <c r="H45" s="266">
        <f>Fig1_carbon_eq_intensity!U42</f>
        <v>293.87097179105825</v>
      </c>
      <c r="I45" s="266">
        <f>Fig1_carbon_eq_intensity!AH42</f>
        <v>168.97580877985848</v>
      </c>
      <c r="J45" s="266">
        <f>Fig1_carbon_eq_intensity!H42</f>
        <v>124.89516301119976</v>
      </c>
      <c r="K45" s="266">
        <f>Fig1_carbon_eq_intensity!AU42</f>
        <v>95.508065832093919</v>
      </c>
      <c r="L45" s="266">
        <f>Fig1_carbon_eq_intensity!BH42</f>
        <v>73.467742947764563</v>
      </c>
      <c r="M45" s="266">
        <f>Fig1_carbon_eq_intensity!BU42</f>
        <v>80.814517242541029</v>
      </c>
      <c r="N45" s="264"/>
      <c r="O45" s="50">
        <f t="shared" si="39"/>
        <v>3.7381916467777589</v>
      </c>
      <c r="P45" s="50">
        <f t="shared" si="40"/>
        <v>2.1494601968972109</v>
      </c>
      <c r="Q45" s="158">
        <f t="shared" si="41"/>
        <v>1.5887314498805476</v>
      </c>
      <c r="R45" s="50">
        <f t="shared" si="42"/>
        <v>1.2149122852027714</v>
      </c>
      <c r="S45" s="50">
        <f t="shared" si="43"/>
        <v>0.93454791169443974</v>
      </c>
      <c r="T45" s="50">
        <f t="shared" si="44"/>
        <v>1.0280027028638838</v>
      </c>
      <c r="U45" s="87"/>
      <c r="V45" s="267">
        <f>Fig1_carbon_eq_intensity!Y42</f>
        <v>292.89140188508804</v>
      </c>
      <c r="W45" s="267">
        <f>Fig1_carbon_eq_intensity!AL42</f>
        <v>167.99623887388827</v>
      </c>
      <c r="X45" s="267">
        <f>Fig1_carbon_eq_intensity!L42</f>
        <v>123.91559310522956</v>
      </c>
      <c r="Y45" s="267">
        <f>Fig1_carbon_eq_intensity!AY42</f>
        <v>94.528495926123725</v>
      </c>
      <c r="Z45" s="267">
        <f>Fig1_carbon_eq_intensity!BL42</f>
        <v>72.488173041794369</v>
      </c>
      <c r="AA45" s="267">
        <f>Fig1_carbon_eq_intensity!BY42</f>
        <v>79.834947336570849</v>
      </c>
      <c r="AC45" s="31">
        <f t="shared" si="45"/>
        <v>3.7257310079551664</v>
      </c>
      <c r="AD45" s="31">
        <f t="shared" si="46"/>
        <v>2.1369995580746184</v>
      </c>
      <c r="AE45" s="158">
        <f t="shared" si="47"/>
        <v>1.5762708110579551</v>
      </c>
      <c r="AF45" s="31">
        <f t="shared" si="48"/>
        <v>1.2024516463801789</v>
      </c>
      <c r="AG45" s="31">
        <f t="shared" si="49"/>
        <v>0.92208727287184711</v>
      </c>
      <c r="AH45" s="31">
        <f t="shared" si="50"/>
        <v>1.0155420640412915</v>
      </c>
      <c r="AI45" s="87"/>
      <c r="AJ45" s="266">
        <f>Fig1_carbon_eq_intensity!AC42</f>
        <v>288.62327586621791</v>
      </c>
      <c r="AK45" s="266">
        <f>Fig1_carbon_eq_intensity!AP42</f>
        <v>163.72811285501814</v>
      </c>
      <c r="AL45" s="266">
        <f>Fig1_carbon_eq_intensity!P42</f>
        <v>119.64746708635944</v>
      </c>
      <c r="AM45" s="266">
        <f>Fig1_carbon_eq_intensity!BC42</f>
        <v>90.26036990725359</v>
      </c>
      <c r="AN45" s="266">
        <f>Fig1_carbon_eq_intensity!BP42</f>
        <v>68.220047022924234</v>
      </c>
      <c r="AO45" s="266">
        <f>Fig1_carbon_eq_intensity!CC42</f>
        <v>75.566821317700715</v>
      </c>
      <c r="AQ45" s="31">
        <f t="shared" si="51"/>
        <v>3.6714382245138704</v>
      </c>
      <c r="AR45" s="31">
        <f t="shared" si="10"/>
        <v>2.0827067746333223</v>
      </c>
      <c r="AS45" s="158">
        <f t="shared" si="11"/>
        <v>1.5219780276166592</v>
      </c>
      <c r="AT45" s="31">
        <f t="shared" si="12"/>
        <v>1.1481588629388828</v>
      </c>
      <c r="AU45" s="31">
        <f t="shared" si="13"/>
        <v>0.86779448943055115</v>
      </c>
      <c r="AV45" s="275">
        <f t="shared" si="14"/>
        <v>0.96124928059999537</v>
      </c>
      <c r="AY45" s="332" t="s">
        <v>325</v>
      </c>
      <c r="AZ45" s="332"/>
      <c r="BA45" s="332"/>
      <c r="BB45" s="332"/>
    </row>
    <row r="46" spans="1:56">
      <c r="A46" s="10">
        <v>2025</v>
      </c>
      <c r="B46" s="9">
        <f>Fig1_future_Kaya!J39</f>
        <v>1084254.4872785122</v>
      </c>
      <c r="C46" s="30">
        <f>Fig1_future_Kaya!R39</f>
        <v>12.079311453484873</v>
      </c>
      <c r="D46" s="9">
        <f>Fig1_future_Kaya!AJ39</f>
        <v>0.9622105298805953</v>
      </c>
      <c r="E46" s="9">
        <f>Fig1_future_Kaya!AK39</f>
        <v>0.94042408208619643</v>
      </c>
      <c r="F46" s="9">
        <f>Fig1_future_Kaya!AL39</f>
        <v>0.85020816682828526</v>
      </c>
      <c r="H46" s="266">
        <f>Fig1_carbon_eq_intensity!U43</f>
        <v>293.87097179105825</v>
      </c>
      <c r="I46" s="266">
        <f>Fig1_carbon_eq_intensity!AH43</f>
        <v>168.97580877985848</v>
      </c>
      <c r="J46" s="266">
        <f>Fig1_carbon_eq_intensity!H43</f>
        <v>124.89516301119976</v>
      </c>
      <c r="K46" s="266">
        <f>Fig1_carbon_eq_intensity!AU43</f>
        <v>95.508065832093919</v>
      </c>
      <c r="L46" s="266">
        <f>Fig1_carbon_eq_intensity!BH43</f>
        <v>73.467742947764563</v>
      </c>
      <c r="M46" s="266">
        <f>Fig1_carbon_eq_intensity!BU43</f>
        <v>80.814517242541029</v>
      </c>
      <c r="N46" s="264"/>
      <c r="O46" s="50">
        <f t="shared" si="39"/>
        <v>3.8488421195223812</v>
      </c>
      <c r="P46" s="50">
        <f t="shared" si="40"/>
        <v>2.2130842187253688</v>
      </c>
      <c r="Q46" s="158">
        <f t="shared" si="41"/>
        <v>1.6357579007970118</v>
      </c>
      <c r="R46" s="50">
        <f t="shared" si="42"/>
        <v>1.2508736888447738</v>
      </c>
      <c r="S46" s="50">
        <f t="shared" si="43"/>
        <v>0.9622105298805953</v>
      </c>
      <c r="T46" s="50">
        <f t="shared" si="44"/>
        <v>1.058431582868655</v>
      </c>
      <c r="U46" s="87"/>
      <c r="V46" s="267">
        <f>Fig1_carbon_eq_intensity!Y43</f>
        <v>291.61330217285399</v>
      </c>
      <c r="W46" s="267">
        <f>Fig1_carbon_eq_intensity!AL43</f>
        <v>167.05485652113242</v>
      </c>
      <c r="X46" s="267">
        <f>Fig1_carbon_eq_intensity!L43</f>
        <v>123.09305217346602</v>
      </c>
      <c r="Y46" s="267">
        <f>Fig1_carbon_eq_intensity!AY43</f>
        <v>93.785182608355058</v>
      </c>
      <c r="Z46" s="267">
        <f>Fig1_carbon_eq_intensity!BL43</f>
        <v>71.804280434521843</v>
      </c>
      <c r="AA46" s="267">
        <f>Fig1_carbon_eq_intensity!BY43</f>
        <v>79.131247825799591</v>
      </c>
      <c r="AC46" s="31">
        <f t="shared" si="45"/>
        <v>3.819273312962308</v>
      </c>
      <c r="AD46" s="31">
        <f t="shared" si="46"/>
        <v>2.1879254154658447</v>
      </c>
      <c r="AE46" s="158">
        <f t="shared" si="47"/>
        <v>1.6121555692906224</v>
      </c>
      <c r="AF46" s="31">
        <f t="shared" si="48"/>
        <v>1.2283090051738077</v>
      </c>
      <c r="AG46" s="31">
        <f t="shared" si="49"/>
        <v>0.94042408208619643</v>
      </c>
      <c r="AH46" s="31">
        <f t="shared" si="50"/>
        <v>1.0363857231154003</v>
      </c>
      <c r="AI46" s="87"/>
      <c r="AJ46" s="266">
        <f>Fig1_carbon_eq_intensity!AC43</f>
        <v>283.03383383599532</v>
      </c>
      <c r="AK46" s="266">
        <f>Fig1_carbon_eq_intensity!AP43</f>
        <v>159.43373759201936</v>
      </c>
      <c r="AL46" s="266">
        <f>Fig1_carbon_eq_intensity!P43</f>
        <v>115.81017421179257</v>
      </c>
      <c r="AM46" s="266">
        <f>Fig1_carbon_eq_intensity!BC43</f>
        <v>86.727798624974696</v>
      </c>
      <c r="AN46" s="266">
        <f>Fig1_carbon_eq_intensity!BP43</f>
        <v>64.916016934861318</v>
      </c>
      <c r="AO46" s="266">
        <f>Fig1_carbon_eq_intensity!CC43</f>
        <v>72.186610831565787</v>
      </c>
      <c r="AQ46" s="31">
        <f t="shared" si="51"/>
        <v>3.7069076073713241</v>
      </c>
      <c r="AR46" s="31">
        <f t="shared" si="10"/>
        <v>2.0881112577302683</v>
      </c>
      <c r="AS46" s="158">
        <f t="shared" si="11"/>
        <v>1.5167713696216609</v>
      </c>
      <c r="AT46" s="31">
        <f t="shared" si="12"/>
        <v>1.1358781108825891</v>
      </c>
      <c r="AU46" s="31">
        <f t="shared" si="13"/>
        <v>0.85020816682828548</v>
      </c>
      <c r="AV46" s="275">
        <f t="shared" si="14"/>
        <v>0.94543148151305345</v>
      </c>
      <c r="AY46" s="212" t="str">
        <f>O8</f>
        <v>BAU, Carbon Intensive</v>
      </c>
      <c r="AZ46" s="210" t="str">
        <f>AC8</f>
        <v>BAU, Reduced Fossil</v>
      </c>
      <c r="BA46" s="211" t="str">
        <f>AQ8</f>
        <v>BAU, Net-zero</v>
      </c>
    </row>
    <row r="47" spans="1:56">
      <c r="A47" s="10">
        <v>2026</v>
      </c>
      <c r="B47" s="9">
        <f>Fig1_future_Kaya!J40</f>
        <v>1127624.6667696529</v>
      </c>
      <c r="C47" s="30">
        <f>Fig1_future_Kaya!R40</f>
        <v>11.958518338950025</v>
      </c>
      <c r="D47" s="9">
        <f>Fig1_future_Kaya!AJ40</f>
        <v>0.99069196156506112</v>
      </c>
      <c r="E47" s="9">
        <f>Fig1_future_Kaya!AK40</f>
        <v>0.95933690653488302</v>
      </c>
      <c r="F47" s="9">
        <f>Fig1_future_Kaya!AL40</f>
        <v>0.83155417236315521</v>
      </c>
      <c r="H47" s="266">
        <f>Fig1_carbon_eq_intensity!U44</f>
        <v>293.87097179105825</v>
      </c>
      <c r="I47" s="266">
        <f>Fig1_carbon_eq_intensity!AH44</f>
        <v>168.97580877985848</v>
      </c>
      <c r="J47" s="266">
        <f>Fig1_carbon_eq_intensity!H44</f>
        <v>124.89516301119976</v>
      </c>
      <c r="K47" s="266">
        <f>Fig1_carbon_eq_intensity!AU44</f>
        <v>95.508065832093919</v>
      </c>
      <c r="L47" s="266">
        <f>Fig1_carbon_eq_intensity!BH44</f>
        <v>73.467742947764563</v>
      </c>
      <c r="M47" s="266">
        <f>Fig1_carbon_eq_intensity!BU44</f>
        <v>80.814517242541029</v>
      </c>
      <c r="N47" s="264"/>
      <c r="O47" s="50">
        <f t="shared" si="39"/>
        <v>3.9627678462602445</v>
      </c>
      <c r="P47" s="50">
        <f t="shared" si="40"/>
        <v>2.2785915115996405</v>
      </c>
      <c r="Q47" s="158">
        <f t="shared" si="41"/>
        <v>1.6841763346606038</v>
      </c>
      <c r="R47" s="50">
        <f t="shared" si="42"/>
        <v>1.2878995500345793</v>
      </c>
      <c r="S47" s="50">
        <f t="shared" si="43"/>
        <v>0.99069196156506112</v>
      </c>
      <c r="T47" s="50">
        <f t="shared" si="44"/>
        <v>1.0897611577215673</v>
      </c>
      <c r="U47" s="87"/>
      <c r="V47" s="267">
        <f>Fig1_carbon_eq_intensity!Y44</f>
        <v>290.35732914238719</v>
      </c>
      <c r="W47" s="267">
        <f>Fig1_carbon_eq_intensity!AL44</f>
        <v>166.13560085014382</v>
      </c>
      <c r="X47" s="267">
        <f>Fig1_carbon_eq_intensity!L44</f>
        <v>122.2926379234697</v>
      </c>
      <c r="Y47" s="267">
        <f>Fig1_carbon_eq_intensity!AY44</f>
        <v>93.063995972353609</v>
      </c>
      <c r="Z47" s="267">
        <f>Fig1_carbon_eq_intensity!BL44</f>
        <v>71.14251450901655</v>
      </c>
      <c r="AA47" s="267">
        <f>Fig1_carbon_eq_intensity!BY44</f>
        <v>78.449674996795579</v>
      </c>
      <c r="AC47" s="31">
        <f t="shared" si="45"/>
        <v>3.9153873580597898</v>
      </c>
      <c r="AD47" s="31">
        <f t="shared" si="46"/>
        <v>2.2402921021956756</v>
      </c>
      <c r="AE47" s="158">
        <f t="shared" si="47"/>
        <v>1.6490820118906946</v>
      </c>
      <c r="AF47" s="31">
        <f t="shared" si="48"/>
        <v>1.2549419516873737</v>
      </c>
      <c r="AG47" s="31">
        <f t="shared" si="49"/>
        <v>0.95933690653488302</v>
      </c>
      <c r="AH47" s="31">
        <f t="shared" si="50"/>
        <v>1.0578719215857133</v>
      </c>
      <c r="AI47" s="87"/>
      <c r="AJ47" s="266">
        <f>Fig1_carbon_eq_intensity!AC44</f>
        <v>277.49880637582407</v>
      </c>
      <c r="AK47" s="266">
        <f>Fig1_carbon_eq_intensity!AP44</f>
        <v>155.19377689907202</v>
      </c>
      <c r="AL47" s="266">
        <f>Fig1_carbon_eq_intensity!P44</f>
        <v>112.02729590727715</v>
      </c>
      <c r="AM47" s="266">
        <f>Fig1_carbon_eq_intensity!BC44</f>
        <v>83.249641912747222</v>
      </c>
      <c r="AN47" s="266">
        <f>Fig1_carbon_eq_intensity!BP44</f>
        <v>61.666401416849808</v>
      </c>
      <c r="AO47" s="266">
        <f>Fig1_carbon_eq_intensity!CC44</f>
        <v>68.860814915482294</v>
      </c>
      <c r="AQ47" s="31">
        <f t="shared" si="51"/>
        <v>3.7419937756341977</v>
      </c>
      <c r="AR47" s="31">
        <f t="shared" si="10"/>
        <v>2.0927446671139407</v>
      </c>
      <c r="AS47" s="158">
        <f t="shared" si="11"/>
        <v>1.510656746459732</v>
      </c>
      <c r="AT47" s="31">
        <f t="shared" si="12"/>
        <v>1.1225981326902594</v>
      </c>
      <c r="AU47" s="31">
        <f t="shared" si="13"/>
        <v>0.83155417236315521</v>
      </c>
      <c r="AV47" s="275">
        <f t="shared" si="14"/>
        <v>0.92856882580552347</v>
      </c>
      <c r="AY47" s="9">
        <f>Q71-D71</f>
        <v>1.3966304055642778</v>
      </c>
      <c r="AZ47" s="9">
        <f>AE71-E71</f>
        <v>1.2987322006558444</v>
      </c>
      <c r="BA47" s="9">
        <f>AS71-F71</f>
        <v>1.0200988482241486</v>
      </c>
      <c r="BB47" t="s">
        <v>323</v>
      </c>
    </row>
    <row r="48" spans="1:56">
      <c r="A48" s="10">
        <v>2027</v>
      </c>
      <c r="B48" s="9">
        <f>Fig1_future_Kaya!J41</f>
        <v>1172729.6534404391</v>
      </c>
      <c r="C48" s="30">
        <f>Fig1_future_Kaya!R41</f>
        <v>11.838933155560525</v>
      </c>
      <c r="D48" s="9">
        <f>Fig1_future_Kaya!AJ41</f>
        <v>1.0200164436273871</v>
      </c>
      <c r="E48" s="9">
        <f>Fig1_future_Kaya!AK41</f>
        <v>0.97858060777062117</v>
      </c>
      <c r="F48" s="9">
        <f>Fig1_future_Kaya!AL41</f>
        <v>0.81180642774483969</v>
      </c>
      <c r="H48" s="266">
        <f>Fig1_carbon_eq_intensity!U45</f>
        <v>293.87097179105825</v>
      </c>
      <c r="I48" s="266">
        <f>Fig1_carbon_eq_intensity!AH45</f>
        <v>168.97580877985848</v>
      </c>
      <c r="J48" s="266">
        <f>Fig1_carbon_eq_intensity!H45</f>
        <v>124.89516301119976</v>
      </c>
      <c r="K48" s="266">
        <f>Fig1_carbon_eq_intensity!AU45</f>
        <v>95.508065832093919</v>
      </c>
      <c r="L48" s="266">
        <f>Fig1_carbon_eq_intensity!BH45</f>
        <v>73.467742947764563</v>
      </c>
      <c r="M48" s="266">
        <f>Fig1_carbon_eq_intensity!BU45</f>
        <v>80.814517242541029</v>
      </c>
      <c r="N48" s="264"/>
      <c r="O48" s="50">
        <f t="shared" si="39"/>
        <v>4.0800657745095483</v>
      </c>
      <c r="P48" s="50">
        <f t="shared" si="40"/>
        <v>2.3460378203429899</v>
      </c>
      <c r="Q48" s="158">
        <f t="shared" si="41"/>
        <v>1.734027954166558</v>
      </c>
      <c r="R48" s="50">
        <f t="shared" si="42"/>
        <v>1.3260213767156028</v>
      </c>
      <c r="S48" s="50">
        <f t="shared" si="43"/>
        <v>1.0200164436273871</v>
      </c>
      <c r="T48" s="50">
        <f t="shared" si="44"/>
        <v>1.1220180879901258</v>
      </c>
      <c r="U48" s="87"/>
      <c r="V48" s="267">
        <f>Fig1_carbon_eq_intensity!Y45</f>
        <v>289.10389139556827</v>
      </c>
      <c r="W48" s="267">
        <f>Fig1_carbon_eq_intensity!AL45</f>
        <v>165.21888046280304</v>
      </c>
      <c r="X48" s="267">
        <f>Fig1_carbon_eq_intensity!L45</f>
        <v>121.49475895712123</v>
      </c>
      <c r="Y48" s="267">
        <f>Fig1_carbon_eq_intensity!AY45</f>
        <v>92.345344620000006</v>
      </c>
      <c r="Z48" s="267">
        <f>Fig1_carbon_eq_intensity!BL45</f>
        <v>70.483283867159116</v>
      </c>
      <c r="AA48" s="267">
        <f>Fig1_carbon_eq_intensity!BY45</f>
        <v>77.770637451439427</v>
      </c>
      <c r="AC48" s="31">
        <f t="shared" si="45"/>
        <v>4.0138802596646084</v>
      </c>
      <c r="AD48" s="31">
        <f t="shared" si="46"/>
        <v>2.293877123591348</v>
      </c>
      <c r="AE48" s="158">
        <f t="shared" si="47"/>
        <v>1.6868171932125513</v>
      </c>
      <c r="AF48" s="31">
        <f t="shared" si="48"/>
        <v>1.2821105729600195</v>
      </c>
      <c r="AG48" s="31">
        <f t="shared" si="49"/>
        <v>0.97858060777062128</v>
      </c>
      <c r="AH48" s="31">
        <f t="shared" si="50"/>
        <v>1.0797572628337544</v>
      </c>
      <c r="AI48" s="87"/>
      <c r="AJ48" s="266">
        <f>Fig1_carbon_eq_intensity!AC45</f>
        <v>272.01819348570427</v>
      </c>
      <c r="AK48" s="266">
        <f>Fig1_carbon_eq_intensity!AP45</f>
        <v>151.00823077617602</v>
      </c>
      <c r="AL48" s="266">
        <f>Fig1_carbon_eq_intensity!P45</f>
        <v>108.29883217281312</v>
      </c>
      <c r="AM48" s="266">
        <f>Fig1_carbon_eq_intensity!BC45</f>
        <v>79.825899770571169</v>
      </c>
      <c r="AN48" s="266">
        <f>Fig1_carbon_eq_intensity!BP45</f>
        <v>58.47120046888972</v>
      </c>
      <c r="AO48" s="266">
        <f>Fig1_carbon_eq_intensity!CC45</f>
        <v>65.589433569450208</v>
      </c>
      <c r="AQ48" s="31">
        <f t="shared" si="51"/>
        <v>3.7766646855955583</v>
      </c>
      <c r="AR48" s="31">
        <f t="shared" si="10"/>
        <v>2.0965783394801512</v>
      </c>
      <c r="AS48" s="158">
        <f t="shared" si="11"/>
        <v>1.5036066879100074</v>
      </c>
      <c r="AT48" s="31">
        <f t="shared" si="12"/>
        <v>1.1082922535299116</v>
      </c>
      <c r="AU48" s="31">
        <f t="shared" si="13"/>
        <v>0.8118064277448398</v>
      </c>
      <c r="AV48" s="275">
        <f t="shared" si="14"/>
        <v>0.91063503633986376</v>
      </c>
      <c r="AY48" s="50">
        <f>D71</f>
        <v>1.9951862936632541</v>
      </c>
      <c r="AZ48" s="50">
        <f>E71</f>
        <v>0.64936610032792208</v>
      </c>
      <c r="BA48" s="50">
        <f>F71</f>
        <v>0</v>
      </c>
      <c r="BB48" t="s">
        <v>324</v>
      </c>
    </row>
    <row r="49" spans="1:54">
      <c r="A49" s="10">
        <v>2028</v>
      </c>
      <c r="B49" s="9">
        <f>Fig1_future_Kaya!J42</f>
        <v>1219638.8395780567</v>
      </c>
      <c r="C49" s="30">
        <f>Fig1_future_Kaya!R42</f>
        <v>11.72054382400492</v>
      </c>
      <c r="D49" s="9">
        <f>Fig1_future_Kaya!AJ42</f>
        <v>1.0502089303587578</v>
      </c>
      <c r="E49" s="9">
        <f>Fig1_future_Kaya!AK42</f>
        <v>0.99815924494542108</v>
      </c>
      <c r="F49" s="9">
        <f>Fig1_future_Kaya!AL42</f>
        <v>0.79093888919537636</v>
      </c>
      <c r="H49" s="266">
        <f>Fig1_carbon_eq_intensity!U46</f>
        <v>293.87097179105825</v>
      </c>
      <c r="I49" s="266">
        <f>Fig1_carbon_eq_intensity!AH46</f>
        <v>168.97580877985848</v>
      </c>
      <c r="J49" s="266">
        <f>Fig1_carbon_eq_intensity!H46</f>
        <v>124.89516301119976</v>
      </c>
      <c r="K49" s="266">
        <f>Fig1_carbon_eq_intensity!AU46</f>
        <v>95.508065832093919</v>
      </c>
      <c r="L49" s="266">
        <f>Fig1_carbon_eq_intensity!BH46</f>
        <v>73.467742947764563</v>
      </c>
      <c r="M49" s="266">
        <f>Fig1_carbon_eq_intensity!BU46</f>
        <v>80.814517242541029</v>
      </c>
      <c r="N49" s="264"/>
      <c r="O49" s="50">
        <f t="shared" si="39"/>
        <v>4.2008357214350314</v>
      </c>
      <c r="P49" s="50">
        <f t="shared" si="40"/>
        <v>2.4154805398251424</v>
      </c>
      <c r="Q49" s="158">
        <f t="shared" si="41"/>
        <v>1.785355181609888</v>
      </c>
      <c r="R49" s="50">
        <f t="shared" si="42"/>
        <v>1.3652716094663848</v>
      </c>
      <c r="S49" s="50">
        <f t="shared" si="43"/>
        <v>1.0502089303587578</v>
      </c>
      <c r="T49" s="50">
        <f t="shared" si="44"/>
        <v>1.1552298233946334</v>
      </c>
      <c r="U49" s="87"/>
      <c r="V49" s="267">
        <f>Fig1_carbon_eq_intensity!Y46</f>
        <v>287.85298893239712</v>
      </c>
      <c r="W49" s="267">
        <f>Fig1_carbon_eq_intensity!AL46</f>
        <v>164.3046953591101</v>
      </c>
      <c r="X49" s="267">
        <f>Fig1_carbon_eq_intensity!L46</f>
        <v>120.69941527442059</v>
      </c>
      <c r="Y49" s="267">
        <f>Fig1_carbon_eq_intensity!AY46</f>
        <v>91.629228551294233</v>
      </c>
      <c r="Z49" s="267">
        <f>Fig1_carbon_eq_intensity!BL46</f>
        <v>69.826588508949499</v>
      </c>
      <c r="AA49" s="267">
        <f>Fig1_carbon_eq_intensity!BY46</f>
        <v>77.094135189731077</v>
      </c>
      <c r="AC49" s="31">
        <f t="shared" si="45"/>
        <v>4.1148096767067281</v>
      </c>
      <c r="AD49" s="31">
        <f t="shared" si="46"/>
        <v>2.3487077653753206</v>
      </c>
      <c r="AE49" s="158">
        <f t="shared" si="47"/>
        <v>1.7253776790230591</v>
      </c>
      <c r="AF49" s="31">
        <f t="shared" si="48"/>
        <v>1.3098242881215516</v>
      </c>
      <c r="AG49" s="31">
        <f t="shared" si="49"/>
        <v>0.9981592449454213</v>
      </c>
      <c r="AH49" s="31">
        <f t="shared" si="50"/>
        <v>1.102047592670798</v>
      </c>
      <c r="AI49" s="87"/>
      <c r="AJ49" s="266">
        <f>Fig1_carbon_eq_intensity!AC46</f>
        <v>266.59199516563604</v>
      </c>
      <c r="AK49" s="266">
        <f>Fig1_carbon_eq_intensity!AP46</f>
        <v>146.87709922333153</v>
      </c>
      <c r="AL49" s="266">
        <f>Fig1_carbon_eq_intensity!P46</f>
        <v>104.62478300840054</v>
      </c>
      <c r="AM49" s="266">
        <f>Fig1_carbon_eq_intensity!BC46</f>
        <v>76.456572198446537</v>
      </c>
      <c r="AN49" s="266">
        <f>Fig1_carbon_eq_intensity!BP46</f>
        <v>55.330414090981058</v>
      </c>
      <c r="AO49" s="266">
        <f>Fig1_carbon_eq_intensity!CC46</f>
        <v>62.37246679346957</v>
      </c>
      <c r="AQ49" s="31">
        <f t="shared" si="51"/>
        <v>3.810887375214087</v>
      </c>
      <c r="AR49" s="31">
        <f t="shared" si="10"/>
        <v>2.0995832331368174</v>
      </c>
      <c r="AS49" s="158">
        <f t="shared" si="11"/>
        <v>1.4955935359330754</v>
      </c>
      <c r="AT49" s="31">
        <f t="shared" si="12"/>
        <v>1.0929337377972472</v>
      </c>
      <c r="AU49" s="31">
        <f t="shared" si="13"/>
        <v>0.79093888919537636</v>
      </c>
      <c r="AV49" s="275">
        <f t="shared" si="14"/>
        <v>0.89160383872933369</v>
      </c>
    </row>
    <row r="50" spans="1:54">
      <c r="A50" s="10">
        <v>2029</v>
      </c>
      <c r="B50" s="9">
        <f>Fig1_future_Kaya!J43</f>
        <v>1268424.393161179</v>
      </c>
      <c r="C50" s="30">
        <f>Fig1_future_Kaya!R43</f>
        <v>11.603338385764872</v>
      </c>
      <c r="D50" s="9">
        <f>Fig1_future_Kaya!AJ43</f>
        <v>1.081295114697377</v>
      </c>
      <c r="E50" s="9">
        <f>Fig1_future_Kaya!AK43</f>
        <v>1.0180768584525193</v>
      </c>
      <c r="F50" s="9">
        <f>Fig1_future_Kaya!AL43</f>
        <v>0.76892559137076177</v>
      </c>
      <c r="H50" s="266">
        <f>Fig1_carbon_eq_intensity!U47</f>
        <v>293.87097179105825</v>
      </c>
      <c r="I50" s="266">
        <f>Fig1_carbon_eq_intensity!AH47</f>
        <v>168.97580877985848</v>
      </c>
      <c r="J50" s="266">
        <f>Fig1_carbon_eq_intensity!H47</f>
        <v>124.89516301119976</v>
      </c>
      <c r="K50" s="266">
        <f>Fig1_carbon_eq_intensity!AU47</f>
        <v>95.508065832093919</v>
      </c>
      <c r="L50" s="266">
        <f>Fig1_carbon_eq_intensity!BH47</f>
        <v>73.467742947764563</v>
      </c>
      <c r="M50" s="266">
        <f>Fig1_carbon_eq_intensity!BU47</f>
        <v>80.814517242541029</v>
      </c>
      <c r="N50" s="264"/>
      <c r="O50" s="50">
        <f t="shared" si="39"/>
        <v>4.3251804587895082</v>
      </c>
      <c r="P50" s="50">
        <f t="shared" si="40"/>
        <v>2.4869787638039669</v>
      </c>
      <c r="Q50" s="158">
        <f t="shared" si="41"/>
        <v>1.8382016949855409</v>
      </c>
      <c r="R50" s="50">
        <f t="shared" si="42"/>
        <v>1.40568364910659</v>
      </c>
      <c r="S50" s="50">
        <f t="shared" si="43"/>
        <v>1.081295114697377</v>
      </c>
      <c r="T50" s="50">
        <f t="shared" si="44"/>
        <v>1.1894246261671149</v>
      </c>
      <c r="U50" s="87"/>
      <c r="V50" s="267">
        <f>Fig1_carbon_eq_intensity!Y47</f>
        <v>286.60462175287375</v>
      </c>
      <c r="W50" s="267">
        <f>Fig1_carbon_eq_intensity!AL47</f>
        <v>163.39304553906499</v>
      </c>
      <c r="X50" s="267">
        <f>Fig1_carbon_eq_intensity!L47</f>
        <v>119.9066068753678</v>
      </c>
      <c r="Y50" s="267">
        <f>Fig1_carbon_eq_intensity!AY47</f>
        <v>90.915647766236305</v>
      </c>
      <c r="Z50" s="267">
        <f>Fig1_carbon_eq_intensity!BL47</f>
        <v>69.172428434387712</v>
      </c>
      <c r="AA50" s="267">
        <f>Fig1_carbon_eq_intensity!BY47</f>
        <v>76.420168211670585</v>
      </c>
      <c r="AC50" s="31">
        <f t="shared" si="45"/>
        <v>4.2182346281062877</v>
      </c>
      <c r="AD50" s="31">
        <f t="shared" si="46"/>
        <v>2.4048118919691519</v>
      </c>
      <c r="AE50" s="158">
        <f t="shared" si="47"/>
        <v>1.7647803380383988</v>
      </c>
      <c r="AF50" s="31">
        <f t="shared" si="48"/>
        <v>1.3380926354178957</v>
      </c>
      <c r="AG50" s="31">
        <f t="shared" si="49"/>
        <v>1.0180768584525193</v>
      </c>
      <c r="AH50" s="31">
        <f t="shared" si="50"/>
        <v>1.1247487841076449</v>
      </c>
      <c r="AI50" s="87"/>
      <c r="AJ50" s="266">
        <f>Fig1_carbon_eq_intensity!AC47</f>
        <v>261.22021141561902</v>
      </c>
      <c r="AK50" s="266">
        <f>Fig1_carbon_eq_intensity!AP47</f>
        <v>142.8003822405384</v>
      </c>
      <c r="AL50" s="266">
        <f>Fig1_carbon_eq_intensity!P47</f>
        <v>101.00514841403935</v>
      </c>
      <c r="AM50" s="266">
        <f>Fig1_carbon_eq_intensity!BC47</f>
        <v>73.141659196373325</v>
      </c>
      <c r="AN50" s="266">
        <f>Fig1_carbon_eq_intensity!BP47</f>
        <v>52.244042283123811</v>
      </c>
      <c r="AO50" s="266">
        <f>Fig1_carbon_eq_intensity!CC47</f>
        <v>59.209914587540325</v>
      </c>
      <c r="AQ50" s="31">
        <f t="shared" si="51"/>
        <v>3.8446279568538078</v>
      </c>
      <c r="AR50" s="31">
        <f t="shared" si="10"/>
        <v>2.1017299497467485</v>
      </c>
      <c r="AS50" s="158">
        <f t="shared" si="11"/>
        <v>1.4865894766501391</v>
      </c>
      <c r="AT50" s="31">
        <f t="shared" si="12"/>
        <v>1.0764958279190662</v>
      </c>
      <c r="AU50" s="31">
        <f t="shared" si="13"/>
        <v>0.76892559137076177</v>
      </c>
      <c r="AV50" s="275">
        <f t="shared" si="14"/>
        <v>0.87144900355353005</v>
      </c>
      <c r="AY50" s="212" t="str">
        <f>O76</f>
        <v>Industry, Carbon Intensive</v>
      </c>
      <c r="AZ50" s="210" t="str">
        <f>AC76</f>
        <v>Industry, Reduced Fossil</v>
      </c>
      <c r="BA50" s="211" t="str">
        <f>AQ76</f>
        <v>Industry, Net-zero</v>
      </c>
    </row>
    <row r="51" spans="1:54">
      <c r="A51" s="10">
        <v>2030</v>
      </c>
      <c r="B51" s="9">
        <f>Fig1_future_Kaya!J44</f>
        <v>1319161.3688876261</v>
      </c>
      <c r="C51" s="30">
        <f>Fig1_future_Kaya!R44</f>
        <v>11.487305001907222</v>
      </c>
      <c r="D51" s="9">
        <f>Fig1_future_Kaya!AJ44</f>
        <v>1.1133014500924192</v>
      </c>
      <c r="E51" s="9">
        <f>Fig1_future_Kaya!AK44</f>
        <v>1.0383374661722664</v>
      </c>
      <c r="F51" s="9">
        <f>Fig1_future_Kaya!AL44</f>
        <v>0.74574069441575286</v>
      </c>
      <c r="H51" s="266">
        <f>Fig1_carbon_eq_intensity!U48</f>
        <v>293.87097179105825</v>
      </c>
      <c r="I51" s="266">
        <f>Fig1_carbon_eq_intensity!AH48</f>
        <v>168.97580877985848</v>
      </c>
      <c r="J51" s="266">
        <f>Fig1_carbon_eq_intensity!H48</f>
        <v>124.89516301119976</v>
      </c>
      <c r="K51" s="266">
        <f>Fig1_carbon_eq_intensity!AU48</f>
        <v>95.508065832093919</v>
      </c>
      <c r="L51" s="266">
        <f>Fig1_carbon_eq_intensity!BH48</f>
        <v>73.467742947764563</v>
      </c>
      <c r="M51" s="266">
        <f>Fig1_carbon_eq_intensity!BU48</f>
        <v>80.814517242541029</v>
      </c>
      <c r="N51" s="264"/>
      <c r="O51" s="50">
        <f t="shared" si="39"/>
        <v>4.4532058003696768</v>
      </c>
      <c r="P51" s="50">
        <f t="shared" si="40"/>
        <v>2.5605933352125638</v>
      </c>
      <c r="Q51" s="158">
        <f t="shared" si="41"/>
        <v>1.8926124651571126</v>
      </c>
      <c r="R51" s="50">
        <f t="shared" si="42"/>
        <v>1.4472918851201448</v>
      </c>
      <c r="S51" s="50">
        <f t="shared" si="43"/>
        <v>1.1133014500924192</v>
      </c>
      <c r="T51" s="50">
        <f t="shared" si="44"/>
        <v>1.2246315951016613</v>
      </c>
      <c r="U51" s="87"/>
      <c r="V51" s="267">
        <f>Fig1_carbon_eq_intensity!Y48</f>
        <v>285.35878985699827</v>
      </c>
      <c r="W51" s="267">
        <f>Fig1_carbon_eq_intensity!AL48</f>
        <v>162.48393100266773</v>
      </c>
      <c r="X51" s="267">
        <f>Fig1_carbon_eq_intensity!L48</f>
        <v>119.11633375996283</v>
      </c>
      <c r="Y51" s="267">
        <f>Fig1_carbon_eq_intensity!AY48</f>
        <v>90.204602264826207</v>
      </c>
      <c r="Z51" s="267">
        <f>Fig1_carbon_eq_intensity!BL48</f>
        <v>68.520803643473755</v>
      </c>
      <c r="AA51" s="267">
        <f>Fig1_carbon_eq_intensity!BY48</f>
        <v>75.748736517257925</v>
      </c>
      <c r="AC51" s="31">
        <f t="shared" si="45"/>
        <v>4.3242155236794382</v>
      </c>
      <c r="AD51" s="31">
        <f t="shared" si="46"/>
        <v>2.4622179577587082</v>
      </c>
      <c r="AE51" s="158">
        <f t="shared" si="47"/>
        <v>1.8050423462572733</v>
      </c>
      <c r="AF51" s="31">
        <f t="shared" si="48"/>
        <v>1.3669252719229836</v>
      </c>
      <c r="AG51" s="31">
        <f t="shared" si="49"/>
        <v>1.0383374661722664</v>
      </c>
      <c r="AH51" s="31">
        <f t="shared" si="50"/>
        <v>1.1478667347558391</v>
      </c>
      <c r="AI51" s="87"/>
      <c r="AJ51" s="266">
        <f>Fig1_carbon_eq_intensity!AC48</f>
        <v>255.90284223565351</v>
      </c>
      <c r="AK51" s="266">
        <f>Fig1_carbon_eq_intensity!AP48</f>
        <v>138.77807982779672</v>
      </c>
      <c r="AL51" s="266">
        <f>Fig1_carbon_eq_intensity!P48</f>
        <v>97.439928389729616</v>
      </c>
      <c r="AM51" s="266">
        <f>Fig1_carbon_eq_intensity!BC48</f>
        <v>69.881160764351534</v>
      </c>
      <c r="AN51" s="266">
        <f>Fig1_carbon_eq_intensity!BP48</f>
        <v>49.212085045317991</v>
      </c>
      <c r="AO51" s="266">
        <f>Fig1_carbon_eq_intensity!CC48</f>
        <v>56.101776951662515</v>
      </c>
      <c r="AQ51" s="31">
        <f t="shared" si="51"/>
        <v>3.8778516109619146</v>
      </c>
      <c r="AR51" s="31">
        <f t="shared" si="10"/>
        <v>2.1029887582524229</v>
      </c>
      <c r="AS51" s="158">
        <f t="shared" si="11"/>
        <v>1.4765665749431907</v>
      </c>
      <c r="AT51" s="31">
        <f t="shared" si="12"/>
        <v>1.058951786070369</v>
      </c>
      <c r="AU51" s="31">
        <f t="shared" si="13"/>
        <v>0.74574069441575286</v>
      </c>
      <c r="AV51" s="275">
        <f t="shared" si="14"/>
        <v>0.85014439163395839</v>
      </c>
      <c r="AY51" s="9">
        <f>Q139-D139</f>
        <v>0.76674207901711089</v>
      </c>
      <c r="AZ51" s="9">
        <f>AE139-E139</f>
        <v>0.71299652624632759</v>
      </c>
      <c r="BA51" s="9">
        <f>AS139-F139</f>
        <v>0.56002841451409779</v>
      </c>
      <c r="BB51" t="s">
        <v>323</v>
      </c>
    </row>
    <row r="52" spans="1:54">
      <c r="A52" s="10">
        <v>2031</v>
      </c>
      <c r="B52" s="9">
        <f>Fig1_future_Kaya!J45</f>
        <v>1371927.8236431314</v>
      </c>
      <c r="C52" s="30">
        <f>Fig1_future_Kaya!R45</f>
        <v>11.372431951888149</v>
      </c>
      <c r="D52" s="9">
        <f>Fig1_future_Kaya!AJ45</f>
        <v>1.1462551730151551</v>
      </c>
      <c r="E52" s="9">
        <f>Fig1_future_Kaya!AK45</f>
        <v>1.0396015431585279</v>
      </c>
      <c r="F52" s="9">
        <f>Fig1_future_Kaya!AL45</f>
        <v>0.72135853431554509</v>
      </c>
      <c r="H52" s="266">
        <f>Fig1_carbon_eq_intensity!U49</f>
        <v>293.87097179105825</v>
      </c>
      <c r="I52" s="266">
        <f>Fig1_carbon_eq_intensity!AH49</f>
        <v>168.97580877985848</v>
      </c>
      <c r="J52" s="266">
        <f>Fig1_carbon_eq_intensity!H49</f>
        <v>124.89516301119976</v>
      </c>
      <c r="K52" s="266">
        <f>Fig1_carbon_eq_intensity!AU49</f>
        <v>95.508065832093919</v>
      </c>
      <c r="L52" s="266">
        <f>Fig1_carbon_eq_intensity!BH49</f>
        <v>73.467742947764563</v>
      </c>
      <c r="M52" s="266">
        <f>Fig1_carbon_eq_intensity!BU49</f>
        <v>80.814517242541029</v>
      </c>
      <c r="N52" s="264"/>
      <c r="O52" s="50">
        <f t="shared" si="39"/>
        <v>4.5850206920606205</v>
      </c>
      <c r="P52" s="50">
        <f t="shared" si="40"/>
        <v>2.6363868979348566</v>
      </c>
      <c r="Q52" s="158">
        <f t="shared" si="41"/>
        <v>1.9486337941257637</v>
      </c>
      <c r="R52" s="50">
        <f t="shared" si="42"/>
        <v>1.4901317249197013</v>
      </c>
      <c r="S52" s="50">
        <f t="shared" si="43"/>
        <v>1.1462551730151551</v>
      </c>
      <c r="T52" s="50">
        <f t="shared" si="44"/>
        <v>1.2608806903166707</v>
      </c>
      <c r="U52" s="87"/>
      <c r="V52" s="267">
        <f>Fig1_carbon_eq_intensity!Y49</f>
        <v>282.87569557788163</v>
      </c>
      <c r="W52" s="267">
        <f>Fig1_carbon_eq_intensity!AL49</f>
        <v>160.3375540830292</v>
      </c>
      <c r="X52" s="267">
        <f>Fig1_carbon_eq_intensity!L49</f>
        <v>117.08879826131661</v>
      </c>
      <c r="Y52" s="267">
        <f>Fig1_carbon_eq_intensity!AY49</f>
        <v>88.25629438017485</v>
      </c>
      <c r="Z52" s="267">
        <f>Fig1_carbon_eq_intensity!BL49</f>
        <v>66.631916469318554</v>
      </c>
      <c r="AA52" s="267">
        <f>Fig1_carbon_eq_intensity!BY49</f>
        <v>73.840042439604005</v>
      </c>
      <c r="AC52" s="31">
        <f t="shared" si="45"/>
        <v>4.4134706793285678</v>
      </c>
      <c r="AD52" s="31">
        <f t="shared" si="46"/>
        <v>2.5016115021655452</v>
      </c>
      <c r="AE52" s="158">
        <f t="shared" si="47"/>
        <v>1.8268376749315374</v>
      </c>
      <c r="AF52" s="31">
        <f t="shared" si="48"/>
        <v>1.3769884567755317</v>
      </c>
      <c r="AG52" s="31">
        <f t="shared" si="49"/>
        <v>1.0396015431585279</v>
      </c>
      <c r="AH52" s="31">
        <f t="shared" si="50"/>
        <v>1.1520638476975296</v>
      </c>
      <c r="AI52" s="87"/>
      <c r="AJ52" s="266">
        <f>Fig1_carbon_eq_intensity!AC49</f>
        <v>250.63988762573939</v>
      </c>
      <c r="AK52" s="266">
        <f>Fig1_carbon_eq_intensity!AP49</f>
        <v>134.81019198510643</v>
      </c>
      <c r="AL52" s="266">
        <f>Fig1_carbon_eq_intensity!P49</f>
        <v>93.929122935471284</v>
      </c>
      <c r="AM52" s="266">
        <f>Fig1_carbon_eq_intensity!BC49</f>
        <v>66.675076902381164</v>
      </c>
      <c r="AN52" s="266">
        <f>Fig1_carbon_eq_intensity!BP49</f>
        <v>46.234542377563585</v>
      </c>
      <c r="AO52" s="266">
        <f>Fig1_carbon_eq_intensity!CC49</f>
        <v>53.048053885836126</v>
      </c>
      <c r="AQ52" s="31">
        <f t="shared" si="51"/>
        <v>3.9105225807632173</v>
      </c>
      <c r="AR52" s="31">
        <f t="shared" si="10"/>
        <v>2.1033296211095363</v>
      </c>
      <c r="AS52" s="158">
        <f t="shared" si="11"/>
        <v>1.465496811820002</v>
      </c>
      <c r="AT52" s="31">
        <f t="shared" si="12"/>
        <v>1.0402749389603123</v>
      </c>
      <c r="AU52" s="31">
        <f t="shared" si="13"/>
        <v>0.72135853431554509</v>
      </c>
      <c r="AV52" s="275">
        <f t="shared" si="14"/>
        <v>0.82766400253046768</v>
      </c>
      <c r="AY52" s="50">
        <f>D139</f>
        <v>1.0953458271673011</v>
      </c>
      <c r="AZ52" s="50">
        <f>E139</f>
        <v>0.35649826312316368</v>
      </c>
      <c r="BA52" s="50">
        <f>F139</f>
        <v>0</v>
      </c>
      <c r="BB52" t="s">
        <v>324</v>
      </c>
    </row>
    <row r="53" spans="1:54">
      <c r="A53" s="10">
        <v>2032</v>
      </c>
      <c r="B53" s="9">
        <f>Fig1_future_Kaya!J46</f>
        <v>1426804.9365888569</v>
      </c>
      <c r="C53" s="30">
        <f>Fig1_future_Kaya!R46</f>
        <v>11.258707632369267</v>
      </c>
      <c r="D53" s="9">
        <f>Fig1_future_Kaya!AJ46</f>
        <v>1.1801843261364038</v>
      </c>
      <c r="E53" s="9">
        <f>Fig1_future_Kaya!AK46</f>
        <v>1.0401808836197366</v>
      </c>
      <c r="F53" s="9">
        <f>Fig1_future_Kaya!AL46</f>
        <v>0.69575367671543842</v>
      </c>
      <c r="H53" s="266">
        <f>Fig1_carbon_eq_intensity!U50</f>
        <v>293.87097179105825</v>
      </c>
      <c r="I53" s="266">
        <f>Fig1_carbon_eq_intensity!AH50</f>
        <v>168.97580877985848</v>
      </c>
      <c r="J53" s="266">
        <f>Fig1_carbon_eq_intensity!H50</f>
        <v>124.89516301119976</v>
      </c>
      <c r="K53" s="266">
        <f>Fig1_carbon_eq_intensity!AU50</f>
        <v>95.508065832093919</v>
      </c>
      <c r="L53" s="266">
        <f>Fig1_carbon_eq_intensity!BH50</f>
        <v>73.467742947764563</v>
      </c>
      <c r="M53" s="266">
        <f>Fig1_carbon_eq_intensity!BU50</f>
        <v>80.814517242541029</v>
      </c>
      <c r="N53" s="264"/>
      <c r="O53" s="50">
        <f t="shared" si="39"/>
        <v>4.7207373045456151</v>
      </c>
      <c r="P53" s="50">
        <f t="shared" si="40"/>
        <v>2.7144239501137286</v>
      </c>
      <c r="Q53" s="158">
        <f t="shared" si="41"/>
        <v>2.0063133544318861</v>
      </c>
      <c r="R53" s="50">
        <f t="shared" si="42"/>
        <v>1.5342396239773244</v>
      </c>
      <c r="S53" s="50">
        <f t="shared" si="43"/>
        <v>1.1801843261364038</v>
      </c>
      <c r="T53" s="50">
        <f t="shared" si="44"/>
        <v>1.2982027587500442</v>
      </c>
      <c r="U53" s="87"/>
      <c r="V53" s="267">
        <f>Fig1_carbon_eq_intensity!Y50</f>
        <v>280.40195015721633</v>
      </c>
      <c r="W53" s="267">
        <f>Fig1_carbon_eq_intensity!AL50</f>
        <v>158.20052602184208</v>
      </c>
      <c r="X53" s="267">
        <f>Fig1_carbon_eq_intensity!L50</f>
        <v>115.07061162112177</v>
      </c>
      <c r="Y53" s="267">
        <f>Fig1_carbon_eq_intensity!AY50</f>
        <v>86.317335353974897</v>
      </c>
      <c r="Z53" s="267">
        <f>Fig1_carbon_eq_intensity!BL50</f>
        <v>64.752378153614757</v>
      </c>
      <c r="AA53" s="267">
        <f>Fig1_carbon_eq_intensity!BY50</f>
        <v>71.940697220401489</v>
      </c>
      <c r="AC53" s="31">
        <f t="shared" si="45"/>
        <v>4.5043712153906181</v>
      </c>
      <c r="AD53" s="31">
        <f t="shared" si="46"/>
        <v>2.5413300273871182</v>
      </c>
      <c r="AE53" s="158">
        <f t="shared" si="47"/>
        <v>1.848491961032942</v>
      </c>
      <c r="AF53" s="31">
        <f t="shared" si="48"/>
        <v>1.3865999167968246</v>
      </c>
      <c r="AG53" s="31">
        <f t="shared" si="49"/>
        <v>1.0401808836197366</v>
      </c>
      <c r="AH53" s="31">
        <f t="shared" si="50"/>
        <v>1.1556538946787662</v>
      </c>
      <c r="AI53" s="87"/>
      <c r="AJ53" s="266">
        <f>Fig1_carbon_eq_intensity!AC50</f>
        <v>245.43134758587678</v>
      </c>
      <c r="AK53" s="266">
        <f>Fig1_carbon_eq_intensity!AP50</f>
        <v>130.89671871246762</v>
      </c>
      <c r="AL53" s="266">
        <f>Fig1_carbon_eq_intensity!P50</f>
        <v>90.472732051264387</v>
      </c>
      <c r="AM53" s="266">
        <f>Fig1_carbon_eq_intensity!BC50</f>
        <v>63.523407610462229</v>
      </c>
      <c r="AN53" s="266">
        <f>Fig1_carbon_eq_intensity!BP50</f>
        <v>43.311414279860614</v>
      </c>
      <c r="AO53" s="266">
        <f>Fig1_carbon_eq_intensity!CC50</f>
        <v>50.048745390061171</v>
      </c>
      <c r="AQ53" s="31">
        <f t="shared" si="51"/>
        <v>3.9426041680541499</v>
      </c>
      <c r="AR53" s="31">
        <f t="shared" si="10"/>
        <v>2.1027222229622136</v>
      </c>
      <c r="AS53" s="158">
        <f t="shared" si="11"/>
        <v>1.4533521246944712</v>
      </c>
      <c r="AT53" s="31">
        <f t="shared" si="12"/>
        <v>1.0204387258493095</v>
      </c>
      <c r="AU53" s="31">
        <f t="shared" si="13"/>
        <v>0.69575367671543842</v>
      </c>
      <c r="AV53" s="275">
        <f t="shared" si="14"/>
        <v>0.80398202642672911</v>
      </c>
    </row>
    <row r="54" spans="1:54">
      <c r="A54" s="10">
        <v>2033</v>
      </c>
      <c r="B54" s="9">
        <f>Fig1_future_Kaya!J47</f>
        <v>1483877.134052411</v>
      </c>
      <c r="C54" s="30">
        <f>Fig1_future_Kaya!R47</f>
        <v>11.146120556045574</v>
      </c>
      <c r="D54" s="9">
        <f>Fig1_future_Kaya!AJ47</f>
        <v>1.215117782190041</v>
      </c>
      <c r="E54" s="9">
        <f>Fig1_future_Kaya!AK47</f>
        <v>1.0400382889441195</v>
      </c>
      <c r="F54" s="9">
        <f>Fig1_future_Kaya!AL47</f>
        <v>0.6689009743873594</v>
      </c>
      <c r="H54" s="266">
        <f>Fig1_carbon_eq_intensity!U51</f>
        <v>293.87097179105825</v>
      </c>
      <c r="I54" s="266">
        <f>Fig1_carbon_eq_intensity!AH51</f>
        <v>168.97580877985848</v>
      </c>
      <c r="J54" s="266">
        <f>Fig1_carbon_eq_intensity!H51</f>
        <v>124.89516301119976</v>
      </c>
      <c r="K54" s="266">
        <f>Fig1_carbon_eq_intensity!AU51</f>
        <v>95.508065832093919</v>
      </c>
      <c r="L54" s="266">
        <f>Fig1_carbon_eq_intensity!BH51</f>
        <v>73.467742947764563</v>
      </c>
      <c r="M54" s="266">
        <f>Fig1_carbon_eq_intensity!BU51</f>
        <v>80.814517242541029</v>
      </c>
      <c r="N54" s="264"/>
      <c r="O54" s="50">
        <f t="shared" si="39"/>
        <v>4.8604711287601639</v>
      </c>
      <c r="P54" s="50">
        <f t="shared" si="40"/>
        <v>2.7947708990370943</v>
      </c>
      <c r="Q54" s="158">
        <f t="shared" si="41"/>
        <v>2.0657002297230695</v>
      </c>
      <c r="R54" s="50">
        <f t="shared" si="42"/>
        <v>1.5796531168470531</v>
      </c>
      <c r="S54" s="50">
        <f t="shared" si="43"/>
        <v>1.215117782190041</v>
      </c>
      <c r="T54" s="50">
        <f t="shared" si="44"/>
        <v>1.3366295604090452</v>
      </c>
      <c r="U54" s="87"/>
      <c r="V54" s="267">
        <f>Fig1_carbon_eq_intensity!Y51</f>
        <v>277.93755359500233</v>
      </c>
      <c r="W54" s="267">
        <f>Fig1_carbon_eq_intensity!AL51</f>
        <v>156.07284681910633</v>
      </c>
      <c r="X54" s="267">
        <f>Fig1_carbon_eq_intensity!L51</f>
        <v>113.06177383937833</v>
      </c>
      <c r="Y54" s="267">
        <f>Fig1_carbon_eq_intensity!AY51</f>
        <v>84.387725186226334</v>
      </c>
      <c r="Z54" s="267">
        <f>Fig1_carbon_eq_intensity!BL51</f>
        <v>62.882188696362334</v>
      </c>
      <c r="AA54" s="267">
        <f>Fig1_carbon_eq_intensity!BY51</f>
        <v>70.050700859650348</v>
      </c>
      <c r="AC54" s="31">
        <f t="shared" si="45"/>
        <v>4.596940781913065</v>
      </c>
      <c r="AD54" s="31">
        <f t="shared" si="46"/>
        <v>2.5813627025639958</v>
      </c>
      <c r="AE54" s="158">
        <f t="shared" si="47"/>
        <v>1.869982203970207</v>
      </c>
      <c r="AF54" s="31">
        <f t="shared" si="48"/>
        <v>1.3957285382410143</v>
      </c>
      <c r="AG54" s="31">
        <f t="shared" si="49"/>
        <v>1.0400382889441195</v>
      </c>
      <c r="AH54" s="31">
        <f t="shared" si="50"/>
        <v>1.1586017053764182</v>
      </c>
      <c r="AI54" s="87"/>
      <c r="AJ54" s="266">
        <f>Fig1_carbon_eq_intensity!AC51</f>
        <v>240.2772221160655</v>
      </c>
      <c r="AK54" s="266">
        <f>Fig1_carbon_eq_intensity!AP51</f>
        <v>127.03766000988017</v>
      </c>
      <c r="AL54" s="266">
        <f>Fig1_carbon_eq_intensity!P51</f>
        <v>87.070755737108882</v>
      </c>
      <c r="AM54" s="266">
        <f>Fig1_carbon_eq_intensity!BC51</f>
        <v>60.426152888594679</v>
      </c>
      <c r="AN54" s="266">
        <f>Fig1_carbon_eq_intensity!BP51</f>
        <v>40.442700752209049</v>
      </c>
      <c r="AO54" s="266">
        <f>Fig1_carbon_eq_intensity!CC51</f>
        <v>47.103851464337609</v>
      </c>
      <c r="AQ54" s="31">
        <f t="shared" si="51"/>
        <v>3.9740587301837231</v>
      </c>
      <c r="AR54" s="31">
        <f t="shared" si="10"/>
        <v>2.1011360018991168</v>
      </c>
      <c r="AS54" s="158">
        <f t="shared" si="11"/>
        <v>1.4401044507398442</v>
      </c>
      <c r="AT54" s="31">
        <f t="shared" si="12"/>
        <v>0.99941674996699548</v>
      </c>
      <c r="AU54" s="31">
        <f t="shared" si="13"/>
        <v>0.6689009743873594</v>
      </c>
      <c r="AV54" s="275">
        <f t="shared" si="14"/>
        <v>0.77907289958057169</v>
      </c>
      <c r="AY54" s="212" t="str">
        <f>H144</f>
        <v>Ambitious, Carbon Intensive</v>
      </c>
      <c r="AZ54" s="210" t="str">
        <f>AC144</f>
        <v>Ambitious, Reduced Fossil</v>
      </c>
      <c r="BA54" s="211" t="str">
        <f>AQ144</f>
        <v>Ambitious, Net-zero</v>
      </c>
    </row>
    <row r="55" spans="1:54">
      <c r="A55" s="10">
        <v>2034</v>
      </c>
      <c r="B55" s="9">
        <f>Fig1_future_Kaya!J48</f>
        <v>1543232.2194145077</v>
      </c>
      <c r="C55" s="30">
        <f>Fig1_future_Kaya!R48</f>
        <v>11.034659350485118</v>
      </c>
      <c r="D55" s="9">
        <f>Fig1_future_Kaya!AJ48</f>
        <v>1.2510852685428664</v>
      </c>
      <c r="E55" s="9">
        <f>Fig1_future_Kaya!AK48</f>
        <v>1.0391350898824387</v>
      </c>
      <c r="F55" s="9">
        <f>Fig1_future_Kaya!AL48</f>
        <v>0.64077562853017522</v>
      </c>
      <c r="H55" s="266">
        <f>Fig1_carbon_eq_intensity!U52</f>
        <v>293.87097179105825</v>
      </c>
      <c r="I55" s="266">
        <f>Fig1_carbon_eq_intensity!AH52</f>
        <v>168.97580877985848</v>
      </c>
      <c r="J55" s="266">
        <f>Fig1_carbon_eq_intensity!H52</f>
        <v>124.89516301119976</v>
      </c>
      <c r="K55" s="266">
        <f>Fig1_carbon_eq_intensity!AU52</f>
        <v>95.508065832093919</v>
      </c>
      <c r="L55" s="266">
        <f>Fig1_carbon_eq_intensity!BH52</f>
        <v>73.467742947764563</v>
      </c>
      <c r="M55" s="266">
        <f>Fig1_carbon_eq_intensity!BU52</f>
        <v>80.814517242541029</v>
      </c>
      <c r="N55" s="264"/>
      <c r="O55" s="50">
        <f t="shared" si="39"/>
        <v>5.0043410741714656</v>
      </c>
      <c r="P55" s="50">
        <f t="shared" si="40"/>
        <v>2.8774961176485929</v>
      </c>
      <c r="Q55" s="158">
        <f t="shared" si="41"/>
        <v>2.1268449565228731</v>
      </c>
      <c r="R55" s="50">
        <f t="shared" si="42"/>
        <v>1.6264108491057263</v>
      </c>
      <c r="S55" s="50">
        <f t="shared" si="43"/>
        <v>1.2510852685428664</v>
      </c>
      <c r="T55" s="50">
        <f t="shared" si="44"/>
        <v>1.3761937953971535</v>
      </c>
      <c r="U55" s="87"/>
      <c r="V55" s="267">
        <f>Fig1_carbon_eq_intensity!Y52</f>
        <v>275.48250589123984</v>
      </c>
      <c r="W55" s="267">
        <f>Fig1_carbon_eq_intensity!AL52</f>
        <v>153.95451647482196</v>
      </c>
      <c r="X55" s="267">
        <f>Fig1_carbon_eq_intensity!L52</f>
        <v>111.0622849160863</v>
      </c>
      <c r="Y55" s="267">
        <f>Fig1_carbon_eq_intensity!AY52</f>
        <v>82.467463876929145</v>
      </c>
      <c r="Z55" s="267">
        <f>Fig1_carbon_eq_intensity!BL52</f>
        <v>61.021348097561315</v>
      </c>
      <c r="AA55" s="267">
        <f>Fig1_carbon_eq_intensity!BY52</f>
        <v>68.170053357350611</v>
      </c>
      <c r="AC55" s="31">
        <f t="shared" si="45"/>
        <v>4.6912031189912922</v>
      </c>
      <c r="AD55" s="31">
        <f t="shared" si="46"/>
        <v>2.6216979024962743</v>
      </c>
      <c r="AE55" s="158">
        <f t="shared" si="47"/>
        <v>1.8912842966745043</v>
      </c>
      <c r="AF55" s="31">
        <f t="shared" si="48"/>
        <v>1.4043418927933238</v>
      </c>
      <c r="AG55" s="31">
        <f t="shared" si="49"/>
        <v>1.0391350898824387</v>
      </c>
      <c r="AH55" s="31">
        <f t="shared" si="50"/>
        <v>1.1608706908527342</v>
      </c>
      <c r="AI55" s="87"/>
      <c r="AJ55" s="266">
        <f>Fig1_carbon_eq_intensity!AC52</f>
        <v>235.17751121630567</v>
      </c>
      <c r="AK55" s="266">
        <f>Fig1_carbon_eq_intensity!AP52</f>
        <v>123.23301587734417</v>
      </c>
      <c r="AL55" s="266">
        <f>Fig1_carbon_eq_intensity!P52</f>
        <v>83.723193993004827</v>
      </c>
      <c r="AM55" s="266">
        <f>Fig1_carbon_eq_intensity!BC52</f>
        <v>57.383312736778592</v>
      </c>
      <c r="AN55" s="266">
        <f>Fig1_carbon_eq_intensity!BP52</f>
        <v>37.628401794608919</v>
      </c>
      <c r="AO55" s="266">
        <f>Fig1_carbon_eq_intensity!CC52</f>
        <v>44.213372108665489</v>
      </c>
      <c r="AQ55" s="31">
        <f t="shared" si="51"/>
        <v>4.0048476783135936</v>
      </c>
      <c r="AR55" s="31">
        <f t="shared" si="10"/>
        <v>2.0985401834363229</v>
      </c>
      <c r="AS55" s="158">
        <f t="shared" si="11"/>
        <v>1.4257257734796394</v>
      </c>
      <c r="AT55" s="31">
        <f t="shared" si="12"/>
        <v>0.97718283350851687</v>
      </c>
      <c r="AU55" s="31">
        <f t="shared" si="13"/>
        <v>0.64077562853017522</v>
      </c>
      <c r="AV55" s="275">
        <f t="shared" si="14"/>
        <v>0.75291136352295585</v>
      </c>
      <c r="AY55" s="9">
        <f>Q207-D207</f>
        <v>0.21421900917431147</v>
      </c>
      <c r="AZ55" s="9">
        <f>AE207-E207</f>
        <v>0.19920311350722902</v>
      </c>
      <c r="BA55" s="9">
        <f>AS207-F207</f>
        <v>0.15646556430091715</v>
      </c>
      <c r="BB55" t="s">
        <v>323</v>
      </c>
    </row>
    <row r="56" spans="1:54">
      <c r="A56" s="10">
        <v>2035</v>
      </c>
      <c r="B56" s="9">
        <f>Fig1_future_Kaya!J49</f>
        <v>1604961.5081910877</v>
      </c>
      <c r="C56" s="30">
        <f>Fig1_future_Kaya!R49</f>
        <v>10.924312756980267</v>
      </c>
      <c r="D56" s="9">
        <f>Fig1_future_Kaya!AJ49</f>
        <v>1.2881173924917351</v>
      </c>
      <c r="E56" s="9">
        <f>Fig1_future_Kaya!AK49</f>
        <v>1.0374310959730002</v>
      </c>
      <c r="F56" s="9">
        <f>Fig1_future_Kaya!AL49</f>
        <v>0.61135325409914076</v>
      </c>
      <c r="H56" s="266">
        <f>Fig1_carbon_eq_intensity!U53</f>
        <v>293.87097179105825</v>
      </c>
      <c r="I56" s="266">
        <f>Fig1_carbon_eq_intensity!AH53</f>
        <v>168.97580877985848</v>
      </c>
      <c r="J56" s="266">
        <f>Fig1_carbon_eq_intensity!H53</f>
        <v>124.89516301119976</v>
      </c>
      <c r="K56" s="266">
        <f>Fig1_carbon_eq_intensity!AU53</f>
        <v>95.508065832093919</v>
      </c>
      <c r="L56" s="266">
        <f>Fig1_carbon_eq_intensity!BH53</f>
        <v>73.467742947764563</v>
      </c>
      <c r="M56" s="266">
        <f>Fig1_carbon_eq_intensity!BU53</f>
        <v>80.814517242541029</v>
      </c>
      <c r="N56" s="264"/>
      <c r="O56" s="50">
        <f t="shared" si="39"/>
        <v>5.1524695699669403</v>
      </c>
      <c r="P56" s="50">
        <f t="shared" si="40"/>
        <v>2.9626700027309902</v>
      </c>
      <c r="Q56" s="158">
        <f t="shared" si="41"/>
        <v>2.1897995672359496</v>
      </c>
      <c r="R56" s="50">
        <f t="shared" si="42"/>
        <v>1.6745526102392554</v>
      </c>
      <c r="S56" s="50">
        <f t="shared" si="43"/>
        <v>1.2881173924917351</v>
      </c>
      <c r="T56" s="50">
        <f t="shared" si="44"/>
        <v>1.4169291317409087</v>
      </c>
      <c r="U56" s="87"/>
      <c r="V56" s="267">
        <f>Fig1_carbon_eq_intensity!Y53</f>
        <v>273.03680704592864</v>
      </c>
      <c r="W56" s="267">
        <f>Fig1_carbon_eq_intensity!AL53</f>
        <v>151.84553498898902</v>
      </c>
      <c r="X56" s="267">
        <f>Fig1_carbon_eq_intensity!L53</f>
        <v>109.07214485124565</v>
      </c>
      <c r="Y56" s="267">
        <f>Fig1_carbon_eq_intensity!AY53</f>
        <v>80.556551426083388</v>
      </c>
      <c r="Z56" s="267">
        <f>Fig1_carbon_eq_intensity!BL53</f>
        <v>59.1698563572117</v>
      </c>
      <c r="AA56" s="267">
        <f>Fig1_carbon_eq_intensity!BY53</f>
        <v>66.298754713502277</v>
      </c>
      <c r="AC56" s="31">
        <f t="shared" si="45"/>
        <v>4.7871820452730001</v>
      </c>
      <c r="AD56" s="31">
        <f t="shared" si="46"/>
        <v>2.6623231740029998</v>
      </c>
      <c r="AE56" s="158">
        <f t="shared" si="47"/>
        <v>1.9123729841430002</v>
      </c>
      <c r="AF56" s="31">
        <f t="shared" si="48"/>
        <v>1.4124061909030001</v>
      </c>
      <c r="AG56" s="31">
        <f t="shared" si="49"/>
        <v>1.0374310959730002</v>
      </c>
      <c r="AH56" s="31">
        <f t="shared" si="50"/>
        <v>1.1624227942830005</v>
      </c>
      <c r="AI56" s="87"/>
      <c r="AJ56" s="266">
        <f>Fig1_carbon_eq_intensity!AC53</f>
        <v>230.1322148865973</v>
      </c>
      <c r="AK56" s="266">
        <f>Fig1_carbon_eq_intensity!AP53</f>
        <v>119.4827863148596</v>
      </c>
      <c r="AL56" s="266">
        <f>Fig1_carbon_eq_intensity!P53</f>
        <v>80.430046818952178</v>
      </c>
      <c r="AM56" s="266">
        <f>Fig1_carbon_eq_intensity!BC53</f>
        <v>54.394887155013905</v>
      </c>
      <c r="AN56" s="266">
        <f>Fig1_carbon_eq_intensity!BP53</f>
        <v>34.868517407060196</v>
      </c>
      <c r="AO56" s="266">
        <f>Fig1_carbon_eq_intensity!CC53</f>
        <v>41.377307323044775</v>
      </c>
      <c r="AQ56" s="31">
        <f t="shared" si="51"/>
        <v>4.0349314770543279</v>
      </c>
      <c r="AR56" s="31">
        <f t="shared" si="10"/>
        <v>2.0949038173797216</v>
      </c>
      <c r="AS56" s="158">
        <f t="shared" si="11"/>
        <v>1.410188172788684</v>
      </c>
      <c r="AT56" s="31">
        <f t="shared" si="12"/>
        <v>0.95371107639465924</v>
      </c>
      <c r="AU56" s="31">
        <f t="shared" si="13"/>
        <v>0.61135325409914065</v>
      </c>
      <c r="AV56" s="275">
        <f t="shared" si="14"/>
        <v>0.72547252819764696</v>
      </c>
      <c r="AY56" s="50">
        <f>D207</f>
        <v>0.30602715596330221</v>
      </c>
      <c r="AZ56" s="9">
        <f>E207</f>
        <v>9.9601556753614498E-2</v>
      </c>
      <c r="BA56" s="50">
        <f>F207</f>
        <v>0</v>
      </c>
      <c r="BB56" t="s">
        <v>324</v>
      </c>
    </row>
    <row r="57" spans="1:54">
      <c r="A57" s="10">
        <v>2036</v>
      </c>
      <c r="B57" s="9">
        <f>Fig1_future_Kaya!J50</f>
        <v>1669159.9685187314</v>
      </c>
      <c r="C57" s="30">
        <f>Fig1_future_Kaya!R50</f>
        <v>10.815069629410464</v>
      </c>
      <c r="D57" s="9">
        <f>Fig1_future_Kaya!AJ50</f>
        <v>1.3262456673094907</v>
      </c>
      <c r="E57" s="9">
        <f>Fig1_future_Kaya!AK50</f>
        <v>1.0087044284398257</v>
      </c>
      <c r="F57" s="9">
        <f>Fig1_future_Kaya!AL50</f>
        <v>0.58060994936859822</v>
      </c>
      <c r="H57" s="266">
        <f>Fig1_carbon_eq_intensity!U54</f>
        <v>293.87097179105825</v>
      </c>
      <c r="I57" s="266">
        <f>Fig1_carbon_eq_intensity!AH54</f>
        <v>168.97580877985848</v>
      </c>
      <c r="J57" s="266">
        <f>Fig1_carbon_eq_intensity!H54</f>
        <v>124.89516301119976</v>
      </c>
      <c r="K57" s="266">
        <f>Fig1_carbon_eq_intensity!AU54</f>
        <v>95.508065832093919</v>
      </c>
      <c r="L57" s="266">
        <f>Fig1_carbon_eq_intensity!BH54</f>
        <v>73.467742947764563</v>
      </c>
      <c r="M57" s="266">
        <f>Fig1_carbon_eq_intensity!BU54</f>
        <v>80.814517242541029</v>
      </c>
      <c r="N57" s="264"/>
      <c r="O57" s="50">
        <f t="shared" si="39"/>
        <v>5.3049826692379627</v>
      </c>
      <c r="P57" s="50">
        <f t="shared" si="40"/>
        <v>3.0503650348118287</v>
      </c>
      <c r="Q57" s="158">
        <f t="shared" si="41"/>
        <v>2.2546176344261339</v>
      </c>
      <c r="R57" s="50">
        <f t="shared" si="42"/>
        <v>1.7241193675023376</v>
      </c>
      <c r="S57" s="50">
        <f t="shared" si="43"/>
        <v>1.3262456673094907</v>
      </c>
      <c r="T57" s="50">
        <f t="shared" si="44"/>
        <v>1.45887023404044</v>
      </c>
      <c r="U57" s="87"/>
      <c r="V57" s="267">
        <f>Fig1_carbon_eq_intensity!Y54</f>
        <v>269.15020240269939</v>
      </c>
      <c r="W57" s="267">
        <f>Fig1_carbon_eq_intensity!AL54</f>
        <v>148.29564770523797</v>
      </c>
      <c r="X57" s="267">
        <f>Fig1_carbon_eq_intensity!L54</f>
        <v>105.64109898848687</v>
      </c>
      <c r="Y57" s="267">
        <f>Fig1_carbon_eq_intensity!AY54</f>
        <v>77.204733177319468</v>
      </c>
      <c r="Z57" s="267">
        <f>Fig1_carbon_eq_intensity!BL54</f>
        <v>55.877458818943929</v>
      </c>
      <c r="AA57" s="267">
        <f>Fig1_carbon_eq_intensity!BY54</f>
        <v>62.98655027173578</v>
      </c>
      <c r="AC57" s="31">
        <f t="shared" si="45"/>
        <v>4.8587213308819086</v>
      </c>
      <c r="AD57" s="31">
        <f t="shared" si="46"/>
        <v>2.6770450861647284</v>
      </c>
      <c r="AE57" s="158">
        <f t="shared" si="47"/>
        <v>1.9070417056763116</v>
      </c>
      <c r="AF57" s="31">
        <f t="shared" si="48"/>
        <v>1.3937061186840336</v>
      </c>
      <c r="AG57" s="31">
        <f t="shared" si="49"/>
        <v>1.0087044284398254</v>
      </c>
      <c r="AH57" s="31">
        <f t="shared" si="50"/>
        <v>1.137038325187895</v>
      </c>
      <c r="AI57" s="87"/>
      <c r="AJ57" s="266">
        <f>Fig1_carbon_eq_intensity!AC54</f>
        <v>225.14133312694031</v>
      </c>
      <c r="AK57" s="266">
        <f>Fig1_carbon_eq_intensity!AP54</f>
        <v>115.78697132242644</v>
      </c>
      <c r="AL57" s="266">
        <f>Fig1_carbon_eq_intensity!P54</f>
        <v>77.191314214950978</v>
      </c>
      <c r="AM57" s="266">
        <f>Fig1_carbon_eq_intensity!BC54</f>
        <v>51.460876143300638</v>
      </c>
      <c r="AN57" s="266">
        <f>Fig1_carbon_eq_intensity!BP54</f>
        <v>32.163047589562915</v>
      </c>
      <c r="AO57" s="266">
        <f>Fig1_carbon_eq_intensity!CC54</f>
        <v>38.595657107475503</v>
      </c>
      <c r="AQ57" s="31">
        <f t="shared" si="51"/>
        <v>4.0642696455801861</v>
      </c>
      <c r="AR57" s="31">
        <f t="shared" si="10"/>
        <v>2.0901958177269528</v>
      </c>
      <c r="AS57" s="158">
        <f t="shared" si="11"/>
        <v>1.3934638784846356</v>
      </c>
      <c r="AT57" s="31">
        <f t="shared" si="12"/>
        <v>0.92897591898975684</v>
      </c>
      <c r="AU57" s="31">
        <f t="shared" si="13"/>
        <v>0.58060994936859822</v>
      </c>
      <c r="AV57" s="275">
        <f t="shared" si="14"/>
        <v>0.69673193924231802</v>
      </c>
    </row>
    <row r="58" spans="1:54">
      <c r="A58" s="10">
        <v>2037</v>
      </c>
      <c r="B58" s="9">
        <f>Fig1_future_Kaya!J51</f>
        <v>1735926.367259481</v>
      </c>
      <c r="C58" s="30">
        <f>Fig1_future_Kaya!R51</f>
        <v>10.706918933116359</v>
      </c>
      <c r="D58" s="9">
        <f>Fig1_future_Kaya!AJ51</f>
        <v>1.3655025390618518</v>
      </c>
      <c r="E58" s="9">
        <f>Fig1_future_Kaya!AK51</f>
        <v>0.97769214930602644</v>
      </c>
      <c r="F58" s="9">
        <f>Fig1_future_Kaya!AL51</f>
        <v>0.548522369941146</v>
      </c>
      <c r="H58" s="266">
        <f>Fig1_carbon_eq_intensity!U55</f>
        <v>293.87097179105825</v>
      </c>
      <c r="I58" s="266">
        <f>Fig1_carbon_eq_intensity!AH55</f>
        <v>168.97580877985848</v>
      </c>
      <c r="J58" s="266">
        <f>Fig1_carbon_eq_intensity!H55</f>
        <v>124.89516301119976</v>
      </c>
      <c r="K58" s="266">
        <f>Fig1_carbon_eq_intensity!AU55</f>
        <v>95.508065832093919</v>
      </c>
      <c r="L58" s="266">
        <f>Fig1_carbon_eq_intensity!BH55</f>
        <v>73.467742947764563</v>
      </c>
      <c r="M58" s="266">
        <f>Fig1_carbon_eq_intensity!BU55</f>
        <v>80.814517242541029</v>
      </c>
      <c r="N58" s="264"/>
      <c r="O58" s="50">
        <f t="shared" si="39"/>
        <v>5.4620101562474073</v>
      </c>
      <c r="P58" s="50">
        <f t="shared" si="40"/>
        <v>3.140655839842259</v>
      </c>
      <c r="Q58" s="158">
        <f t="shared" si="41"/>
        <v>2.3213543164051482</v>
      </c>
      <c r="R58" s="50">
        <f t="shared" si="42"/>
        <v>1.775153300780407</v>
      </c>
      <c r="S58" s="50">
        <f t="shared" si="43"/>
        <v>1.3655025390618518</v>
      </c>
      <c r="T58" s="50">
        <f t="shared" si="44"/>
        <v>1.5020527929680372</v>
      </c>
      <c r="U58" s="87"/>
      <c r="V58" s="267">
        <f>Fig1_carbon_eq_intensity!Y55</f>
        <v>265.28102783454892</v>
      </c>
      <c r="W58" s="267">
        <f>Fig1_carbon_eq_intensity!AL55</f>
        <v>144.7631904965657</v>
      </c>
      <c r="X58" s="267">
        <f>Fig1_carbon_eq_intensity!L55</f>
        <v>102.22748320080694</v>
      </c>
      <c r="Y58" s="267">
        <f>Fig1_carbon_eq_intensity!AY55</f>
        <v>73.870345003634412</v>
      </c>
      <c r="Z58" s="267">
        <f>Fig1_carbon_eq_intensity!BL55</f>
        <v>52.602491355755035</v>
      </c>
      <c r="AA58" s="267">
        <f>Fig1_carbon_eq_intensity!BY55</f>
        <v>59.691775905048175</v>
      </c>
      <c r="AC58" s="31">
        <f t="shared" si="45"/>
        <v>4.9306253675244616</v>
      </c>
      <c r="AD58" s="31">
        <f t="shared" si="46"/>
        <v>2.6906298772006814</v>
      </c>
      <c r="AE58" s="158">
        <f t="shared" si="47"/>
        <v>1.9000432335569948</v>
      </c>
      <c r="AF58" s="31">
        <f t="shared" si="48"/>
        <v>1.3729854711278699</v>
      </c>
      <c r="AG58" s="31">
        <f t="shared" si="49"/>
        <v>0.97769214930602644</v>
      </c>
      <c r="AH58" s="31">
        <f t="shared" si="50"/>
        <v>1.109456589913308</v>
      </c>
      <c r="AI58" s="87"/>
      <c r="AJ58" s="266">
        <f>Fig1_carbon_eq_intensity!AC55</f>
        <v>220.20486593733472</v>
      </c>
      <c r="AK58" s="266">
        <f>Fig1_carbon_eq_intensity!AP55</f>
        <v>112.1455709000447</v>
      </c>
      <c r="AL58" s="266">
        <f>Fig1_carbon_eq_intensity!P55</f>
        <v>74.006996181001156</v>
      </c>
      <c r="AM58" s="266">
        <f>Fig1_carbon_eq_intensity!BC55</f>
        <v>48.581279701638792</v>
      </c>
      <c r="AN58" s="266">
        <f>Fig1_carbon_eq_intensity!BP55</f>
        <v>29.511992342117033</v>
      </c>
      <c r="AO58" s="266">
        <f>Fig1_carbon_eq_intensity!CC55</f>
        <v>35.868421461957624</v>
      </c>
      <c r="AQ58" s="31">
        <f t="shared" si="51"/>
        <v>4.0928207603300883</v>
      </c>
      <c r="AR58" s="31">
        <f t="shared" si="10"/>
        <v>2.0843850057763542</v>
      </c>
      <c r="AS58" s="158">
        <f t="shared" si="11"/>
        <v>1.3755253276985657</v>
      </c>
      <c r="AT58" s="31">
        <f t="shared" si="12"/>
        <v>0.90295220898003992</v>
      </c>
      <c r="AU58" s="31">
        <f t="shared" si="13"/>
        <v>0.548522369941146</v>
      </c>
      <c r="AV58" s="275">
        <f t="shared" si="14"/>
        <v>0.66666564962077735</v>
      </c>
    </row>
    <row r="59" spans="1:54">
      <c r="A59" s="10">
        <v>2038</v>
      </c>
      <c r="B59" s="9">
        <f>Fig1_future_Kaya!J52</f>
        <v>1805363.4219498599</v>
      </c>
      <c r="C59" s="30">
        <f>Fig1_future_Kaya!R52</f>
        <v>10.599849743785196</v>
      </c>
      <c r="D59" s="9">
        <f>Fig1_future_Kaya!AJ52</f>
        <v>1.4059214142180825</v>
      </c>
      <c r="E59" s="9">
        <f>Fig1_future_Kaya!AK52</f>
        <v>0.94429370881916497</v>
      </c>
      <c r="F59" s="9">
        <f>Fig1_future_Kaya!AL52</f>
        <v>0.51506780742602343</v>
      </c>
      <c r="H59" s="266">
        <f>Fig1_carbon_eq_intensity!U56</f>
        <v>293.87097179105825</v>
      </c>
      <c r="I59" s="266">
        <f>Fig1_carbon_eq_intensity!AH56</f>
        <v>168.97580877985848</v>
      </c>
      <c r="J59" s="266">
        <f>Fig1_carbon_eq_intensity!H56</f>
        <v>124.89516301119976</v>
      </c>
      <c r="K59" s="266">
        <f>Fig1_carbon_eq_intensity!AU56</f>
        <v>95.508065832093919</v>
      </c>
      <c r="L59" s="266">
        <f>Fig1_carbon_eq_intensity!BH56</f>
        <v>73.467742947764563</v>
      </c>
      <c r="M59" s="266">
        <f>Fig1_carbon_eq_intensity!BU56</f>
        <v>80.814517242541029</v>
      </c>
      <c r="N59" s="264"/>
      <c r="O59" s="50">
        <f t="shared" si="39"/>
        <v>5.6236856568723299</v>
      </c>
      <c r="P59" s="50">
        <f t="shared" si="40"/>
        <v>3.233619252701589</v>
      </c>
      <c r="Q59" s="158">
        <f t="shared" si="41"/>
        <v>2.39006640417074</v>
      </c>
      <c r="R59" s="50">
        <f t="shared" si="42"/>
        <v>1.827697838483507</v>
      </c>
      <c r="S59" s="50">
        <f t="shared" si="43"/>
        <v>1.4059214142180825</v>
      </c>
      <c r="T59" s="50">
        <f t="shared" si="44"/>
        <v>1.546513555639891</v>
      </c>
      <c r="U59" s="87"/>
      <c r="V59" s="267">
        <f>Fig1_carbon_eq_intensity!Y56</f>
        <v>261.42928334147746</v>
      </c>
      <c r="W59" s="267">
        <f>Fig1_carbon_eq_intensity!AL56</f>
        <v>141.24816336297238</v>
      </c>
      <c r="X59" s="267">
        <f>Fig1_carbon_eq_intensity!L56</f>
        <v>98.831297488205905</v>
      </c>
      <c r="Y59" s="267">
        <f>Fig1_carbon_eq_intensity!AY56</f>
        <v>70.553386905028248</v>
      </c>
      <c r="Z59" s="267">
        <f>Fig1_carbon_eq_intensity!BL56</f>
        <v>49.344953967645012</v>
      </c>
      <c r="AA59" s="267">
        <f>Fig1_carbon_eq_intensity!BY56</f>
        <v>56.414431613439433</v>
      </c>
      <c r="AC59" s="31">
        <f t="shared" si="45"/>
        <v>5.002862657898671</v>
      </c>
      <c r="AD59" s="31">
        <f t="shared" si="46"/>
        <v>2.7030069200869504</v>
      </c>
      <c r="AE59" s="158">
        <f t="shared" si="47"/>
        <v>1.8912931302710494</v>
      </c>
      <c r="AF59" s="31">
        <f t="shared" si="48"/>
        <v>1.3501506037271154</v>
      </c>
      <c r="AG59" s="31">
        <f t="shared" si="49"/>
        <v>0.94429370881916497</v>
      </c>
      <c r="AH59" s="31">
        <f t="shared" si="50"/>
        <v>1.0795793404551488</v>
      </c>
      <c r="AI59" s="87"/>
      <c r="AJ59" s="266">
        <f>Fig1_carbon_eq_intensity!AC56</f>
        <v>215.32281331778057</v>
      </c>
      <c r="AK59" s="266">
        <f>Fig1_carbon_eq_intensity!AP56</f>
        <v>108.55858504771437</v>
      </c>
      <c r="AL59" s="266">
        <f>Fig1_carbon_eq_intensity!P56</f>
        <v>70.877092717102784</v>
      </c>
      <c r="AM59" s="266">
        <f>Fig1_carbon_eq_intensity!BC56</f>
        <v>45.756097830028367</v>
      </c>
      <c r="AN59" s="266">
        <f>Fig1_carbon_eq_intensity!BP56</f>
        <v>26.915351664722579</v>
      </c>
      <c r="AO59" s="266">
        <f>Fig1_carbon_eq_intensity!CC56</f>
        <v>33.195600386491193</v>
      </c>
      <c r="AQ59" s="31">
        <f t="shared" si="51"/>
        <v>4.1205424594081856</v>
      </c>
      <c r="AR59" s="31">
        <f t="shared" si="10"/>
        <v>2.0774401566182936</v>
      </c>
      <c r="AS59" s="158">
        <f t="shared" si="11"/>
        <v>1.3563452262218614</v>
      </c>
      <c r="AT59" s="31">
        <f t="shared" si="12"/>
        <v>0.87561527262423944</v>
      </c>
      <c r="AU59" s="31">
        <f t="shared" si="13"/>
        <v>0.51506780742602332</v>
      </c>
      <c r="AV59" s="275">
        <f t="shared" si="14"/>
        <v>0.63525029582542913</v>
      </c>
    </row>
    <row r="60" spans="1:54">
      <c r="A60" s="10">
        <v>2039</v>
      </c>
      <c r="B60" s="9">
        <f>Fig1_future_Kaya!J53</f>
        <v>1877577.9588278546</v>
      </c>
      <c r="C60" s="30">
        <f>Fig1_future_Kaya!R53</f>
        <v>10.493851246347344</v>
      </c>
      <c r="D60" s="9">
        <f>Fig1_future_Kaya!AJ53</f>
        <v>1.4475366880789378</v>
      </c>
      <c r="E60" s="9">
        <f>Fig1_future_Kaya!AK53</f>
        <v>0.90840489108611888</v>
      </c>
      <c r="F60" s="9">
        <f>Fig1_future_Kaya!AL53</f>
        <v>0.48022427301933091</v>
      </c>
      <c r="H60" s="266">
        <f>Fig1_carbon_eq_intensity!U57</f>
        <v>293.87097179105825</v>
      </c>
      <c r="I60" s="266">
        <f>Fig1_carbon_eq_intensity!AH57</f>
        <v>168.97580877985848</v>
      </c>
      <c r="J60" s="266">
        <f>Fig1_carbon_eq_intensity!H57</f>
        <v>124.89516301119976</v>
      </c>
      <c r="K60" s="266">
        <f>Fig1_carbon_eq_intensity!AU57</f>
        <v>95.508065832093919</v>
      </c>
      <c r="L60" s="266">
        <f>Fig1_carbon_eq_intensity!BH57</f>
        <v>73.467742947764563</v>
      </c>
      <c r="M60" s="266">
        <f>Fig1_carbon_eq_intensity!BU57</f>
        <v>80.814517242541029</v>
      </c>
      <c r="N60" s="264"/>
      <c r="O60" s="50">
        <f t="shared" si="39"/>
        <v>5.790146752315751</v>
      </c>
      <c r="P60" s="50">
        <f t="shared" si="40"/>
        <v>3.3293343825815569</v>
      </c>
      <c r="Q60" s="158">
        <f t="shared" si="41"/>
        <v>2.4608123697341941</v>
      </c>
      <c r="R60" s="50">
        <f t="shared" si="42"/>
        <v>1.8817976945026191</v>
      </c>
      <c r="S60" s="50">
        <f t="shared" si="43"/>
        <v>1.4475366880789378</v>
      </c>
      <c r="T60" s="50">
        <f t="shared" si="44"/>
        <v>1.5922903568868318</v>
      </c>
      <c r="U60" s="87"/>
      <c r="V60" s="267">
        <f>Fig1_carbon_eq_intensity!Y57</f>
        <v>257.59496892348477</v>
      </c>
      <c r="W60" s="267">
        <f>Fig1_carbon_eq_intensity!AL57</f>
        <v>137.75056630445789</v>
      </c>
      <c r="X60" s="267">
        <f>Fig1_carbon_eq_intensity!L57</f>
        <v>95.452541850683744</v>
      </c>
      <c r="Y60" s="267">
        <f>Fig1_carbon_eq_intensity!AY57</f>
        <v>67.253858881500932</v>
      </c>
      <c r="Z60" s="267">
        <f>Fig1_carbon_eq_intensity!BL57</f>
        <v>46.104846654613858</v>
      </c>
      <c r="AA60" s="267">
        <f>Fig1_carbon_eq_intensity!BY57</f>
        <v>53.154517396909569</v>
      </c>
      <c r="AC60" s="31">
        <f t="shared" si="45"/>
        <v>5.0753998043251967</v>
      </c>
      <c r="AD60" s="31">
        <f t="shared" si="46"/>
        <v>2.7141026868230518</v>
      </c>
      <c r="AE60" s="158">
        <f t="shared" si="47"/>
        <v>1.880703704175237</v>
      </c>
      <c r="AF60" s="31">
        <f t="shared" si="48"/>
        <v>1.3251043824100264</v>
      </c>
      <c r="AG60" s="31">
        <f t="shared" si="49"/>
        <v>0.90840489108611877</v>
      </c>
      <c r="AH60" s="31">
        <f t="shared" si="50"/>
        <v>1.0473047215274218</v>
      </c>
      <c r="AI60" s="87"/>
      <c r="AJ60" s="266">
        <f>Fig1_carbon_eq_intensity!AC57</f>
        <v>210.49517526827788</v>
      </c>
      <c r="AK60" s="266">
        <f>Fig1_carbon_eq_intensity!AP57</f>
        <v>105.02601376543548</v>
      </c>
      <c r="AL60" s="266">
        <f>Fig1_carbon_eq_intensity!P57</f>
        <v>67.801603823255832</v>
      </c>
      <c r="AM60" s="266">
        <f>Fig1_carbon_eq_intensity!BC57</f>
        <v>42.985330528469376</v>
      </c>
      <c r="AN60" s="266">
        <f>Fig1_carbon_eq_intensity!BP57</f>
        <v>24.373125557379552</v>
      </c>
      <c r="AO60" s="266">
        <f>Fig1_carbon_eq_intensity!CC57</f>
        <v>30.57719388107617</v>
      </c>
      <c r="AQ60" s="31">
        <f t="shared" si="51"/>
        <v>4.1473914488033108</v>
      </c>
      <c r="AR60" s="31">
        <f t="shared" si="10"/>
        <v>2.0693300491923887</v>
      </c>
      <c r="AS60" s="158">
        <f t="shared" si="11"/>
        <v>1.335896614035593</v>
      </c>
      <c r="AT60" s="31">
        <f t="shared" si="12"/>
        <v>0.84694099059772876</v>
      </c>
      <c r="AU60" s="31">
        <f t="shared" si="13"/>
        <v>0.48022427301933091</v>
      </c>
      <c r="AV60" s="275">
        <f t="shared" si="14"/>
        <v>0.60246317887879708</v>
      </c>
    </row>
    <row r="61" spans="1:54">
      <c r="A61" s="10">
        <v>2040</v>
      </c>
      <c r="B61" s="9">
        <f>Fig1_future_Kaya!J54</f>
        <v>1952681.0771809691</v>
      </c>
      <c r="C61" s="30">
        <f>Fig1_future_Kaya!R54</f>
        <v>10.38891273388387</v>
      </c>
      <c r="D61" s="9">
        <f>Fig1_future_Kaya!AJ54</f>
        <v>1.4903837740460746</v>
      </c>
      <c r="E61" s="9">
        <f>Fig1_future_Kaya!AK54</f>
        <v>0.86991769353698223</v>
      </c>
      <c r="F61" s="9">
        <f>Fig1_future_Kaya!AL54</f>
        <v>0.44397058622902219</v>
      </c>
      <c r="H61" s="266">
        <f>Fig1_carbon_eq_intensity!U58</f>
        <v>293.87097179105825</v>
      </c>
      <c r="I61" s="266">
        <f>Fig1_carbon_eq_intensity!AH58</f>
        <v>168.97580877985848</v>
      </c>
      <c r="J61" s="266">
        <f>Fig1_carbon_eq_intensity!H58</f>
        <v>124.89516301119976</v>
      </c>
      <c r="K61" s="266">
        <f>Fig1_carbon_eq_intensity!AU58</f>
        <v>95.508065832093919</v>
      </c>
      <c r="L61" s="266">
        <f>Fig1_carbon_eq_intensity!BH58</f>
        <v>73.467742947764563</v>
      </c>
      <c r="M61" s="266">
        <f>Fig1_carbon_eq_intensity!BU58</f>
        <v>80.814517242541029</v>
      </c>
      <c r="N61" s="264"/>
      <c r="O61" s="50">
        <f t="shared" si="39"/>
        <v>5.9615350961842983</v>
      </c>
      <c r="P61" s="50">
        <f t="shared" si="40"/>
        <v>3.4278826803059714</v>
      </c>
      <c r="Q61" s="158">
        <f t="shared" si="41"/>
        <v>2.5336524158783269</v>
      </c>
      <c r="R61" s="50">
        <f t="shared" si="42"/>
        <v>1.9374989062598968</v>
      </c>
      <c r="S61" s="50">
        <f t="shared" si="43"/>
        <v>1.4903837740460746</v>
      </c>
      <c r="T61" s="50">
        <f t="shared" si="44"/>
        <v>1.6394221514506824</v>
      </c>
      <c r="U61" s="87"/>
      <c r="V61" s="267">
        <f>Fig1_carbon_eq_intensity!Y58</f>
        <v>253.77808458057098</v>
      </c>
      <c r="W61" s="267">
        <f>Fig1_carbon_eq_intensity!AL58</f>
        <v>134.2703993210223</v>
      </c>
      <c r="X61" s="267">
        <f>Fig1_carbon_eq_intensity!L58</f>
        <v>92.091216288240432</v>
      </c>
      <c r="Y61" s="267">
        <f>Fig1_carbon_eq_intensity!AY58</f>
        <v>63.971760933052501</v>
      </c>
      <c r="Z61" s="267">
        <f>Fig1_carbon_eq_intensity!BL58</f>
        <v>42.882169416661583</v>
      </c>
      <c r="AA61" s="267">
        <f>Fig1_carbon_eq_intensity!BY58</f>
        <v>49.912033255458567</v>
      </c>
      <c r="AC61" s="31">
        <f t="shared" si="45"/>
        <v>5.1482014322434519</v>
      </c>
      <c r="AD61" s="31">
        <f t="shared" si="46"/>
        <v>2.7238406469764525</v>
      </c>
      <c r="AE61" s="158">
        <f t="shared" si="47"/>
        <v>1.8681838992351585</v>
      </c>
      <c r="AF61" s="31">
        <f t="shared" si="48"/>
        <v>1.2977460674076291</v>
      </c>
      <c r="AG61" s="31">
        <f t="shared" si="49"/>
        <v>0.86991769353698234</v>
      </c>
      <c r="AH61" s="31">
        <f t="shared" si="50"/>
        <v>1.0125271514938647</v>
      </c>
      <c r="AI61" s="87"/>
      <c r="AJ61" s="266">
        <f>Fig1_carbon_eq_intensity!AC58</f>
        <v>205.72195178882657</v>
      </c>
      <c r="AK61" s="266">
        <f>Fig1_carbon_eq_intensity!AP58</f>
        <v>101.54785705320801</v>
      </c>
      <c r="AL61" s="266">
        <f>Fig1_carbon_eq_intensity!P58</f>
        <v>64.7805294994603</v>
      </c>
      <c r="AM61" s="266">
        <f>Fig1_carbon_eq_intensity!BC58</f>
        <v>40.268977796961792</v>
      </c>
      <c r="AN61" s="266">
        <f>Fig1_carbon_eq_intensity!BP58</f>
        <v>21.885314020087943</v>
      </c>
      <c r="AO61" s="266">
        <f>Fig1_carbon_eq_intensity!CC58</f>
        <v>28.013201945712574</v>
      </c>
      <c r="AQ61" s="31">
        <f t="shared" si="51"/>
        <v>4.1733235105528061</v>
      </c>
      <c r="AR61" s="31">
        <f t="shared" si="10"/>
        <v>2.0600235201026615</v>
      </c>
      <c r="AS61" s="158">
        <f t="shared" si="11"/>
        <v>1.3141529352379053</v>
      </c>
      <c r="AT61" s="31">
        <f t="shared" si="12"/>
        <v>0.81690587866140019</v>
      </c>
      <c r="AU61" s="31">
        <f t="shared" si="13"/>
        <v>0.44397058622902213</v>
      </c>
      <c r="AV61" s="275">
        <f t="shared" si="14"/>
        <v>0.56828235037314845</v>
      </c>
    </row>
    <row r="62" spans="1:54">
      <c r="A62" s="10">
        <v>2041</v>
      </c>
      <c r="B62" s="9">
        <f>Fig1_future_Kaya!J55</f>
        <v>2030788.3202682075</v>
      </c>
      <c r="C62" s="30">
        <f>Fig1_future_Kaya!R55</f>
        <v>10.285023606545032</v>
      </c>
      <c r="D62" s="9">
        <f>Fig1_future_Kaya!AJ55</f>
        <v>1.534499133757838</v>
      </c>
      <c r="E62" s="9">
        <f>Fig1_future_Kaya!AK55</f>
        <v>0.84921858228648017</v>
      </c>
      <c r="F62" s="9">
        <f>Fig1_future_Kaya!AL55</f>
        <v>0.40628646899832965</v>
      </c>
      <c r="H62" s="266">
        <f>Fig1_carbon_eq_intensity!U59</f>
        <v>293.87097179105825</v>
      </c>
      <c r="I62" s="266">
        <f>Fig1_carbon_eq_intensity!AH59</f>
        <v>168.97580877985848</v>
      </c>
      <c r="J62" s="266">
        <f>Fig1_carbon_eq_intensity!H59</f>
        <v>124.89516301119976</v>
      </c>
      <c r="K62" s="266">
        <f>Fig1_carbon_eq_intensity!AU59</f>
        <v>95.508065832093919</v>
      </c>
      <c r="L62" s="266">
        <f>Fig1_carbon_eq_intensity!BH59</f>
        <v>73.467742947764563</v>
      </c>
      <c r="M62" s="266">
        <f>Fig1_carbon_eq_intensity!BU59</f>
        <v>80.814517242541029</v>
      </c>
      <c r="N62" s="264"/>
      <c r="O62" s="50">
        <f t="shared" si="39"/>
        <v>6.1379965350313519</v>
      </c>
      <c r="P62" s="50">
        <f t="shared" si="40"/>
        <v>3.5293480076430273</v>
      </c>
      <c r="Q62" s="158">
        <f t="shared" si="41"/>
        <v>2.6086485273883246</v>
      </c>
      <c r="R62" s="50">
        <f t="shared" si="42"/>
        <v>1.9948488738851891</v>
      </c>
      <c r="S62" s="50">
        <f t="shared" si="43"/>
        <v>1.534499133757838</v>
      </c>
      <c r="T62" s="50">
        <f t="shared" si="44"/>
        <v>1.687949047133622</v>
      </c>
      <c r="U62" s="87"/>
      <c r="V62" s="267">
        <f>Fig1_carbon_eq_intensity!Y59</f>
        <v>250.96003828367776</v>
      </c>
      <c r="W62" s="267">
        <f>Fig1_carbon_eq_intensity!AL59</f>
        <v>131.78907038360731</v>
      </c>
      <c r="X62" s="267">
        <f>Fig1_carbon_eq_intensity!L59</f>
        <v>89.728728771817742</v>
      </c>
      <c r="Y62" s="267">
        <f>Fig1_carbon_eq_intensity!AY59</f>
        <v>61.688501030624693</v>
      </c>
      <c r="Z62" s="267">
        <f>Fig1_carbon_eq_intensity!BL59</f>
        <v>40.658330224729916</v>
      </c>
      <c r="AA62" s="267">
        <f>Fig1_carbon_eq_intensity!BY59</f>
        <v>47.668387160028189</v>
      </c>
      <c r="AC62" s="31">
        <f t="shared" si="45"/>
        <v>5.2417284906648263</v>
      </c>
      <c r="AD62" s="31">
        <f t="shared" si="46"/>
        <v>2.7526395425837635</v>
      </c>
      <c r="AE62" s="158">
        <f t="shared" si="47"/>
        <v>1.8741375609080941</v>
      </c>
      <c r="AF62" s="31">
        <f t="shared" si="48"/>
        <v>1.2884695731243148</v>
      </c>
      <c r="AG62" s="31">
        <f t="shared" si="49"/>
        <v>0.84921858228648017</v>
      </c>
      <c r="AH62" s="31">
        <f t="shared" si="50"/>
        <v>0.99563557923242529</v>
      </c>
      <c r="AI62" s="87"/>
      <c r="AJ62" s="266">
        <f>Fig1_carbon_eq_intensity!AC59</f>
        <v>201.00314287942666</v>
      </c>
      <c r="AK62" s="266">
        <f>Fig1_carbon_eq_intensity!AP59</f>
        <v>98.124114911031953</v>
      </c>
      <c r="AL62" s="266">
        <f>Fig1_carbon_eq_intensity!P59</f>
        <v>61.813869745716175</v>
      </c>
      <c r="AM62" s="266">
        <f>Fig1_carbon_eq_intensity!BC59</f>
        <v>37.607039635505643</v>
      </c>
      <c r="AN62" s="266">
        <f>Fig1_carbon_eq_intensity!BP59</f>
        <v>19.451917052847755</v>
      </c>
      <c r="AO62" s="266">
        <f>Fig1_carbon_eq_intensity!CC59</f>
        <v>25.503624580400395</v>
      </c>
      <c r="AQ62" s="31">
        <f t="shared" si="51"/>
        <v>4.1982935129827368</v>
      </c>
      <c r="AR62" s="31">
        <f t="shared" si="10"/>
        <v>2.0494895213915729</v>
      </c>
      <c r="AS62" s="158">
        <f t="shared" si="11"/>
        <v>1.2910881125946916</v>
      </c>
      <c r="AT62" s="31">
        <f t="shared" si="12"/>
        <v>0.78548717339677021</v>
      </c>
      <c r="AU62" s="31">
        <f t="shared" si="13"/>
        <v>0.40628646899832965</v>
      </c>
      <c r="AV62" s="275">
        <f t="shared" si="14"/>
        <v>0.53268670379781002</v>
      </c>
    </row>
    <row r="63" spans="1:54">
      <c r="A63" s="10">
        <v>2042</v>
      </c>
      <c r="B63" s="9">
        <f>Fig1_future_Kaya!J56</f>
        <v>2112019.8530789362</v>
      </c>
      <c r="C63" s="30">
        <f>Fig1_future_Kaya!R56</f>
        <v>10.182173370479582</v>
      </c>
      <c r="D63" s="9">
        <f>Fig1_future_Kaya!AJ56</f>
        <v>1.5799203081170705</v>
      </c>
      <c r="E63" s="9">
        <f>Fig1_future_Kaya!AK56</f>
        <v>0.82678746447262086</v>
      </c>
      <c r="F63" s="9">
        <f>Fig1_future_Kaya!AL56</f>
        <v>0.3671526454924543</v>
      </c>
      <c r="H63" s="266">
        <f>Fig1_carbon_eq_intensity!U60</f>
        <v>293.87097179105825</v>
      </c>
      <c r="I63" s="266">
        <f>Fig1_carbon_eq_intensity!AH60</f>
        <v>168.97580877985848</v>
      </c>
      <c r="J63" s="266">
        <f>Fig1_carbon_eq_intensity!H60</f>
        <v>124.89516301119976</v>
      </c>
      <c r="K63" s="266">
        <f>Fig1_carbon_eq_intensity!AU60</f>
        <v>95.508065832093919</v>
      </c>
      <c r="L63" s="266">
        <f>Fig1_carbon_eq_intensity!BH60</f>
        <v>73.467742947764563</v>
      </c>
      <c r="M63" s="266">
        <f>Fig1_carbon_eq_intensity!BU60</f>
        <v>80.814517242541029</v>
      </c>
      <c r="N63" s="264"/>
      <c r="O63" s="50">
        <f t="shared" si="39"/>
        <v>6.3196812324682821</v>
      </c>
      <c r="P63" s="50">
        <f t="shared" si="40"/>
        <v>3.6338167086692619</v>
      </c>
      <c r="Q63" s="158">
        <f t="shared" si="41"/>
        <v>2.6858645237990197</v>
      </c>
      <c r="R63" s="50">
        <f t="shared" si="42"/>
        <v>2.0538964005521914</v>
      </c>
      <c r="S63" s="50">
        <f t="shared" si="43"/>
        <v>1.5799203081170705</v>
      </c>
      <c r="T63" s="50">
        <f t="shared" si="44"/>
        <v>1.7379123389287776</v>
      </c>
      <c r="U63" s="87"/>
      <c r="V63" s="267">
        <f>Fig1_carbon_eq_intensity!Y60</f>
        <v>248.15387612888384</v>
      </c>
      <c r="W63" s="267">
        <f>Fig1_carbon_eq_intensity!AL60</f>
        <v>129.31962558829156</v>
      </c>
      <c r="X63" s="267">
        <f>Fig1_carbon_eq_intensity!L60</f>
        <v>87.378125397494301</v>
      </c>
      <c r="Y63" s="267">
        <f>Fig1_carbon_eq_intensity!AY60</f>
        <v>59.417125270296111</v>
      </c>
      <c r="Z63" s="267">
        <f>Fig1_carbon_eq_intensity!BL60</f>
        <v>38.44637517489749</v>
      </c>
      <c r="AA63" s="267">
        <f>Fig1_carbon_eq_intensity!BY60</f>
        <v>45.436625206697045</v>
      </c>
      <c r="AC63" s="31">
        <f t="shared" si="45"/>
        <v>5.3365372706869172</v>
      </c>
      <c r="AD63" s="31">
        <f t="shared" si="46"/>
        <v>2.7810123804988156</v>
      </c>
      <c r="AE63" s="158">
        <f t="shared" si="47"/>
        <v>1.8790624192559566</v>
      </c>
      <c r="AF63" s="31">
        <f t="shared" si="48"/>
        <v>1.2777624450940501</v>
      </c>
      <c r="AG63" s="31">
        <f t="shared" si="49"/>
        <v>0.82678746447262086</v>
      </c>
      <c r="AH63" s="31">
        <f t="shared" si="50"/>
        <v>0.97711245801309754</v>
      </c>
      <c r="AI63" s="87"/>
      <c r="AJ63" s="266">
        <f>Fig1_carbon_eq_intensity!AC60</f>
        <v>196.33874854007823</v>
      </c>
      <c r="AK63" s="266">
        <f>Fig1_carbon_eq_intensity!AP60</f>
        <v>94.75478733890732</v>
      </c>
      <c r="AL63" s="266">
        <f>Fig1_carbon_eq_intensity!P60</f>
        <v>58.901624562023478</v>
      </c>
      <c r="AM63" s="266">
        <f>Fig1_carbon_eq_intensity!BC60</f>
        <v>34.999516044100901</v>
      </c>
      <c r="AN63" s="266">
        <f>Fig1_carbon_eq_intensity!BP60</f>
        <v>17.07293465565899</v>
      </c>
      <c r="AO63" s="266">
        <f>Fig1_carbon_eq_intensity!CC60</f>
        <v>23.048461785139637</v>
      </c>
      <c r="AQ63" s="31">
        <f t="shared" si="51"/>
        <v>4.2222554231632214</v>
      </c>
      <c r="AR63" s="31">
        <f t="shared" si="10"/>
        <v>2.0376971824831198</v>
      </c>
      <c r="AS63" s="158">
        <f t="shared" si="11"/>
        <v>1.2666766269489664</v>
      </c>
      <c r="AT63" s="31">
        <f t="shared" si="12"/>
        <v>0.75266292325953066</v>
      </c>
      <c r="AU63" s="31">
        <f t="shared" si="13"/>
        <v>0.3671526454924543</v>
      </c>
      <c r="AV63" s="275">
        <f t="shared" si="14"/>
        <v>0.49565607141481333</v>
      </c>
    </row>
    <row r="64" spans="1:54">
      <c r="A64" s="10">
        <v>2043</v>
      </c>
      <c r="B64" s="9">
        <f>Fig1_future_Kaya!J57</f>
        <v>2196500.6472020936</v>
      </c>
      <c r="C64" s="30">
        <f>Fig1_future_Kaya!R57</f>
        <v>10.080351636774786</v>
      </c>
      <c r="D64" s="9">
        <f>Fig1_future_Kaya!AJ57</f>
        <v>1.6266859492373358</v>
      </c>
      <c r="E64" s="9">
        <f>Fig1_future_Kaya!AK57</f>
        <v>0.80254750585027301</v>
      </c>
      <c r="F64" s="9">
        <f>Fig1_future_Kaya!AL57</f>
        <v>0.32655094782497529</v>
      </c>
      <c r="H64" s="266">
        <f>Fig1_carbon_eq_intensity!U61</f>
        <v>293.87097179105825</v>
      </c>
      <c r="I64" s="266">
        <f>Fig1_carbon_eq_intensity!AH61</f>
        <v>168.97580877985848</v>
      </c>
      <c r="J64" s="266">
        <f>Fig1_carbon_eq_intensity!H61</f>
        <v>124.89516301119976</v>
      </c>
      <c r="K64" s="266">
        <f>Fig1_carbon_eq_intensity!AU61</f>
        <v>95.508065832093919</v>
      </c>
      <c r="L64" s="266">
        <f>Fig1_carbon_eq_intensity!BH61</f>
        <v>73.467742947764563</v>
      </c>
      <c r="M64" s="266">
        <f>Fig1_carbon_eq_intensity!BU61</f>
        <v>80.814517242541029</v>
      </c>
      <c r="N64" s="264"/>
      <c r="O64" s="50">
        <f t="shared" si="39"/>
        <v>6.5067437969493431</v>
      </c>
      <c r="P64" s="50">
        <f t="shared" si="40"/>
        <v>3.7413776832458714</v>
      </c>
      <c r="Q64" s="158">
        <f t="shared" si="41"/>
        <v>2.7653661137034709</v>
      </c>
      <c r="R64" s="50">
        <f t="shared" si="42"/>
        <v>2.1146917340085363</v>
      </c>
      <c r="S64" s="50">
        <f t="shared" si="43"/>
        <v>1.6266859492373358</v>
      </c>
      <c r="T64" s="50">
        <f t="shared" si="44"/>
        <v>1.7893545441610694</v>
      </c>
      <c r="U64" s="87"/>
      <c r="V64" s="267">
        <f>Fig1_carbon_eq_intensity!Y61</f>
        <v>245.35959811618909</v>
      </c>
      <c r="W64" s="267">
        <f>Fig1_carbon_eq_intensity!AL61</f>
        <v>126.86206493507503</v>
      </c>
      <c r="X64" s="267">
        <f>Fig1_carbon_eq_intensity!L61</f>
        <v>85.039406165270094</v>
      </c>
      <c r="Y64" s="267">
        <f>Fig1_carbon_eq_intensity!AY61</f>
        <v>57.157633652066764</v>
      </c>
      <c r="Z64" s="267">
        <f>Fig1_carbon_eq_intensity!BL61</f>
        <v>36.246304267164291</v>
      </c>
      <c r="AA64" s="267">
        <f>Fig1_carbon_eq_intensity!BY61</f>
        <v>43.216747395465134</v>
      </c>
      <c r="AC64" s="31">
        <f t="shared" si="45"/>
        <v>5.4326292703710797</v>
      </c>
      <c r="AD64" s="31">
        <f t="shared" si="46"/>
        <v>2.8089162704759554</v>
      </c>
      <c r="AE64" s="158">
        <f t="shared" si="47"/>
        <v>1.8828999175717951</v>
      </c>
      <c r="AF64" s="31">
        <f t="shared" si="48"/>
        <v>1.2655556823023537</v>
      </c>
      <c r="AG64" s="31">
        <f t="shared" si="49"/>
        <v>0.80254750585027301</v>
      </c>
      <c r="AH64" s="31">
        <f t="shared" si="50"/>
        <v>0.95688356466763369</v>
      </c>
      <c r="AI64" s="87"/>
      <c r="AJ64" s="266">
        <f>Fig1_carbon_eq_intensity!AC61</f>
        <v>191.72876877078122</v>
      </c>
      <c r="AK64" s="266">
        <f>Fig1_carbon_eq_intensity!AP61</f>
        <v>91.439874336834109</v>
      </c>
      <c r="AL64" s="266">
        <f>Fig1_carbon_eq_intensity!P61</f>
        <v>56.043793948382209</v>
      </c>
      <c r="AM64" s="266">
        <f>Fig1_carbon_eq_intensity!BC61</f>
        <v>32.446407022747593</v>
      </c>
      <c r="AN64" s="266">
        <f>Fig1_carbon_eq_intensity!BP61</f>
        <v>14.748366828521645</v>
      </c>
      <c r="AO64" s="266">
        <f>Fig1_carbon_eq_intensity!CC61</f>
        <v>20.647713559930303</v>
      </c>
      <c r="AQ64" s="31">
        <f t="shared" si="51"/>
        <v>4.2451623217246759</v>
      </c>
      <c r="AR64" s="31">
        <f t="shared" si="10"/>
        <v>2.024615876514845</v>
      </c>
      <c r="AS64" s="158">
        <f t="shared" si="11"/>
        <v>1.2408936017349055</v>
      </c>
      <c r="AT64" s="31">
        <f t="shared" si="12"/>
        <v>0.71841208521494515</v>
      </c>
      <c r="AU64" s="31">
        <f t="shared" si="13"/>
        <v>0.32655094782497529</v>
      </c>
      <c r="AV64" s="275">
        <f t="shared" si="14"/>
        <v>0.45717132695496548</v>
      </c>
    </row>
    <row r="65" spans="1:48">
      <c r="A65" s="10">
        <v>2044</v>
      </c>
      <c r="B65" s="9">
        <f>Fig1_future_Kaya!J58</f>
        <v>2284360.6730901776</v>
      </c>
      <c r="C65" s="30">
        <f>Fig1_future_Kaya!R58</f>
        <v>9.9795481204070384</v>
      </c>
      <c r="D65" s="9">
        <f>Fig1_future_Kaya!AJ58</f>
        <v>1.6748358533347611</v>
      </c>
      <c r="E65" s="9">
        <f>Fig1_future_Kaya!AK58</f>
        <v>0.77641906502024582</v>
      </c>
      <c r="F65" s="9">
        <f>Fig1_future_Kaya!AL58</f>
        <v>0.28446442801255051</v>
      </c>
      <c r="H65" s="266">
        <f>Fig1_carbon_eq_intensity!U62</f>
        <v>293.87097179105825</v>
      </c>
      <c r="I65" s="266">
        <f>Fig1_carbon_eq_intensity!AH62</f>
        <v>168.97580877985848</v>
      </c>
      <c r="J65" s="266">
        <f>Fig1_carbon_eq_intensity!H62</f>
        <v>124.89516301119976</v>
      </c>
      <c r="K65" s="266">
        <f>Fig1_carbon_eq_intensity!AU62</f>
        <v>95.508065832093919</v>
      </c>
      <c r="L65" s="266">
        <f>Fig1_carbon_eq_intensity!BH62</f>
        <v>73.467742947764563</v>
      </c>
      <c r="M65" s="266">
        <f>Fig1_carbon_eq_intensity!BU62</f>
        <v>80.814517242541029</v>
      </c>
      <c r="N65" s="264"/>
      <c r="O65" s="50">
        <f t="shared" si="39"/>
        <v>6.6993434133390446</v>
      </c>
      <c r="P65" s="50">
        <f t="shared" si="40"/>
        <v>3.85212246266995</v>
      </c>
      <c r="Q65" s="158">
        <f t="shared" si="41"/>
        <v>2.8472209506690938</v>
      </c>
      <c r="R65" s="50">
        <f t="shared" si="42"/>
        <v>2.1772866093351895</v>
      </c>
      <c r="S65" s="50">
        <f t="shared" si="43"/>
        <v>1.6748358533347611</v>
      </c>
      <c r="T65" s="50">
        <f t="shared" si="44"/>
        <v>1.8423194386682376</v>
      </c>
      <c r="U65" s="87"/>
      <c r="V65" s="267">
        <f>Fig1_carbon_eq_intensity!Y62</f>
        <v>242.57720424559363</v>
      </c>
      <c r="W65" s="267">
        <f>Fig1_carbon_eq_intensity!AL62</f>
        <v>124.41638842395774</v>
      </c>
      <c r="X65" s="267">
        <f>Fig1_carbon_eq_intensity!L62</f>
        <v>82.712571075145092</v>
      </c>
      <c r="Y65" s="267">
        <f>Fig1_carbon_eq_intensity!AY62</f>
        <v>54.91002617593665</v>
      </c>
      <c r="Z65" s="267">
        <f>Fig1_carbon_eq_intensity!BL62</f>
        <v>34.058117501530333</v>
      </c>
      <c r="AA65" s="267">
        <f>Fig1_carbon_eq_intensity!BY62</f>
        <v>41.008753726332451</v>
      </c>
      <c r="AC65" s="31">
        <f t="shared" si="45"/>
        <v>5.5300051773890981</v>
      </c>
      <c r="AD65" s="31">
        <f t="shared" si="46"/>
        <v>2.8363063803800812</v>
      </c>
      <c r="AE65" s="158">
        <f t="shared" si="47"/>
        <v>1.8855891579063111</v>
      </c>
      <c r="AF65" s="31">
        <f t="shared" si="48"/>
        <v>1.2517776762571307</v>
      </c>
      <c r="AG65" s="31">
        <f t="shared" si="49"/>
        <v>0.77641906502024582</v>
      </c>
      <c r="AH65" s="31">
        <f t="shared" si="50"/>
        <v>0.93487193543254099</v>
      </c>
      <c r="AI65" s="87"/>
      <c r="AJ65" s="266">
        <f>Fig1_carbon_eq_intensity!AC62</f>
        <v>187.17320357153557</v>
      </c>
      <c r="AK65" s="266">
        <f>Fig1_carbon_eq_intensity!AP62</f>
        <v>88.179375904812304</v>
      </c>
      <c r="AL65" s="266">
        <f>Fig1_carbon_eq_intensity!P62</f>
        <v>53.240377904792354</v>
      </c>
      <c r="AM65" s="266">
        <f>Fig1_carbon_eq_intensity!BC62</f>
        <v>29.947712571445695</v>
      </c>
      <c r="AN65" s="266">
        <f>Fig1_carbon_eq_intensity!BP62</f>
        <v>12.478213571435719</v>
      </c>
      <c r="AO65" s="266">
        <f>Fig1_carbon_eq_intensity!CC62</f>
        <v>18.301379904772389</v>
      </c>
      <c r="AQ65" s="31">
        <f t="shared" si="51"/>
        <v>4.2669664201882531</v>
      </c>
      <c r="AR65" s="31">
        <f t="shared" si="10"/>
        <v>2.0102152912886879</v>
      </c>
      <c r="AS65" s="158">
        <f t="shared" si="11"/>
        <v>1.2137148928535477</v>
      </c>
      <c r="AT65" s="31">
        <f t="shared" si="12"/>
        <v>0.68271462723012055</v>
      </c>
      <c r="AU65" s="31">
        <f t="shared" si="13"/>
        <v>0.28446442801255051</v>
      </c>
      <c r="AV65" s="275">
        <f t="shared" si="14"/>
        <v>0.41721449441840752</v>
      </c>
    </row>
    <row r="66" spans="1:48">
      <c r="A66" s="10">
        <v>2045</v>
      </c>
      <c r="B66" s="9">
        <f>Fig1_future_Kaya!J59</f>
        <v>2375735.1000137841</v>
      </c>
      <c r="C66" s="30">
        <f>Fig1_future_Kaya!R59</f>
        <v>9.8797526392029678</v>
      </c>
      <c r="D66" s="9">
        <f>Fig1_future_Kaya!AJ59</f>
        <v>1.7244109945934696</v>
      </c>
      <c r="E66" s="9">
        <f>Fig1_future_Kaya!AK59</f>
        <v>0.74831960119284024</v>
      </c>
      <c r="F66" s="9">
        <f>Fig1_future_Kaya!AL59</f>
        <v>0.24087747645906504</v>
      </c>
      <c r="H66" s="266">
        <f>Fig1_carbon_eq_intensity!U63</f>
        <v>293.87097179105825</v>
      </c>
      <c r="I66" s="266">
        <f>Fig1_carbon_eq_intensity!AH63</f>
        <v>168.97580877985848</v>
      </c>
      <c r="J66" s="266">
        <f>Fig1_carbon_eq_intensity!H63</f>
        <v>124.89516301119976</v>
      </c>
      <c r="K66" s="266">
        <f>Fig1_carbon_eq_intensity!AU63</f>
        <v>95.508065832093919</v>
      </c>
      <c r="L66" s="266">
        <f>Fig1_carbon_eq_intensity!BH63</f>
        <v>73.467742947764563</v>
      </c>
      <c r="M66" s="266">
        <f>Fig1_carbon_eq_intensity!BU63</f>
        <v>80.814517242541029</v>
      </c>
      <c r="N66" s="264"/>
      <c r="O66" s="50">
        <f t="shared" si="39"/>
        <v>6.8976439783738783</v>
      </c>
      <c r="P66" s="50">
        <f t="shared" si="40"/>
        <v>3.9661452875649799</v>
      </c>
      <c r="Q66" s="158">
        <f t="shared" si="41"/>
        <v>2.9314986908088985</v>
      </c>
      <c r="R66" s="50">
        <f t="shared" si="42"/>
        <v>2.2417342929715103</v>
      </c>
      <c r="S66" s="50">
        <f t="shared" si="43"/>
        <v>1.7244109945934696</v>
      </c>
      <c r="T66" s="50">
        <f t="shared" si="44"/>
        <v>1.8968520940528169</v>
      </c>
      <c r="U66" s="87"/>
      <c r="V66" s="267">
        <f>Fig1_carbon_eq_intensity!Y63</f>
        <v>239.80669451709736</v>
      </c>
      <c r="W66" s="267">
        <f>Fig1_carbon_eq_intensity!AL63</f>
        <v>121.98259605493969</v>
      </c>
      <c r="X66" s="267">
        <f>Fig1_carbon_eq_intensity!L63</f>
        <v>80.397620127119353</v>
      </c>
      <c r="Y66" s="267">
        <f>Fig1_carbon_eq_intensity!AY63</f>
        <v>52.674302841905771</v>
      </c>
      <c r="Z66" s="267">
        <f>Fig1_carbon_eq_intensity!BL63</f>
        <v>31.881814877995602</v>
      </c>
      <c r="AA66" s="267">
        <f>Fig1_carbon_eq_intensity!BY63</f>
        <v>38.812644199299001</v>
      </c>
      <c r="AC66" s="31">
        <f t="shared" si="45"/>
        <v>5.6286648263635373</v>
      </c>
      <c r="AD66" s="31">
        <f t="shared" si="46"/>
        <v>2.8631358654334753</v>
      </c>
      <c r="AE66" s="158">
        <f t="shared" si="47"/>
        <v>1.8870668203993364</v>
      </c>
      <c r="AF66" s="31">
        <f t="shared" si="48"/>
        <v>1.2363541237099096</v>
      </c>
      <c r="AG66" s="31">
        <f t="shared" si="49"/>
        <v>0.74831960119284024</v>
      </c>
      <c r="AH66" s="31">
        <f t="shared" si="50"/>
        <v>0.91099777536519699</v>
      </c>
      <c r="AI66" s="87"/>
      <c r="AJ66" s="266">
        <f>Fig1_carbon_eq_intensity!AC63</f>
        <v>182.6720529423414</v>
      </c>
      <c r="AK66" s="266">
        <f>Fig1_carbon_eq_intensity!AP63</f>
        <v>84.973292042841933</v>
      </c>
      <c r="AL66" s="266">
        <f>Fig1_carbon_eq_intensity!P63</f>
        <v>50.491376431253926</v>
      </c>
      <c r="AM66" s="266">
        <f>Fig1_carbon_eq_intensity!BC63</f>
        <v>27.503432690195222</v>
      </c>
      <c r="AN66" s="266">
        <f>Fig1_carbon_eq_intensity!BP63</f>
        <v>10.262474884401216</v>
      </c>
      <c r="AO66" s="266">
        <f>Fig1_carbon_eq_intensity!CC63</f>
        <v>16.009460819665897</v>
      </c>
      <c r="AQ66" s="31">
        <f t="shared" si="51"/>
        <v>4.2876190809713526</v>
      </c>
      <c r="AR66" s="31">
        <f t="shared" si="10"/>
        <v>1.9944655050810558</v>
      </c>
      <c r="AS66" s="158">
        <f t="shared" si="11"/>
        <v>1.1851171841785988</v>
      </c>
      <c r="AT66" s="31">
        <f t="shared" si="12"/>
        <v>0.6455516369102936</v>
      </c>
      <c r="AU66" s="31">
        <f t="shared" si="13"/>
        <v>0.2408774764590651</v>
      </c>
      <c r="AV66" s="275">
        <f t="shared" si="14"/>
        <v>0.37576886327614151</v>
      </c>
    </row>
    <row r="67" spans="1:48">
      <c r="A67" s="10">
        <v>2046</v>
      </c>
      <c r="B67" s="9">
        <f>Fig1_future_Kaya!J60</f>
        <v>2470764.504014336</v>
      </c>
      <c r="C67" s="30">
        <f>Fig1_future_Kaya!R60</f>
        <v>9.780955112810938</v>
      </c>
      <c r="D67" s="9">
        <f>Fig1_future_Kaya!AJ60</f>
        <v>1.7754535600334365</v>
      </c>
      <c r="E67" s="9">
        <f>Fig1_future_Kaya!AK60</f>
        <v>0.73152476201456107</v>
      </c>
      <c r="F67" s="9">
        <f>Fig1_future_Kaya!AL60</f>
        <v>0.19577594728351158</v>
      </c>
      <c r="H67" s="266">
        <f>Fig1_carbon_eq_intensity!U64</f>
        <v>293.87097179105825</v>
      </c>
      <c r="I67" s="266">
        <f>Fig1_carbon_eq_intensity!AH64</f>
        <v>168.97580877985848</v>
      </c>
      <c r="J67" s="266">
        <f>Fig1_carbon_eq_intensity!H64</f>
        <v>124.89516301119976</v>
      </c>
      <c r="K67" s="266">
        <f>Fig1_carbon_eq_intensity!AU64</f>
        <v>95.508065832093919</v>
      </c>
      <c r="L67" s="266">
        <f>Fig1_carbon_eq_intensity!BH64</f>
        <v>73.467742947764563</v>
      </c>
      <c r="M67" s="266">
        <f>Fig1_carbon_eq_intensity!BU64</f>
        <v>80.814517242541029</v>
      </c>
      <c r="N67" s="264"/>
      <c r="O67" s="50">
        <f t="shared" si="39"/>
        <v>7.1018142401337458</v>
      </c>
      <c r="P67" s="50">
        <f t="shared" si="40"/>
        <v>4.083543188076904</v>
      </c>
      <c r="Q67" s="158">
        <f t="shared" si="41"/>
        <v>3.0182710520568423</v>
      </c>
      <c r="R67" s="50">
        <f t="shared" si="42"/>
        <v>2.3080896280434668</v>
      </c>
      <c r="S67" s="50">
        <f t="shared" si="43"/>
        <v>1.7754535600334365</v>
      </c>
      <c r="T67" s="50">
        <f t="shared" si="44"/>
        <v>1.9529989160367807</v>
      </c>
      <c r="U67" s="87"/>
      <c r="V67" s="267">
        <f>Fig1_carbon_eq_intensity!Y64</f>
        <v>237.60095072412471</v>
      </c>
      <c r="W67" s="267">
        <f>Fig1_carbon_eq_intensity!AL64</f>
        <v>120.11356962144524</v>
      </c>
      <c r="X67" s="267">
        <f>Fig1_carbon_eq_intensity!L64</f>
        <v>78.647435114617195</v>
      </c>
      <c r="Y67" s="267">
        <f>Fig1_carbon_eq_intensity!AY64</f>
        <v>51.003345443398487</v>
      </c>
      <c r="Z67" s="267">
        <f>Fig1_carbon_eq_intensity!BL64</f>
        <v>30.270278189984467</v>
      </c>
      <c r="AA67" s="267">
        <f>Fig1_carbon_eq_intensity!BY64</f>
        <v>37.181300607789154</v>
      </c>
      <c r="AC67" s="31">
        <f t="shared" si="45"/>
        <v>5.7419683374567612</v>
      </c>
      <c r="AD67" s="31">
        <f t="shared" si="46"/>
        <v>2.9027169780395141</v>
      </c>
      <c r="AE67" s="158">
        <f t="shared" si="47"/>
        <v>1.9006282629510745</v>
      </c>
      <c r="AF67" s="31">
        <f t="shared" si="48"/>
        <v>1.2325691195587809</v>
      </c>
      <c r="AG67" s="31">
        <f t="shared" si="49"/>
        <v>0.73152476201456096</v>
      </c>
      <c r="AH67" s="31">
        <f t="shared" si="50"/>
        <v>0.89853954786263468</v>
      </c>
      <c r="AI67" s="87"/>
      <c r="AJ67" s="266">
        <f>Fig1_carbon_eq_intensity!AC64</f>
        <v>178.22531688319862</v>
      </c>
      <c r="AK67" s="266">
        <f>Fig1_carbon_eq_intensity!AP64</f>
        <v>81.821622750923012</v>
      </c>
      <c r="AL67" s="266">
        <f>Fig1_carbon_eq_intensity!P64</f>
        <v>47.796789527766919</v>
      </c>
      <c r="AM67" s="266">
        <f>Fig1_carbon_eq_intensity!BC64</f>
        <v>25.113567378996173</v>
      </c>
      <c r="AN67" s="266">
        <f>Fig1_carbon_eq_intensity!BP64</f>
        <v>8.1011507674181349</v>
      </c>
      <c r="AO67" s="266">
        <f>Fig1_carbon_eq_intensity!CC64</f>
        <v>13.771956304610825</v>
      </c>
      <c r="AQ67" s="31">
        <f t="shared" si="51"/>
        <v>4.3070708402372464</v>
      </c>
      <c r="AR67" s="31">
        <f t="shared" si="10"/>
        <v>1.9773370675634632</v>
      </c>
      <c r="AS67" s="158">
        <f t="shared" si="11"/>
        <v>1.1550780889727164</v>
      </c>
      <c r="AT67" s="31">
        <f t="shared" si="12"/>
        <v>0.60690543657888485</v>
      </c>
      <c r="AU67" s="31">
        <f t="shared" si="13"/>
        <v>0.19577594728351158</v>
      </c>
      <c r="AV67" s="275">
        <f t="shared" si="14"/>
        <v>0.3328191103819696</v>
      </c>
    </row>
    <row r="68" spans="1:48">
      <c r="A68" s="10">
        <v>2047</v>
      </c>
      <c r="B68" s="9">
        <f>Fig1_future_Kaya!J61</f>
        <v>2569595.0841749096</v>
      </c>
      <c r="C68" s="30">
        <f>Fig1_future_Kaya!R61</f>
        <v>9.6831455616828279</v>
      </c>
      <c r="D68" s="9">
        <f>Fig1_future_Kaya!AJ61</f>
        <v>1.8280069854104264</v>
      </c>
      <c r="E68" s="9">
        <f>Fig1_future_Kaya!AK61</f>
        <v>0.71329686615578403</v>
      </c>
      <c r="F68" s="9">
        <f>Fig1_future_Kaya!AL61</f>
        <v>0.14914729081952563</v>
      </c>
      <c r="H68" s="266">
        <f>Fig1_carbon_eq_intensity!U65</f>
        <v>293.87097179105825</v>
      </c>
      <c r="I68" s="266">
        <f>Fig1_carbon_eq_intensity!AH65</f>
        <v>168.97580877985848</v>
      </c>
      <c r="J68" s="266">
        <f>Fig1_carbon_eq_intensity!H65</f>
        <v>124.89516301119976</v>
      </c>
      <c r="K68" s="266">
        <f>Fig1_carbon_eq_intensity!AU65</f>
        <v>95.508065832093919</v>
      </c>
      <c r="L68" s="266">
        <f>Fig1_carbon_eq_intensity!BH65</f>
        <v>73.467742947764563</v>
      </c>
      <c r="M68" s="266">
        <f>Fig1_carbon_eq_intensity!BU65</f>
        <v>80.814517242541029</v>
      </c>
      <c r="N68" s="264"/>
      <c r="O68" s="50">
        <f t="shared" si="39"/>
        <v>7.3120279416417056</v>
      </c>
      <c r="P68" s="50">
        <f t="shared" si="40"/>
        <v>4.2044160664439802</v>
      </c>
      <c r="Q68" s="158">
        <f t="shared" si="41"/>
        <v>3.1076118751977249</v>
      </c>
      <c r="R68" s="50">
        <f t="shared" si="42"/>
        <v>2.3764090810335534</v>
      </c>
      <c r="S68" s="50">
        <f t="shared" si="43"/>
        <v>1.8280069854104264</v>
      </c>
      <c r="T68" s="50">
        <f t="shared" si="44"/>
        <v>2.010807683951469</v>
      </c>
      <c r="U68" s="87"/>
      <c r="V68" s="267">
        <f>Fig1_carbon_eq_intensity!Y65</f>
        <v>235.40392196869152</v>
      </c>
      <c r="W68" s="267">
        <f>Fig1_carbon_eq_intensity!AL65</f>
        <v>118.25325822549021</v>
      </c>
      <c r="X68" s="267">
        <f>Fig1_carbon_eq_intensity!L65</f>
        <v>76.905965139654484</v>
      </c>
      <c r="Y68" s="267">
        <f>Fig1_carbon_eq_intensity!AY65</f>
        <v>49.341103082430635</v>
      </c>
      <c r="Z68" s="267">
        <f>Fig1_carbon_eq_intensity!BL65</f>
        <v>28.667456539512777</v>
      </c>
      <c r="AA68" s="267">
        <f>Fig1_carbon_eq_intensity!BY65</f>
        <v>35.558672053818746</v>
      </c>
      <c r="AC68" s="31">
        <f t="shared" si="45"/>
        <v>5.8572646509330744</v>
      </c>
      <c r="AD68" s="31">
        <f t="shared" si="46"/>
        <v>2.942349572892609</v>
      </c>
      <c r="AE68" s="158">
        <f t="shared" si="47"/>
        <v>1.9135560159371516</v>
      </c>
      <c r="AF68" s="31">
        <f t="shared" si="48"/>
        <v>1.2276936446335125</v>
      </c>
      <c r="AG68" s="31">
        <f t="shared" si="49"/>
        <v>0.71329686615578403</v>
      </c>
      <c r="AH68" s="31">
        <f t="shared" si="50"/>
        <v>0.88476245898169381</v>
      </c>
      <c r="AI68" s="87"/>
      <c r="AJ68" s="266">
        <f>Fig1_carbon_eq_intensity!AC65</f>
        <v>173.83299539410729</v>
      </c>
      <c r="AK68" s="266">
        <f>Fig1_carbon_eq_intensity!AP65</f>
        <v>78.724368029055483</v>
      </c>
      <c r="AL68" s="266">
        <f>Fig1_carbon_eq_intensity!P65</f>
        <v>45.156617194331332</v>
      </c>
      <c r="AM68" s="266">
        <f>Fig1_carbon_eq_intensity!BC65</f>
        <v>22.778116637848548</v>
      </c>
      <c r="AN68" s="266">
        <f>Fig1_carbon_eq_intensity!BP65</f>
        <v>5.9942412204864741</v>
      </c>
      <c r="AO68" s="266">
        <f>Fig1_carbon_eq_intensity!CC65</f>
        <v>11.588866359607175</v>
      </c>
      <c r="AQ68" s="31">
        <f t="shared" si="51"/>
        <v>4.3252714337662317</v>
      </c>
      <c r="AR68" s="31">
        <f t="shared" si="10"/>
        <v>1.9588010860964313</v>
      </c>
      <c r="AS68" s="158">
        <f t="shared" si="11"/>
        <v>1.1235762575070902</v>
      </c>
      <c r="AT68" s="31">
        <f t="shared" si="12"/>
        <v>0.56675970511419604</v>
      </c>
      <c r="AU68" s="31">
        <f t="shared" si="13"/>
        <v>0.14914729081952563</v>
      </c>
      <c r="AV68" s="275">
        <f t="shared" si="14"/>
        <v>0.28835142891774934</v>
      </c>
    </row>
    <row r="69" spans="1:48">
      <c r="A69" s="10">
        <v>2048</v>
      </c>
      <c r="B69" s="9">
        <f>Fig1_future_Kaya!J62</f>
        <v>2672378.887541906</v>
      </c>
      <c r="C69" s="30">
        <f>Fig1_future_Kaya!R62</f>
        <v>9.5863141060660002</v>
      </c>
      <c r="D69" s="9">
        <f>Fig1_future_Kaya!AJ62</f>
        <v>1.8821159921785751</v>
      </c>
      <c r="E69" s="9">
        <f>Fig1_future_Kaya!AK62</f>
        <v>0.69357221025413696</v>
      </c>
      <c r="F69" s="9">
        <f>Fig1_future_Kaya!AL62</f>
        <v>0.10098069362871115</v>
      </c>
      <c r="H69" s="266">
        <f>Fig1_carbon_eq_intensity!U66</f>
        <v>293.87097179105825</v>
      </c>
      <c r="I69" s="266">
        <f>Fig1_carbon_eq_intensity!AH66</f>
        <v>168.97580877985848</v>
      </c>
      <c r="J69" s="266">
        <f>Fig1_carbon_eq_intensity!H66</f>
        <v>124.89516301119976</v>
      </c>
      <c r="K69" s="266">
        <f>Fig1_carbon_eq_intensity!AU66</f>
        <v>95.508065832093919</v>
      </c>
      <c r="L69" s="266">
        <f>Fig1_carbon_eq_intensity!BH66</f>
        <v>73.467742947764563</v>
      </c>
      <c r="M69" s="266">
        <f>Fig1_carbon_eq_intensity!BU66</f>
        <v>80.814517242541029</v>
      </c>
      <c r="N69" s="264"/>
      <c r="O69" s="50">
        <f t="shared" si="39"/>
        <v>7.5284639687143002</v>
      </c>
      <c r="P69" s="50">
        <f t="shared" si="40"/>
        <v>4.3288667820107225</v>
      </c>
      <c r="Q69" s="158">
        <f t="shared" si="41"/>
        <v>3.1995971867035777</v>
      </c>
      <c r="R69" s="50">
        <f t="shared" si="42"/>
        <v>2.446750789832147</v>
      </c>
      <c r="S69" s="50">
        <f t="shared" si="43"/>
        <v>1.8821159921785751</v>
      </c>
      <c r="T69" s="50">
        <f t="shared" si="44"/>
        <v>2.0703275913964325</v>
      </c>
      <c r="U69" s="87"/>
      <c r="V69" s="267">
        <f>Fig1_carbon_eq_intensity!Y66</f>
        <v>233.21560825079771</v>
      </c>
      <c r="W69" s="267">
        <f>Fig1_carbon_eq_intensity!AL66</f>
        <v>116.40166186707464</v>
      </c>
      <c r="X69" s="267">
        <f>Fig1_carbon_eq_intensity!L66</f>
        <v>75.173210202231189</v>
      </c>
      <c r="Y69" s="267">
        <f>Fig1_carbon_eq_intensity!AY66</f>
        <v>47.687575759002229</v>
      </c>
      <c r="Z69" s="267">
        <f>Fig1_carbon_eq_intensity!BL66</f>
        <v>27.073349926580519</v>
      </c>
      <c r="AA69" s="267">
        <f>Fig1_carbon_eq_intensity!BY66</f>
        <v>33.94475853738777</v>
      </c>
      <c r="AC69" s="31">
        <f t="shared" si="45"/>
        <v>5.9745788873160937</v>
      </c>
      <c r="AD69" s="31">
        <f t="shared" si="46"/>
        <v>2.9820084369809847</v>
      </c>
      <c r="AE69" s="158">
        <f t="shared" si="47"/>
        <v>1.9258071015685934</v>
      </c>
      <c r="AF69" s="31">
        <f t="shared" si="48"/>
        <v>1.2216728779603323</v>
      </c>
      <c r="AG69" s="31">
        <f t="shared" si="49"/>
        <v>0.69357221025413696</v>
      </c>
      <c r="AH69" s="31">
        <f t="shared" si="50"/>
        <v>0.86960576615620244</v>
      </c>
      <c r="AI69" s="87"/>
      <c r="AJ69" s="266">
        <f>Fig1_carbon_eq_intensity!AC66</f>
        <v>169.49508847506735</v>
      </c>
      <c r="AK69" s="266">
        <f>Fig1_carbon_eq_intensity!AP66</f>
        <v>75.681527877239375</v>
      </c>
      <c r="AL69" s="266">
        <f>Fig1_carbon_eq_intensity!P66</f>
        <v>42.570859430947159</v>
      </c>
      <c r="AM69" s="266">
        <f>Fig1_carbon_eq_intensity!BC66</f>
        <v>20.497080466752337</v>
      </c>
      <c r="AN69" s="266">
        <f>Fig1_carbon_eq_intensity!BP66</f>
        <v>3.9417462436062336</v>
      </c>
      <c r="AO69" s="266">
        <f>Fig1_carbon_eq_intensity!CC66</f>
        <v>9.460190984654945</v>
      </c>
      <c r="AQ69" s="31">
        <f t="shared" si="51"/>
        <v>4.3421698260345609</v>
      </c>
      <c r="AR69" s="31">
        <f t="shared" si="10"/>
        <v>1.9388293176712461</v>
      </c>
      <c r="AS69" s="158">
        <f t="shared" si="11"/>
        <v>1.090591491190076</v>
      </c>
      <c r="AT69" s="31">
        <f t="shared" si="12"/>
        <v>0.52509960686929591</v>
      </c>
      <c r="AU69" s="31">
        <f t="shared" si="13"/>
        <v>0.10098069362871115</v>
      </c>
      <c r="AV69" s="275">
        <f t="shared" si="14"/>
        <v>0.24235366470890635</v>
      </c>
    </row>
    <row r="70" spans="1:48">
      <c r="A70" s="10">
        <v>2049</v>
      </c>
      <c r="B70" s="9">
        <f>Fig1_future_Kaya!J63</f>
        <v>2779274.0430435822</v>
      </c>
      <c r="C70" s="30">
        <f>Fig1_future_Kaya!R63</f>
        <v>9.4904509650053406</v>
      </c>
      <c r="D70" s="9">
        <f>Fig1_future_Kaya!AJ63</f>
        <v>1.9378266255470609</v>
      </c>
      <c r="E70" s="9">
        <f>Fig1_future_Kaya!AK63</f>
        <v>0.67228476528649017</v>
      </c>
      <c r="F70" s="9">
        <f>Fig1_future_Kaya!AL63</f>
        <v>5.126722638466584E-2</v>
      </c>
      <c r="H70" s="266">
        <f>Fig1_carbon_eq_intensity!U67</f>
        <v>293.87097179105825</v>
      </c>
      <c r="I70" s="266">
        <f>Fig1_carbon_eq_intensity!AH67</f>
        <v>168.97580877985848</v>
      </c>
      <c r="J70" s="266">
        <f>Fig1_carbon_eq_intensity!H67</f>
        <v>124.89516301119976</v>
      </c>
      <c r="K70" s="266">
        <f>Fig1_carbon_eq_intensity!AU67</f>
        <v>95.508065832093919</v>
      </c>
      <c r="L70" s="266">
        <f>Fig1_carbon_eq_intensity!BH67</f>
        <v>73.467742947764563</v>
      </c>
      <c r="M70" s="266">
        <f>Fig1_carbon_eq_intensity!BU67</f>
        <v>80.814517242541029</v>
      </c>
      <c r="N70" s="264"/>
      <c r="O70" s="50">
        <f t="shared" si="39"/>
        <v>7.7513065021882435</v>
      </c>
      <c r="P70" s="50">
        <f t="shared" si="40"/>
        <v>4.4570012387582398</v>
      </c>
      <c r="Q70" s="158">
        <f t="shared" si="41"/>
        <v>3.2943052634300036</v>
      </c>
      <c r="R70" s="50">
        <f t="shared" si="42"/>
        <v>2.5191746132111787</v>
      </c>
      <c r="S70" s="50">
        <f t="shared" si="43"/>
        <v>1.9378266255470609</v>
      </c>
      <c r="T70" s="50">
        <f t="shared" si="44"/>
        <v>2.1316092881017674</v>
      </c>
      <c r="U70" s="87"/>
      <c r="V70" s="267">
        <f>Fig1_carbon_eq_intensity!Y67</f>
        <v>231.03600957044338</v>
      </c>
      <c r="W70" s="267">
        <f>Fig1_carbon_eq_intensity!AL67</f>
        <v>114.55878054619848</v>
      </c>
      <c r="X70" s="267">
        <f>Fig1_carbon_eq_intensity!L67</f>
        <v>73.449170302347355</v>
      </c>
      <c r="Y70" s="267">
        <f>Fig1_carbon_eq_intensity!AY67</f>
        <v>46.042763473113254</v>
      </c>
      <c r="Z70" s="267">
        <f>Fig1_carbon_eq_intensity!BL67</f>
        <v>25.4879583511877</v>
      </c>
      <c r="AA70" s="267">
        <f>Fig1_carbon_eq_intensity!BY67</f>
        <v>32.339560058496232</v>
      </c>
      <c r="AC70" s="31">
        <f t="shared" si="45"/>
        <v>6.0939360982420565</v>
      </c>
      <c r="AD70" s="31">
        <f t="shared" si="46"/>
        <v>3.0216670095672353</v>
      </c>
      <c r="AE70" s="158">
        <f t="shared" si="47"/>
        <v>1.9373367429761224</v>
      </c>
      <c r="AF70" s="31">
        <f t="shared" si="48"/>
        <v>1.2144498985820464</v>
      </c>
      <c r="AG70" s="31">
        <f t="shared" si="49"/>
        <v>0.67228476528649017</v>
      </c>
      <c r="AH70" s="31">
        <f t="shared" si="50"/>
        <v>0.85300647638500926</v>
      </c>
      <c r="AI70" s="87"/>
      <c r="AJ70" s="266">
        <f>Fig1_carbon_eq_intensity!AC67</f>
        <v>165.21159612607883</v>
      </c>
      <c r="AK70" s="266">
        <f>Fig1_carbon_eq_intensity!AP67</f>
        <v>72.693102295474688</v>
      </c>
      <c r="AL70" s="266">
        <f>Fig1_carbon_eq_intensity!P67</f>
        <v>40.039516237614414</v>
      </c>
      <c r="AM70" s="266">
        <f>Fig1_carbon_eq_intensity!BC67</f>
        <v>18.270458865707546</v>
      </c>
      <c r="AN70" s="266">
        <f>Fig1_carbon_eq_intensity!BP67</f>
        <v>1.9436658367774151</v>
      </c>
      <c r="AO70" s="266">
        <f>Fig1_carbon_eq_intensity!CC67</f>
        <v>7.385930179754137</v>
      </c>
      <c r="AQ70" s="31">
        <f t="shared" si="51"/>
        <v>4.3577142426965576</v>
      </c>
      <c r="AR70" s="31">
        <f t="shared" si="10"/>
        <v>1.9173942667864854</v>
      </c>
      <c r="AS70" s="158">
        <f t="shared" si="11"/>
        <v>1.0561048635241073</v>
      </c>
      <c r="AT70" s="31">
        <f t="shared" si="12"/>
        <v>0.48191192801585475</v>
      </c>
      <c r="AU70" s="31">
        <f t="shared" si="13"/>
        <v>5.126722638466584E-2</v>
      </c>
      <c r="AV70" s="275">
        <f t="shared" si="14"/>
        <v>0.19481546026172913</v>
      </c>
    </row>
    <row r="71" spans="1:48">
      <c r="A71" s="10">
        <v>2050</v>
      </c>
      <c r="B71" s="9">
        <f>Fig1_future_Kaya!J64</f>
        <v>2890445.0047653257</v>
      </c>
      <c r="C71" s="30">
        <f>Fig1_future_Kaya!R64</f>
        <v>9.3955464553552872</v>
      </c>
      <c r="D71" s="9">
        <f>Fig1_future_Kaya!AJ64</f>
        <v>1.9951862936632541</v>
      </c>
      <c r="E71" s="9">
        <f>Fig1_future_Kaya!AK64</f>
        <v>0.64936610032792208</v>
      </c>
      <c r="F71" s="9">
        <f>Fig1_future_Kaya!AL64</f>
        <v>0</v>
      </c>
      <c r="H71" s="266">
        <f>Fig1_carbon_eq_intensity!U68</f>
        <v>293.87097179105825</v>
      </c>
      <c r="I71" s="266">
        <f>Fig1_carbon_eq_intensity!AH68</f>
        <v>168.97580877985848</v>
      </c>
      <c r="J71" s="266">
        <f>Fig1_carbon_eq_intensity!H68</f>
        <v>124.89516301119976</v>
      </c>
      <c r="K71" s="266">
        <f>Fig1_carbon_eq_intensity!AU68</f>
        <v>95.508065832093919</v>
      </c>
      <c r="L71" s="266">
        <f>Fig1_carbon_eq_intensity!BH68</f>
        <v>73.467742947764563</v>
      </c>
      <c r="M71" s="266">
        <f>Fig1_carbon_eq_intensity!BU68</f>
        <v>80.814517242541029</v>
      </c>
      <c r="N71" s="264"/>
      <c r="O71" s="50">
        <f t="shared" si="39"/>
        <v>7.9807451746530162</v>
      </c>
      <c r="P71" s="50">
        <f t="shared" si="40"/>
        <v>4.588928475425484</v>
      </c>
      <c r="Q71" s="158">
        <f t="shared" si="41"/>
        <v>3.3918166992275318</v>
      </c>
      <c r="R71" s="50">
        <f t="shared" si="42"/>
        <v>2.5937421817622299</v>
      </c>
      <c r="S71" s="50">
        <f t="shared" si="43"/>
        <v>1.9951862936632541</v>
      </c>
      <c r="T71" s="50">
        <f t="shared" si="44"/>
        <v>2.1947049230295796</v>
      </c>
      <c r="U71" s="87"/>
      <c r="V71" s="267">
        <f>Fig1_carbon_eq_intensity!Y68</f>
        <v>228.86512592762847</v>
      </c>
      <c r="W71" s="267">
        <f>Fig1_carbon_eq_intensity!AL68</f>
        <v>112.72461426286178</v>
      </c>
      <c r="X71" s="267">
        <f>Fig1_carbon_eq_intensity!L68</f>
        <v>71.733845440002966</v>
      </c>
      <c r="Y71" s="267">
        <f>Fig1_carbon_eq_intensity!AY68</f>
        <v>44.406666224763725</v>
      </c>
      <c r="Z71" s="267">
        <f>Fig1_carbon_eq_intensity!BL68</f>
        <v>23.91128181333432</v>
      </c>
      <c r="AA71" s="267">
        <f>Fig1_carbon_eq_intensity!BY68</f>
        <v>30.743076617144133</v>
      </c>
      <c r="AC71" s="31">
        <f t="shared" si="45"/>
        <v>6.2153612459958252</v>
      </c>
      <c r="AD71" s="31">
        <f t="shared" si="46"/>
        <v>3.0612973301173469</v>
      </c>
      <c r="AE71" s="158">
        <f t="shared" si="47"/>
        <v>1.9480983009837665</v>
      </c>
      <c r="AF71" s="31">
        <f t="shared" si="48"/>
        <v>1.2059656148947122</v>
      </c>
      <c r="AG71" s="31">
        <f t="shared" si="49"/>
        <v>0.64936610032792208</v>
      </c>
      <c r="AH71" s="31">
        <f t="shared" si="50"/>
        <v>0.83489927185018575</v>
      </c>
      <c r="AI71" s="87"/>
      <c r="AJ71" s="266">
        <f>Fig1_carbon_eq_intensity!AC68</f>
        <v>160.98251834714171</v>
      </c>
      <c r="AK71" s="266">
        <f>Fig1_carbon_eq_intensity!AP68</f>
        <v>69.759091283761393</v>
      </c>
      <c r="AL71" s="266">
        <f>Fig1_carbon_eq_intensity!P68</f>
        <v>37.562587614333069</v>
      </c>
      <c r="AM71" s="266">
        <f>Fig1_carbon_eq_intensity!BC68</f>
        <v>16.098251834714162</v>
      </c>
      <c r="AN71" s="266">
        <f>Fig1_carbon_eq_intensity!BP68</f>
        <v>0</v>
      </c>
      <c r="AO71" s="266">
        <f>Fig1_carbon_eq_intensity!CC68</f>
        <v>5.3660839449047311</v>
      </c>
      <c r="AQ71" s="31">
        <f t="shared" si="51"/>
        <v>4.3718522066749221</v>
      </c>
      <c r="AR71" s="31">
        <f t="shared" si="10"/>
        <v>1.8944692895591326</v>
      </c>
      <c r="AS71" s="158">
        <f t="shared" si="11"/>
        <v>1.0200988482241486</v>
      </c>
      <c r="AT71" s="31">
        <f t="shared" si="12"/>
        <v>0.43718522066749199</v>
      </c>
      <c r="AU71" s="31">
        <f t="shared" si="13"/>
        <v>0</v>
      </c>
      <c r="AV71" s="275">
        <f>($B71*$C71*AO71)/10^9</f>
        <v>0.14572840688916427</v>
      </c>
    </row>
    <row r="72" spans="1:48">
      <c r="O72" s="9"/>
      <c r="P72" s="9"/>
      <c r="Q72" s="9"/>
      <c r="R72" s="9"/>
      <c r="S72" s="9"/>
      <c r="T72" s="9"/>
      <c r="V72" s="264"/>
      <c r="W72" s="264"/>
      <c r="X72" s="264"/>
      <c r="Y72" s="264"/>
      <c r="Z72" s="264"/>
      <c r="AA72" s="264"/>
    </row>
    <row r="73" spans="1:48">
      <c r="V73" s="264"/>
      <c r="W73" s="264"/>
      <c r="X73" s="264"/>
      <c r="Y73" s="264"/>
      <c r="Z73" s="264"/>
      <c r="AA73" s="264"/>
    </row>
    <row r="74" spans="1:48" ht="16" customHeight="1">
      <c r="B74" s="337" t="s">
        <v>194</v>
      </c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37"/>
      <c r="P74" s="337"/>
      <c r="Q74" s="337"/>
      <c r="R74" s="337"/>
      <c r="S74" s="337"/>
      <c r="T74" s="337"/>
      <c r="U74" s="337"/>
      <c r="V74" s="337"/>
      <c r="W74" s="337"/>
      <c r="X74" s="337"/>
      <c r="Y74" s="337"/>
      <c r="Z74" s="337"/>
      <c r="AA74" s="337"/>
      <c r="AB74" s="337"/>
      <c r="AC74" s="337"/>
      <c r="AD74" s="337"/>
      <c r="AE74" s="337"/>
      <c r="AF74" s="337"/>
      <c r="AG74" s="337"/>
      <c r="AH74" s="337"/>
      <c r="AI74" s="337"/>
      <c r="AJ74" s="337"/>
      <c r="AK74" s="337"/>
      <c r="AL74" s="337"/>
      <c r="AM74" s="337"/>
      <c r="AN74" s="337"/>
      <c r="AO74" s="337"/>
      <c r="AP74" s="337"/>
      <c r="AQ74" s="337"/>
      <c r="AR74" s="337"/>
      <c r="AS74" s="337"/>
      <c r="AT74" s="337"/>
      <c r="AU74" s="337"/>
      <c r="AV74" s="337"/>
    </row>
    <row r="75" spans="1:48" ht="16" customHeight="1">
      <c r="B75" s="337"/>
      <c r="C75" s="337"/>
      <c r="D75" s="337"/>
      <c r="E75" s="337"/>
      <c r="F75" s="337"/>
      <c r="G75" s="337"/>
      <c r="H75" s="337"/>
      <c r="I75" s="337"/>
      <c r="J75" s="337"/>
      <c r="K75" s="337"/>
      <c r="L75" s="337"/>
      <c r="M75" s="337"/>
      <c r="N75" s="337"/>
      <c r="O75" s="337"/>
      <c r="P75" s="337"/>
      <c r="Q75" s="337"/>
      <c r="R75" s="337"/>
      <c r="S75" s="337"/>
      <c r="T75" s="337"/>
      <c r="U75" s="337"/>
      <c r="V75" s="337"/>
      <c r="W75" s="337"/>
      <c r="X75" s="337"/>
      <c r="Y75" s="337"/>
      <c r="Z75" s="337"/>
      <c r="AA75" s="337"/>
      <c r="AB75" s="337"/>
      <c r="AC75" s="337"/>
      <c r="AD75" s="337"/>
      <c r="AE75" s="337"/>
      <c r="AF75" s="337"/>
      <c r="AG75" s="337"/>
      <c r="AH75" s="337"/>
      <c r="AI75" s="337"/>
      <c r="AJ75" s="337"/>
      <c r="AK75" s="337"/>
      <c r="AL75" s="337"/>
      <c r="AM75" s="337"/>
      <c r="AN75" s="337"/>
      <c r="AO75" s="337"/>
      <c r="AP75" s="337"/>
      <c r="AQ75" s="337"/>
      <c r="AR75" s="337"/>
      <c r="AS75" s="337"/>
      <c r="AT75" s="337"/>
      <c r="AU75" s="337"/>
      <c r="AV75" s="337"/>
    </row>
    <row r="76" spans="1:48">
      <c r="B76" t="s">
        <v>421</v>
      </c>
      <c r="C76" t="s">
        <v>287</v>
      </c>
      <c r="D76" s="330" t="s">
        <v>423</v>
      </c>
      <c r="E76" s="330"/>
      <c r="F76" s="330"/>
      <c r="H76" s="339" t="s">
        <v>195</v>
      </c>
      <c r="I76" s="339"/>
      <c r="J76" s="339"/>
      <c r="K76" s="339"/>
      <c r="L76" s="339"/>
      <c r="M76" s="339"/>
      <c r="N76" s="246"/>
      <c r="O76" s="339" t="s">
        <v>195</v>
      </c>
      <c r="P76" s="339"/>
      <c r="Q76" s="339"/>
      <c r="R76" s="339"/>
      <c r="S76" s="339"/>
      <c r="T76" s="339"/>
      <c r="U76" s="246"/>
      <c r="V76" s="340" t="s">
        <v>196</v>
      </c>
      <c r="W76" s="340"/>
      <c r="X76" s="340"/>
      <c r="Y76" s="340"/>
      <c r="Z76" s="340"/>
      <c r="AA76" s="340"/>
      <c r="AB76" s="87"/>
      <c r="AC76" s="340" t="s">
        <v>196</v>
      </c>
      <c r="AD76" s="340"/>
      <c r="AE76" s="340"/>
      <c r="AF76" s="340"/>
      <c r="AG76" s="340"/>
      <c r="AH76" s="340"/>
      <c r="AJ76" s="333" t="s">
        <v>197</v>
      </c>
      <c r="AK76" s="333"/>
      <c r="AL76" s="333"/>
      <c r="AM76" s="333"/>
      <c r="AN76" s="333"/>
      <c r="AO76" s="333"/>
      <c r="AQ76" s="333" t="s">
        <v>197</v>
      </c>
      <c r="AR76" s="333"/>
      <c r="AS76" s="333"/>
      <c r="AT76" s="333"/>
      <c r="AU76" s="333"/>
      <c r="AV76" s="333"/>
    </row>
    <row r="77" spans="1:48">
      <c r="B77" t="str">
        <f>B9</f>
        <v>(million ton-km equivalent)</v>
      </c>
      <c r="C77" t="str">
        <f>C9</f>
        <v>MJ/ton-km-eq</v>
      </c>
      <c r="D77" s="330" t="s">
        <v>424</v>
      </c>
      <c r="E77" s="330"/>
      <c r="F77" s="330"/>
      <c r="H77" s="334" t="str">
        <f>H9</f>
        <v>g CO2 eq / MJ</v>
      </c>
      <c r="I77" s="334"/>
      <c r="J77" s="334"/>
      <c r="K77" s="334"/>
      <c r="L77" s="334"/>
      <c r="M77" s="334"/>
      <c r="N77" s="246"/>
      <c r="O77" s="335" t="s">
        <v>422</v>
      </c>
      <c r="P77" s="335"/>
      <c r="Q77" s="335"/>
      <c r="R77" s="335"/>
      <c r="S77" s="335"/>
      <c r="T77" s="335"/>
      <c r="U77" s="263"/>
      <c r="V77" s="334" t="str">
        <f>H77</f>
        <v>g CO2 eq / MJ</v>
      </c>
      <c r="W77" s="334"/>
      <c r="X77" s="334"/>
      <c r="Y77" s="334"/>
      <c r="Z77" s="334"/>
      <c r="AA77" s="334"/>
      <c r="AB77" s="87"/>
      <c r="AC77" s="335" t="s">
        <v>422</v>
      </c>
      <c r="AD77" s="335"/>
      <c r="AE77" s="335"/>
      <c r="AF77" s="335"/>
      <c r="AG77" s="335"/>
      <c r="AH77" s="335"/>
      <c r="AJ77" s="334" t="str">
        <f>V77</f>
        <v>g CO2 eq / MJ</v>
      </c>
      <c r="AK77" s="334"/>
      <c r="AL77" s="334"/>
      <c r="AM77" s="334"/>
      <c r="AN77" s="334"/>
      <c r="AO77" s="334"/>
      <c r="AQ77" s="335" t="s">
        <v>422</v>
      </c>
      <c r="AR77" s="335"/>
      <c r="AS77" s="335"/>
      <c r="AT77" s="335"/>
      <c r="AU77" s="335"/>
      <c r="AV77" s="335"/>
    </row>
    <row r="78" spans="1:48">
      <c r="A78" s="114"/>
      <c r="B78" s="93"/>
      <c r="C78" s="93"/>
      <c r="D78" s="271" t="s">
        <v>121</v>
      </c>
      <c r="E78" s="272" t="s">
        <v>189</v>
      </c>
      <c r="F78" s="273" t="s">
        <v>126</v>
      </c>
      <c r="G78" s="93"/>
      <c r="H78" s="114" t="s">
        <v>181</v>
      </c>
      <c r="I78" s="114" t="s">
        <v>182</v>
      </c>
      <c r="J78" s="114" t="s">
        <v>183</v>
      </c>
      <c r="K78" s="114" t="s">
        <v>184</v>
      </c>
      <c r="L78" s="114" t="s">
        <v>185</v>
      </c>
      <c r="M78" s="114" t="s">
        <v>186</v>
      </c>
      <c r="N78" s="114"/>
      <c r="O78" s="114" t="s">
        <v>181</v>
      </c>
      <c r="P78" s="114" t="s">
        <v>182</v>
      </c>
      <c r="Q78" s="79" t="s">
        <v>183</v>
      </c>
      <c r="R78" s="114" t="s">
        <v>184</v>
      </c>
      <c r="S78" s="114" t="s">
        <v>185</v>
      </c>
      <c r="T78" s="114" t="s">
        <v>186</v>
      </c>
      <c r="U78" s="114"/>
      <c r="V78" s="114" t="s">
        <v>181</v>
      </c>
      <c r="W78" s="114" t="s">
        <v>182</v>
      </c>
      <c r="X78" s="114" t="s">
        <v>183</v>
      </c>
      <c r="Y78" s="114" t="s">
        <v>184</v>
      </c>
      <c r="Z78" s="114" t="s">
        <v>185</v>
      </c>
      <c r="AA78" s="114" t="s">
        <v>186</v>
      </c>
      <c r="AB78" s="93"/>
      <c r="AC78" s="114" t="s">
        <v>181</v>
      </c>
      <c r="AD78" s="114" t="s">
        <v>182</v>
      </c>
      <c r="AE78" s="79" t="s">
        <v>183</v>
      </c>
      <c r="AF78" s="114" t="s">
        <v>184</v>
      </c>
      <c r="AG78" s="114" t="s">
        <v>185</v>
      </c>
      <c r="AH78" s="114" t="s">
        <v>186</v>
      </c>
      <c r="AI78" s="93"/>
      <c r="AJ78" s="114" t="s">
        <v>181</v>
      </c>
      <c r="AK78" s="114" t="s">
        <v>182</v>
      </c>
      <c r="AL78" s="114" t="s">
        <v>183</v>
      </c>
      <c r="AM78" s="114" t="s">
        <v>184</v>
      </c>
      <c r="AN78" s="114" t="s">
        <v>185</v>
      </c>
      <c r="AO78" s="114" t="s">
        <v>186</v>
      </c>
      <c r="AQ78" s="114" t="s">
        <v>181</v>
      </c>
      <c r="AR78" s="114" t="s">
        <v>182</v>
      </c>
      <c r="AS78" s="79" t="s">
        <v>183</v>
      </c>
      <c r="AT78" s="114" t="s">
        <v>184</v>
      </c>
      <c r="AU78" s="114" t="s">
        <v>185</v>
      </c>
      <c r="AV78" s="114" t="s">
        <v>186</v>
      </c>
    </row>
    <row r="79" spans="1:48">
      <c r="A79" s="10">
        <v>1990</v>
      </c>
      <c r="B79" s="9">
        <f>Fig1_future_Kaya!K4</f>
        <v>232884.90035010839</v>
      </c>
      <c r="C79" s="30">
        <f>Fig1_future_Kaya!S4</f>
        <v>31.634770408101428</v>
      </c>
      <c r="D79" s="9">
        <f>Fig1_future_Kaya!AN4</f>
        <v>0.54269778000000002</v>
      </c>
      <c r="E79" s="9">
        <f>Fig1_future_Kaya!AO4</f>
        <v>0.54269778000000002</v>
      </c>
      <c r="F79" s="9">
        <f>Fig1_future_Kaya!AP4</f>
        <v>0.54269778000000002</v>
      </c>
      <c r="G79" s="9"/>
      <c r="H79" s="266">
        <f>H$43</f>
        <v>293.87097179105825</v>
      </c>
      <c r="I79" s="266">
        <f t="shared" ref="I79:M94" si="52">I$43</f>
        <v>168.97580877985848</v>
      </c>
      <c r="J79" s="266">
        <f t="shared" si="52"/>
        <v>124.89516301119976</v>
      </c>
      <c r="K79" s="266">
        <f t="shared" si="52"/>
        <v>95.508065832093919</v>
      </c>
      <c r="L79" s="266">
        <f t="shared" si="52"/>
        <v>73.467742947764563</v>
      </c>
      <c r="M79" s="266">
        <f t="shared" si="52"/>
        <v>80.814517242541029</v>
      </c>
      <c r="O79" s="50">
        <f>$D79*B$4</f>
        <v>2.1707911200000001</v>
      </c>
      <c r="P79" s="50">
        <f t="shared" ref="P79:P110" si="53">$D79*C$4</f>
        <v>1.2482048939999999</v>
      </c>
      <c r="Q79" s="158">
        <f t="shared" ref="Q79:Q110" si="54">$D79*D$4</f>
        <v>0.92258622599999995</v>
      </c>
      <c r="R79" s="50">
        <f t="shared" ref="R79:R110" si="55">$D79*E$4</f>
        <v>0.7055071140000001</v>
      </c>
      <c r="S79" s="50">
        <f t="shared" ref="S79:S110" si="56">$D79*F$4</f>
        <v>0.54269778000000002</v>
      </c>
      <c r="T79" s="50">
        <f t="shared" ref="T79:T110" si="57">$D79*G$4</f>
        <v>0.59696755800000012</v>
      </c>
      <c r="V79" s="266">
        <f>V$43</f>
        <v>293.87097179105825</v>
      </c>
      <c r="W79" s="266">
        <f t="shared" ref="W79:AA94" si="58">W$43</f>
        <v>168.97580877985848</v>
      </c>
      <c r="X79" s="266">
        <f t="shared" si="58"/>
        <v>124.89516301119976</v>
      </c>
      <c r="Y79" s="266">
        <f t="shared" si="58"/>
        <v>95.508065832093919</v>
      </c>
      <c r="Z79" s="266">
        <f t="shared" si="58"/>
        <v>73.467742947764563</v>
      </c>
      <c r="AA79" s="266">
        <f t="shared" si="58"/>
        <v>80.814517242541029</v>
      </c>
      <c r="AC79" s="31">
        <f t="shared" ref="AC79:AC110" si="59">($B79*$C79*V79)/10^9</f>
        <v>2.1650239596939462</v>
      </c>
      <c r="AD79" s="31">
        <f t="shared" ref="AD79:AD139" si="60">($B79*$C79*W79)/10^9</f>
        <v>1.2448887768240191</v>
      </c>
      <c r="AE79" s="158">
        <f t="shared" ref="AE79:AE139" si="61">($B79*$C79*X79)/10^9</f>
        <v>0.92013518286992724</v>
      </c>
      <c r="AF79" s="31">
        <f t="shared" ref="AF79:AF139" si="62">($B79*$C79*Y79)/10^9</f>
        <v>0.70363278690053244</v>
      </c>
      <c r="AG79" s="31">
        <f t="shared" ref="AG79:AG139" si="63">($B79*$C79*Z79)/10^9</f>
        <v>0.54125598992348656</v>
      </c>
      <c r="AH79" s="31">
        <f t="shared" ref="AH79:AH139" si="64">($B79*$C79*AA79)/10^9</f>
        <v>0.59538158891583537</v>
      </c>
      <c r="AJ79" s="266">
        <f>AJ$43</f>
        <v>293.87097179105825</v>
      </c>
      <c r="AK79" s="266">
        <f t="shared" ref="AK79:AO94" si="65">AK$43</f>
        <v>168.97580877985848</v>
      </c>
      <c r="AL79" s="266">
        <f t="shared" si="65"/>
        <v>124.89516301119976</v>
      </c>
      <c r="AM79" s="266">
        <f t="shared" si="65"/>
        <v>95.508065832093919</v>
      </c>
      <c r="AN79" s="266">
        <f t="shared" si="65"/>
        <v>73.467742947764563</v>
      </c>
      <c r="AO79" s="266">
        <f>AO$43</f>
        <v>80.814517242541029</v>
      </c>
      <c r="AQ79" s="31">
        <f>($B79*$C79*AJ79)/10^9</f>
        <v>2.1650239596939462</v>
      </c>
      <c r="AR79" s="31">
        <f t="shared" ref="AR79:AR139" si="66">($B79*$C79*AK79)/10^9</f>
        <v>1.2448887768240191</v>
      </c>
      <c r="AS79" s="158">
        <f t="shared" ref="AS79:AS139" si="67">($B79*$C79*AL79)/10^9</f>
        <v>0.92013518286992724</v>
      </c>
      <c r="AT79" s="31">
        <f t="shared" ref="AT79:AT139" si="68">($B79*$C79*AM79)/10^9</f>
        <v>0.70363278690053244</v>
      </c>
      <c r="AU79" s="31">
        <f t="shared" ref="AU79:AU139" si="69">($B79*$C79*AN79)/10^9</f>
        <v>0.54125598992348656</v>
      </c>
      <c r="AV79" s="31">
        <f t="shared" ref="AV79:AV138" si="70">($B79*$C79*AO79)/10^9</f>
        <v>0.59538158891583537</v>
      </c>
    </row>
    <row r="80" spans="1:48">
      <c r="A80" s="10">
        <v>1991</v>
      </c>
      <c r="B80" s="9">
        <f>Fig1_future_Kaya!K5</f>
        <v>228843.30008095471</v>
      </c>
      <c r="C80" s="30">
        <f>Fig1_future_Kaya!S5</f>
        <v>31.140677300670895</v>
      </c>
      <c r="D80" s="9">
        <f>Fig1_future_Kaya!AN5</f>
        <v>0.52562075600000002</v>
      </c>
      <c r="E80" s="9">
        <f>Fig1_future_Kaya!AO5</f>
        <v>0.52562075600000002</v>
      </c>
      <c r="F80" s="9">
        <f>Fig1_future_Kaya!AP5</f>
        <v>0.52562075600000002</v>
      </c>
      <c r="G80" s="9"/>
      <c r="H80" s="266">
        <f t="shared" ref="H80:M110" si="71">H$43</f>
        <v>293.87097179105825</v>
      </c>
      <c r="I80" s="266">
        <f t="shared" si="52"/>
        <v>168.97580877985848</v>
      </c>
      <c r="J80" s="266">
        <f t="shared" si="52"/>
        <v>124.89516301119976</v>
      </c>
      <c r="K80" s="266">
        <f t="shared" si="52"/>
        <v>95.508065832093919</v>
      </c>
      <c r="L80" s="266">
        <f t="shared" si="52"/>
        <v>73.467742947764563</v>
      </c>
      <c r="M80" s="266">
        <f t="shared" si="52"/>
        <v>80.814517242541029</v>
      </c>
      <c r="O80" s="50">
        <f t="shared" ref="O80:O110" si="72">$D80*B$4</f>
        <v>2.1024830240000001</v>
      </c>
      <c r="P80" s="50">
        <f t="shared" si="53"/>
        <v>1.2089277387999999</v>
      </c>
      <c r="Q80" s="158">
        <f t="shared" si="54"/>
        <v>0.89355528520000005</v>
      </c>
      <c r="R80" s="50">
        <f t="shared" si="55"/>
        <v>0.68330698280000002</v>
      </c>
      <c r="S80" s="50">
        <f t="shared" si="56"/>
        <v>0.52562075600000002</v>
      </c>
      <c r="T80" s="50">
        <f t="shared" si="57"/>
        <v>0.57818283160000006</v>
      </c>
      <c r="V80" s="266">
        <f t="shared" ref="V80:AA110" si="73">V$43</f>
        <v>293.87097179105825</v>
      </c>
      <c r="W80" s="266">
        <f t="shared" si="58"/>
        <v>168.97580877985848</v>
      </c>
      <c r="X80" s="266">
        <f t="shared" si="58"/>
        <v>124.89516301119976</v>
      </c>
      <c r="Y80" s="266">
        <f t="shared" si="58"/>
        <v>95.508065832093919</v>
      </c>
      <c r="Z80" s="266">
        <f t="shared" si="58"/>
        <v>73.467742947764563</v>
      </c>
      <c r="AA80" s="266">
        <f t="shared" si="58"/>
        <v>80.814517242541029</v>
      </c>
      <c r="AC80" s="31">
        <f t="shared" si="59"/>
        <v>2.0942230976231815</v>
      </c>
      <c r="AD80" s="31">
        <f t="shared" si="60"/>
        <v>1.2041782811333293</v>
      </c>
      <c r="AE80" s="158">
        <f t="shared" si="61"/>
        <v>0.89004481648985212</v>
      </c>
      <c r="AF80" s="31">
        <f t="shared" si="62"/>
        <v>0.68062250672753377</v>
      </c>
      <c r="AG80" s="31">
        <f t="shared" si="63"/>
        <v>0.52355577440579537</v>
      </c>
      <c r="AH80" s="31">
        <f t="shared" si="64"/>
        <v>0.57591135184637499</v>
      </c>
      <c r="AJ80" s="266">
        <f t="shared" ref="AJ80:AO110" si="74">AJ$43</f>
        <v>293.87097179105825</v>
      </c>
      <c r="AK80" s="266">
        <f t="shared" si="65"/>
        <v>168.97580877985848</v>
      </c>
      <c r="AL80" s="266">
        <f t="shared" si="65"/>
        <v>124.89516301119976</v>
      </c>
      <c r="AM80" s="266">
        <f t="shared" si="65"/>
        <v>95.508065832093919</v>
      </c>
      <c r="AN80" s="266">
        <f t="shared" si="65"/>
        <v>73.467742947764563</v>
      </c>
      <c r="AO80" s="266">
        <f t="shared" si="65"/>
        <v>80.814517242541029</v>
      </c>
      <c r="AQ80" s="31">
        <f t="shared" ref="AQ80:AQ110" si="75">($B80*$C80*AJ80)/10^9</f>
        <v>2.0942230976231815</v>
      </c>
      <c r="AR80" s="31">
        <f t="shared" si="66"/>
        <v>1.2041782811333293</v>
      </c>
      <c r="AS80" s="158">
        <f t="shared" si="67"/>
        <v>0.89004481648985212</v>
      </c>
      <c r="AT80" s="31">
        <f t="shared" si="68"/>
        <v>0.68062250672753377</v>
      </c>
      <c r="AU80" s="31">
        <f t="shared" si="69"/>
        <v>0.52355577440579537</v>
      </c>
      <c r="AV80" s="31">
        <f t="shared" si="70"/>
        <v>0.57591135184637499</v>
      </c>
    </row>
    <row r="81" spans="1:48">
      <c r="A81" s="10">
        <v>1992</v>
      </c>
      <c r="B81" s="9">
        <f>Fig1_future_Kaya!K6</f>
        <v>240647.1997384947</v>
      </c>
      <c r="C81" s="30">
        <f>Fig1_future_Kaya!S6</f>
        <v>29.698064240754807</v>
      </c>
      <c r="D81" s="9">
        <f>Fig1_future_Kaya!AN6</f>
        <v>0.52916584599999994</v>
      </c>
      <c r="E81" s="9">
        <f>Fig1_future_Kaya!AO6</f>
        <v>0.52916584599999994</v>
      </c>
      <c r="F81" s="9">
        <f>Fig1_future_Kaya!AP6</f>
        <v>0.52916584599999994</v>
      </c>
      <c r="G81" s="9"/>
      <c r="H81" s="266">
        <f t="shared" si="71"/>
        <v>293.87097179105825</v>
      </c>
      <c r="I81" s="266">
        <f t="shared" si="52"/>
        <v>168.97580877985848</v>
      </c>
      <c r="J81" s="266">
        <f t="shared" si="52"/>
        <v>124.89516301119976</v>
      </c>
      <c r="K81" s="266">
        <f t="shared" si="52"/>
        <v>95.508065832093919</v>
      </c>
      <c r="L81" s="266">
        <f t="shared" si="52"/>
        <v>73.467742947764563</v>
      </c>
      <c r="M81" s="266">
        <f t="shared" si="52"/>
        <v>80.814517242541029</v>
      </c>
      <c r="O81" s="50">
        <f t="shared" si="72"/>
        <v>2.1166633839999998</v>
      </c>
      <c r="P81" s="50">
        <f t="shared" si="53"/>
        <v>1.2170814457999997</v>
      </c>
      <c r="Q81" s="158">
        <f t="shared" si="54"/>
        <v>0.89958193819999988</v>
      </c>
      <c r="R81" s="50">
        <f t="shared" si="55"/>
        <v>0.68791559979999994</v>
      </c>
      <c r="S81" s="50">
        <f t="shared" si="56"/>
        <v>0.52916584599999994</v>
      </c>
      <c r="T81" s="50">
        <f t="shared" si="57"/>
        <v>0.58208243059999998</v>
      </c>
      <c r="V81" s="266">
        <f t="shared" si="73"/>
        <v>293.87097179105825</v>
      </c>
      <c r="W81" s="266">
        <f t="shared" si="58"/>
        <v>168.97580877985848</v>
      </c>
      <c r="X81" s="266">
        <f t="shared" si="58"/>
        <v>124.89516301119976</v>
      </c>
      <c r="Y81" s="266">
        <f t="shared" si="58"/>
        <v>95.508065832093919</v>
      </c>
      <c r="Z81" s="266">
        <f t="shared" si="58"/>
        <v>73.467742947764563</v>
      </c>
      <c r="AA81" s="266">
        <f t="shared" si="58"/>
        <v>80.814517242541029</v>
      </c>
      <c r="AC81" s="31">
        <f t="shared" si="59"/>
        <v>2.10022413004826</v>
      </c>
      <c r="AD81" s="31">
        <f t="shared" si="60"/>
        <v>1.2076288747777493</v>
      </c>
      <c r="AE81" s="158">
        <f t="shared" si="61"/>
        <v>0.89259525527051042</v>
      </c>
      <c r="AF81" s="31">
        <f t="shared" si="62"/>
        <v>0.68257284226568438</v>
      </c>
      <c r="AG81" s="31">
        <f t="shared" si="63"/>
        <v>0.52505603251206501</v>
      </c>
      <c r="AH81" s="31">
        <f t="shared" si="64"/>
        <v>0.57756163576327157</v>
      </c>
      <c r="AJ81" s="266">
        <f t="shared" si="74"/>
        <v>293.87097179105825</v>
      </c>
      <c r="AK81" s="266">
        <f t="shared" si="65"/>
        <v>168.97580877985848</v>
      </c>
      <c r="AL81" s="266">
        <f t="shared" si="65"/>
        <v>124.89516301119976</v>
      </c>
      <c r="AM81" s="266">
        <f t="shared" si="65"/>
        <v>95.508065832093919</v>
      </c>
      <c r="AN81" s="266">
        <f t="shared" si="65"/>
        <v>73.467742947764563</v>
      </c>
      <c r="AO81" s="266">
        <f t="shared" si="65"/>
        <v>80.814517242541029</v>
      </c>
      <c r="AQ81" s="31">
        <f t="shared" si="75"/>
        <v>2.10022413004826</v>
      </c>
      <c r="AR81" s="31">
        <f t="shared" si="66"/>
        <v>1.2076288747777493</v>
      </c>
      <c r="AS81" s="158">
        <f t="shared" si="67"/>
        <v>0.89259525527051042</v>
      </c>
      <c r="AT81" s="31">
        <f t="shared" si="68"/>
        <v>0.68257284226568438</v>
      </c>
      <c r="AU81" s="31">
        <f t="shared" si="69"/>
        <v>0.52505603251206501</v>
      </c>
      <c r="AV81" s="31">
        <f t="shared" si="70"/>
        <v>0.57756163576327157</v>
      </c>
    </row>
    <row r="82" spans="1:48">
      <c r="A82" s="10">
        <v>1993</v>
      </c>
      <c r="B82" s="9">
        <f>Fig1_future_Kaya!K7</f>
        <v>249952.6001899917</v>
      </c>
      <c r="C82" s="30">
        <f>Fig1_future_Kaya!S7</f>
        <v>28.869366882617065</v>
      </c>
      <c r="D82" s="9">
        <f>Fig1_future_Kaya!AN7</f>
        <v>0.53363175399999996</v>
      </c>
      <c r="E82" s="9">
        <f>Fig1_future_Kaya!AO7</f>
        <v>0.53363175399999996</v>
      </c>
      <c r="F82" s="9">
        <f>Fig1_future_Kaya!AP7</f>
        <v>0.53363175399999996</v>
      </c>
      <c r="G82" s="9"/>
      <c r="H82" s="266">
        <f t="shared" si="71"/>
        <v>293.87097179105825</v>
      </c>
      <c r="I82" s="266">
        <f t="shared" si="52"/>
        <v>168.97580877985848</v>
      </c>
      <c r="J82" s="266">
        <f t="shared" si="52"/>
        <v>124.89516301119976</v>
      </c>
      <c r="K82" s="266">
        <f t="shared" si="52"/>
        <v>95.508065832093919</v>
      </c>
      <c r="L82" s="266">
        <f t="shared" si="52"/>
        <v>73.467742947764563</v>
      </c>
      <c r="M82" s="266">
        <f t="shared" si="52"/>
        <v>80.814517242541029</v>
      </c>
      <c r="O82" s="50">
        <f t="shared" si="72"/>
        <v>2.1345270159999998</v>
      </c>
      <c r="P82" s="50">
        <f t="shared" si="53"/>
        <v>1.2273530341999999</v>
      </c>
      <c r="Q82" s="158">
        <f t="shared" si="54"/>
        <v>0.90717398179999986</v>
      </c>
      <c r="R82" s="50">
        <f t="shared" si="55"/>
        <v>0.69372128020000001</v>
      </c>
      <c r="S82" s="50">
        <f t="shared" si="56"/>
        <v>0.53363175399999996</v>
      </c>
      <c r="T82" s="50">
        <f t="shared" si="57"/>
        <v>0.58699492939999998</v>
      </c>
      <c r="V82" s="266">
        <f t="shared" si="73"/>
        <v>293.87097179105825</v>
      </c>
      <c r="W82" s="266">
        <f t="shared" si="58"/>
        <v>168.97580877985848</v>
      </c>
      <c r="X82" s="266">
        <f t="shared" si="58"/>
        <v>124.89516301119976</v>
      </c>
      <c r="Y82" s="266">
        <f t="shared" si="58"/>
        <v>95.508065832093919</v>
      </c>
      <c r="Z82" s="266">
        <f t="shared" si="58"/>
        <v>73.467742947764563</v>
      </c>
      <c r="AA82" s="266">
        <f t="shared" si="58"/>
        <v>80.814517242541029</v>
      </c>
      <c r="AC82" s="31">
        <f t="shared" si="59"/>
        <v>2.1205650914227849</v>
      </c>
      <c r="AD82" s="31">
        <f t="shared" si="60"/>
        <v>1.2193249275681015</v>
      </c>
      <c r="AE82" s="158">
        <f t="shared" si="61"/>
        <v>0.90124016385468364</v>
      </c>
      <c r="AF82" s="31">
        <f t="shared" si="62"/>
        <v>0.68918365471240506</v>
      </c>
      <c r="AG82" s="31">
        <f t="shared" si="63"/>
        <v>0.53014127285569623</v>
      </c>
      <c r="AH82" s="31">
        <f t="shared" si="64"/>
        <v>0.58315540014126599</v>
      </c>
      <c r="AJ82" s="266">
        <f t="shared" si="74"/>
        <v>293.87097179105825</v>
      </c>
      <c r="AK82" s="266">
        <f t="shared" si="65"/>
        <v>168.97580877985848</v>
      </c>
      <c r="AL82" s="266">
        <f t="shared" si="65"/>
        <v>124.89516301119976</v>
      </c>
      <c r="AM82" s="266">
        <f t="shared" si="65"/>
        <v>95.508065832093919</v>
      </c>
      <c r="AN82" s="266">
        <f t="shared" si="65"/>
        <v>73.467742947764563</v>
      </c>
      <c r="AO82" s="266">
        <f t="shared" si="65"/>
        <v>80.814517242541029</v>
      </c>
      <c r="AQ82" s="31">
        <f t="shared" si="75"/>
        <v>2.1205650914227849</v>
      </c>
      <c r="AR82" s="31">
        <f t="shared" si="66"/>
        <v>1.2193249275681015</v>
      </c>
      <c r="AS82" s="158">
        <f t="shared" si="67"/>
        <v>0.90124016385468364</v>
      </c>
      <c r="AT82" s="31">
        <f t="shared" si="68"/>
        <v>0.68918365471240506</v>
      </c>
      <c r="AU82" s="31">
        <f t="shared" si="69"/>
        <v>0.53014127285569623</v>
      </c>
      <c r="AV82" s="31">
        <f t="shared" si="70"/>
        <v>0.58315540014126599</v>
      </c>
    </row>
    <row r="83" spans="1:48">
      <c r="A83" s="10">
        <v>1994</v>
      </c>
      <c r="B83" s="9">
        <f>Fig1_future_Kaya!K8</f>
        <v>274769.30033116811</v>
      </c>
      <c r="C83" s="30">
        <f>Fig1_future_Kaya!S8</f>
        <v>27.454390835884784</v>
      </c>
      <c r="D83" s="9">
        <f>Fig1_future_Kaya!AN8</f>
        <v>0.55670766700000018</v>
      </c>
      <c r="E83" s="9">
        <f>Fig1_future_Kaya!AO8</f>
        <v>0.55670766700000018</v>
      </c>
      <c r="F83" s="9">
        <f>Fig1_future_Kaya!AP8</f>
        <v>0.55670766700000018</v>
      </c>
      <c r="G83" s="9"/>
      <c r="H83" s="266">
        <f t="shared" si="71"/>
        <v>293.87097179105825</v>
      </c>
      <c r="I83" s="266">
        <f t="shared" si="52"/>
        <v>168.97580877985848</v>
      </c>
      <c r="J83" s="266">
        <f t="shared" si="52"/>
        <v>124.89516301119976</v>
      </c>
      <c r="K83" s="266">
        <f t="shared" si="52"/>
        <v>95.508065832093919</v>
      </c>
      <c r="L83" s="266">
        <f t="shared" si="52"/>
        <v>73.467742947764563</v>
      </c>
      <c r="M83" s="266">
        <f t="shared" si="52"/>
        <v>80.814517242541029</v>
      </c>
      <c r="O83" s="50">
        <f t="shared" si="72"/>
        <v>2.2268306680000007</v>
      </c>
      <c r="P83" s="50">
        <f t="shared" si="53"/>
        <v>1.2804276341000003</v>
      </c>
      <c r="Q83" s="158">
        <f t="shared" si="54"/>
        <v>0.94640303390000025</v>
      </c>
      <c r="R83" s="50">
        <f t="shared" si="55"/>
        <v>0.72371996710000031</v>
      </c>
      <c r="S83" s="50">
        <f t="shared" si="56"/>
        <v>0.55670766700000018</v>
      </c>
      <c r="T83" s="50">
        <f t="shared" si="57"/>
        <v>0.61237843370000022</v>
      </c>
      <c r="V83" s="266">
        <f t="shared" si="73"/>
        <v>293.87097179105825</v>
      </c>
      <c r="W83" s="266">
        <f t="shared" si="58"/>
        <v>168.97580877985848</v>
      </c>
      <c r="X83" s="266">
        <f t="shared" si="58"/>
        <v>124.89516301119976</v>
      </c>
      <c r="Y83" s="266">
        <f t="shared" si="58"/>
        <v>95.508065832093919</v>
      </c>
      <c r="Z83" s="266">
        <f t="shared" si="58"/>
        <v>73.467742947764563</v>
      </c>
      <c r="AA83" s="266">
        <f t="shared" si="58"/>
        <v>80.814517242541029</v>
      </c>
      <c r="AC83" s="31">
        <f t="shared" si="59"/>
        <v>2.2168520454695702</v>
      </c>
      <c r="AD83" s="31">
        <f t="shared" si="60"/>
        <v>1.2746899261450029</v>
      </c>
      <c r="AE83" s="158">
        <f t="shared" si="61"/>
        <v>0.94216211932456728</v>
      </c>
      <c r="AF83" s="31">
        <f t="shared" si="62"/>
        <v>0.72047691477761022</v>
      </c>
      <c r="AG83" s="31">
        <f t="shared" si="63"/>
        <v>0.55421301136739254</v>
      </c>
      <c r="AH83" s="31">
        <f t="shared" si="64"/>
        <v>0.60963431250413191</v>
      </c>
      <c r="AJ83" s="266">
        <f t="shared" si="74"/>
        <v>293.87097179105825</v>
      </c>
      <c r="AK83" s="266">
        <f t="shared" si="65"/>
        <v>168.97580877985848</v>
      </c>
      <c r="AL83" s="266">
        <f t="shared" si="65"/>
        <v>124.89516301119976</v>
      </c>
      <c r="AM83" s="266">
        <f t="shared" si="65"/>
        <v>95.508065832093919</v>
      </c>
      <c r="AN83" s="266">
        <f t="shared" si="65"/>
        <v>73.467742947764563</v>
      </c>
      <c r="AO83" s="266">
        <f t="shared" si="65"/>
        <v>80.814517242541029</v>
      </c>
      <c r="AQ83" s="31">
        <f t="shared" si="75"/>
        <v>2.2168520454695702</v>
      </c>
      <c r="AR83" s="31">
        <f t="shared" si="66"/>
        <v>1.2746899261450029</v>
      </c>
      <c r="AS83" s="158">
        <f t="shared" si="67"/>
        <v>0.94216211932456728</v>
      </c>
      <c r="AT83" s="31">
        <f t="shared" si="68"/>
        <v>0.72047691477761022</v>
      </c>
      <c r="AU83" s="31">
        <f t="shared" si="69"/>
        <v>0.55421301136739254</v>
      </c>
      <c r="AV83" s="31">
        <f t="shared" si="70"/>
        <v>0.60963431250413191</v>
      </c>
    </row>
    <row r="84" spans="1:48">
      <c r="A84" s="10">
        <v>1995</v>
      </c>
      <c r="B84" s="9">
        <f>Fig1_future_Kaya!K9</f>
        <v>293095.20039783453</v>
      </c>
      <c r="C84" s="30">
        <f>Fig1_future_Kaya!S9</f>
        <v>26.383617122651792</v>
      </c>
      <c r="D84" s="9">
        <f>Fig1_future_Kaya!AN9</f>
        <v>0.57076552599999997</v>
      </c>
      <c r="E84" s="9">
        <f>Fig1_future_Kaya!AO9</f>
        <v>0.57076552599999997</v>
      </c>
      <c r="F84" s="9">
        <f>Fig1_future_Kaya!AP9</f>
        <v>0.57076552599999997</v>
      </c>
      <c r="G84" s="9"/>
      <c r="H84" s="266">
        <f t="shared" si="71"/>
        <v>293.87097179105825</v>
      </c>
      <c r="I84" s="266">
        <f t="shared" si="52"/>
        <v>168.97580877985848</v>
      </c>
      <c r="J84" s="266">
        <f t="shared" si="52"/>
        <v>124.89516301119976</v>
      </c>
      <c r="K84" s="266">
        <f t="shared" si="52"/>
        <v>95.508065832093919</v>
      </c>
      <c r="L84" s="266">
        <f t="shared" si="52"/>
        <v>73.467742947764563</v>
      </c>
      <c r="M84" s="266">
        <f t="shared" si="52"/>
        <v>80.814517242541029</v>
      </c>
      <c r="O84" s="50">
        <f t="shared" si="72"/>
        <v>2.2830621039999999</v>
      </c>
      <c r="P84" s="50">
        <f t="shared" si="53"/>
        <v>1.3127607097999998</v>
      </c>
      <c r="Q84" s="158">
        <f t="shared" si="54"/>
        <v>0.97030139419999994</v>
      </c>
      <c r="R84" s="50">
        <f t="shared" si="55"/>
        <v>0.74199518379999996</v>
      </c>
      <c r="S84" s="50">
        <f t="shared" si="56"/>
        <v>0.57076552599999997</v>
      </c>
      <c r="T84" s="50">
        <f t="shared" si="57"/>
        <v>0.62784207859999996</v>
      </c>
      <c r="V84" s="266">
        <f t="shared" si="73"/>
        <v>293.87097179105825</v>
      </c>
      <c r="W84" s="266">
        <f t="shared" si="58"/>
        <v>168.97580877985848</v>
      </c>
      <c r="X84" s="266">
        <f t="shared" si="58"/>
        <v>124.89516301119976</v>
      </c>
      <c r="Y84" s="266">
        <f t="shared" si="58"/>
        <v>95.508065832093919</v>
      </c>
      <c r="Z84" s="266">
        <f t="shared" si="58"/>
        <v>73.467742947764563</v>
      </c>
      <c r="AA84" s="266">
        <f t="shared" si="58"/>
        <v>80.814517242541029</v>
      </c>
      <c r="AC84" s="31">
        <f t="shared" si="59"/>
        <v>2.272478231321394</v>
      </c>
      <c r="AD84" s="31">
        <f t="shared" si="60"/>
        <v>1.3066749830098014</v>
      </c>
      <c r="AE84" s="158">
        <f t="shared" si="61"/>
        <v>0.96580324831159248</v>
      </c>
      <c r="AF84" s="31">
        <f t="shared" si="62"/>
        <v>0.73855542517945294</v>
      </c>
      <c r="AG84" s="31">
        <f t="shared" si="63"/>
        <v>0.56811955783034851</v>
      </c>
      <c r="AH84" s="31">
        <f t="shared" si="64"/>
        <v>0.62493151361338339</v>
      </c>
      <c r="AJ84" s="266">
        <f t="shared" si="74"/>
        <v>293.87097179105825</v>
      </c>
      <c r="AK84" s="266">
        <f t="shared" si="65"/>
        <v>168.97580877985848</v>
      </c>
      <c r="AL84" s="266">
        <f t="shared" si="65"/>
        <v>124.89516301119976</v>
      </c>
      <c r="AM84" s="266">
        <f t="shared" si="65"/>
        <v>95.508065832093919</v>
      </c>
      <c r="AN84" s="266">
        <f t="shared" si="65"/>
        <v>73.467742947764563</v>
      </c>
      <c r="AO84" s="266">
        <f t="shared" si="65"/>
        <v>80.814517242541029</v>
      </c>
      <c r="AQ84" s="31">
        <f t="shared" si="75"/>
        <v>2.272478231321394</v>
      </c>
      <c r="AR84" s="31">
        <f t="shared" si="66"/>
        <v>1.3066749830098014</v>
      </c>
      <c r="AS84" s="158">
        <f t="shared" si="67"/>
        <v>0.96580324831159248</v>
      </c>
      <c r="AT84" s="31">
        <f t="shared" si="68"/>
        <v>0.73855542517945294</v>
      </c>
      <c r="AU84" s="31">
        <f t="shared" si="69"/>
        <v>0.56811955783034851</v>
      </c>
      <c r="AV84" s="31">
        <f t="shared" si="70"/>
        <v>0.62493151361338339</v>
      </c>
    </row>
    <row r="85" spans="1:48">
      <c r="A85" s="10">
        <v>1996</v>
      </c>
      <c r="B85" s="9">
        <f>Fig1_future_Kaya!K10</f>
        <v>317053.5999806</v>
      </c>
      <c r="C85" s="30">
        <f>Fig1_future_Kaya!S10</f>
        <v>25.424930964761749</v>
      </c>
      <c r="D85" s="9">
        <f>Fig1_future_Kaya!AN10</f>
        <v>0.59712128200000014</v>
      </c>
      <c r="E85" s="9">
        <f>Fig1_future_Kaya!AO10</f>
        <v>0.59712128200000014</v>
      </c>
      <c r="F85" s="9">
        <f>Fig1_future_Kaya!AP10</f>
        <v>0.59712128200000014</v>
      </c>
      <c r="G85" s="9"/>
      <c r="H85" s="266">
        <f t="shared" si="71"/>
        <v>293.87097179105825</v>
      </c>
      <c r="I85" s="266">
        <f t="shared" si="52"/>
        <v>168.97580877985848</v>
      </c>
      <c r="J85" s="266">
        <f t="shared" si="52"/>
        <v>124.89516301119976</v>
      </c>
      <c r="K85" s="266">
        <f t="shared" si="52"/>
        <v>95.508065832093919</v>
      </c>
      <c r="L85" s="266">
        <f t="shared" si="52"/>
        <v>73.467742947764563</v>
      </c>
      <c r="M85" s="266">
        <f t="shared" si="52"/>
        <v>80.814517242541029</v>
      </c>
      <c r="O85" s="50">
        <f t="shared" si="72"/>
        <v>2.3884851280000006</v>
      </c>
      <c r="P85" s="50">
        <f t="shared" si="53"/>
        <v>1.3733789486000003</v>
      </c>
      <c r="Q85" s="158">
        <f t="shared" si="54"/>
        <v>1.0151061794000003</v>
      </c>
      <c r="R85" s="50">
        <f t="shared" si="55"/>
        <v>0.77625766660000017</v>
      </c>
      <c r="S85" s="50">
        <f t="shared" si="56"/>
        <v>0.59712128200000014</v>
      </c>
      <c r="T85" s="50">
        <f t="shared" si="57"/>
        <v>0.65683341020000019</v>
      </c>
      <c r="V85" s="266">
        <f t="shared" si="73"/>
        <v>293.87097179105825</v>
      </c>
      <c r="W85" s="266">
        <f t="shared" si="58"/>
        <v>168.97580877985848</v>
      </c>
      <c r="X85" s="266">
        <f t="shared" si="58"/>
        <v>124.89516301119976</v>
      </c>
      <c r="Y85" s="266">
        <f t="shared" si="58"/>
        <v>95.508065832093919</v>
      </c>
      <c r="Z85" s="266">
        <f t="shared" si="58"/>
        <v>73.467742947764563</v>
      </c>
      <c r="AA85" s="266">
        <f t="shared" si="58"/>
        <v>80.814517242541029</v>
      </c>
      <c r="AC85" s="31">
        <f t="shared" si="59"/>
        <v>2.3689132672468078</v>
      </c>
      <c r="AD85" s="31">
        <f t="shared" si="60"/>
        <v>1.3621251286669145</v>
      </c>
      <c r="AE85" s="158">
        <f t="shared" si="61"/>
        <v>1.0067881385798934</v>
      </c>
      <c r="AF85" s="31">
        <f t="shared" si="62"/>
        <v>0.76989681185521242</v>
      </c>
      <c r="AG85" s="31">
        <f t="shared" si="63"/>
        <v>0.59222831681170196</v>
      </c>
      <c r="AH85" s="31">
        <f t="shared" si="64"/>
        <v>0.65145114849287222</v>
      </c>
      <c r="AJ85" s="266">
        <f t="shared" si="74"/>
        <v>293.87097179105825</v>
      </c>
      <c r="AK85" s="266">
        <f t="shared" si="65"/>
        <v>168.97580877985848</v>
      </c>
      <c r="AL85" s="266">
        <f t="shared" si="65"/>
        <v>124.89516301119976</v>
      </c>
      <c r="AM85" s="266">
        <f t="shared" si="65"/>
        <v>95.508065832093919</v>
      </c>
      <c r="AN85" s="266">
        <f t="shared" si="65"/>
        <v>73.467742947764563</v>
      </c>
      <c r="AO85" s="266">
        <f t="shared" si="65"/>
        <v>80.814517242541029</v>
      </c>
      <c r="AQ85" s="31">
        <f t="shared" si="75"/>
        <v>2.3689132672468078</v>
      </c>
      <c r="AR85" s="31">
        <f t="shared" si="66"/>
        <v>1.3621251286669145</v>
      </c>
      <c r="AS85" s="158">
        <f t="shared" si="67"/>
        <v>1.0067881385798934</v>
      </c>
      <c r="AT85" s="31">
        <f t="shared" si="68"/>
        <v>0.76989681185521242</v>
      </c>
      <c r="AU85" s="31">
        <f t="shared" si="69"/>
        <v>0.59222831681170196</v>
      </c>
      <c r="AV85" s="31">
        <f t="shared" si="70"/>
        <v>0.65145114849287222</v>
      </c>
    </row>
    <row r="86" spans="1:48">
      <c r="A86" s="10">
        <v>1997</v>
      </c>
      <c r="B86" s="9">
        <f>Fig1_future_Kaya!K11</f>
        <v>341799.10121963196</v>
      </c>
      <c r="C86" s="30">
        <f>Fig1_future_Kaya!S11</f>
        <v>24.392367383519211</v>
      </c>
      <c r="D86" s="9">
        <f>Fig1_future_Kaya!AN11</f>
        <v>0.6162284830000001</v>
      </c>
      <c r="E86" s="9">
        <f>Fig1_future_Kaya!AO11</f>
        <v>0.6162284830000001</v>
      </c>
      <c r="F86" s="9">
        <f>Fig1_future_Kaya!AP11</f>
        <v>0.6162284830000001</v>
      </c>
      <c r="G86" s="9"/>
      <c r="H86" s="266">
        <f t="shared" si="71"/>
        <v>293.87097179105825</v>
      </c>
      <c r="I86" s="266">
        <f t="shared" si="52"/>
        <v>168.97580877985848</v>
      </c>
      <c r="J86" s="266">
        <f t="shared" si="52"/>
        <v>124.89516301119976</v>
      </c>
      <c r="K86" s="266">
        <f t="shared" si="52"/>
        <v>95.508065832093919</v>
      </c>
      <c r="L86" s="266">
        <f t="shared" si="52"/>
        <v>73.467742947764563</v>
      </c>
      <c r="M86" s="266">
        <f t="shared" si="52"/>
        <v>80.814517242541029</v>
      </c>
      <c r="O86" s="50">
        <f t="shared" si="72"/>
        <v>2.4649139320000004</v>
      </c>
      <c r="P86" s="50">
        <f t="shared" si="53"/>
        <v>1.4173255109</v>
      </c>
      <c r="Q86" s="158">
        <f t="shared" si="54"/>
        <v>1.0475884211000002</v>
      </c>
      <c r="R86" s="50">
        <f t="shared" si="55"/>
        <v>0.80109702790000015</v>
      </c>
      <c r="S86" s="50">
        <f t="shared" si="56"/>
        <v>0.6162284830000001</v>
      </c>
      <c r="T86" s="50">
        <f t="shared" si="57"/>
        <v>0.67785133130000019</v>
      </c>
      <c r="V86" s="266">
        <f t="shared" si="73"/>
        <v>293.87097179105825</v>
      </c>
      <c r="W86" s="266">
        <f t="shared" si="58"/>
        <v>168.97580877985848</v>
      </c>
      <c r="X86" s="266">
        <f t="shared" si="58"/>
        <v>124.89516301119976</v>
      </c>
      <c r="Y86" s="266">
        <f t="shared" si="58"/>
        <v>95.508065832093919</v>
      </c>
      <c r="Z86" s="266">
        <f t="shared" si="58"/>
        <v>73.467742947764563</v>
      </c>
      <c r="AA86" s="266">
        <f t="shared" si="58"/>
        <v>80.814517242541029</v>
      </c>
      <c r="AC86" s="31">
        <f t="shared" si="59"/>
        <v>2.4500872935028064</v>
      </c>
      <c r="AD86" s="31">
        <f t="shared" si="60"/>
        <v>1.4088001937641135</v>
      </c>
      <c r="AE86" s="158">
        <f t="shared" si="61"/>
        <v>1.0412870997386925</v>
      </c>
      <c r="AF86" s="31">
        <f t="shared" si="62"/>
        <v>0.79627837038841187</v>
      </c>
      <c r="AG86" s="31">
        <f t="shared" si="63"/>
        <v>0.6125218233757016</v>
      </c>
      <c r="AH86" s="31">
        <f t="shared" si="64"/>
        <v>0.67377400571327173</v>
      </c>
      <c r="AJ86" s="266">
        <f t="shared" si="74"/>
        <v>293.87097179105825</v>
      </c>
      <c r="AK86" s="266">
        <f t="shared" si="65"/>
        <v>168.97580877985848</v>
      </c>
      <c r="AL86" s="266">
        <f t="shared" si="65"/>
        <v>124.89516301119976</v>
      </c>
      <c r="AM86" s="266">
        <f t="shared" si="65"/>
        <v>95.508065832093919</v>
      </c>
      <c r="AN86" s="266">
        <f t="shared" si="65"/>
        <v>73.467742947764563</v>
      </c>
      <c r="AO86" s="266">
        <f t="shared" si="65"/>
        <v>80.814517242541029</v>
      </c>
      <c r="AQ86" s="31">
        <f t="shared" si="75"/>
        <v>2.4500872935028064</v>
      </c>
      <c r="AR86" s="31">
        <f t="shared" si="66"/>
        <v>1.4088001937641135</v>
      </c>
      <c r="AS86" s="158">
        <f t="shared" si="67"/>
        <v>1.0412870997386925</v>
      </c>
      <c r="AT86" s="31">
        <f t="shared" si="68"/>
        <v>0.79627837038841187</v>
      </c>
      <c r="AU86" s="31">
        <f t="shared" si="69"/>
        <v>0.6125218233757016</v>
      </c>
      <c r="AV86" s="31">
        <f t="shared" si="70"/>
        <v>0.67377400571327173</v>
      </c>
    </row>
    <row r="87" spans="1:48">
      <c r="A87" s="10">
        <v>1998</v>
      </c>
      <c r="B87" s="9">
        <f>Fig1_future_Kaya!K12</f>
        <v>349018.27430563699</v>
      </c>
      <c r="C87" s="30">
        <f>Fig1_future_Kaya!S12</f>
        <v>24.424560202110836</v>
      </c>
      <c r="D87" s="9">
        <f>Fig1_future_Kaya!AN12</f>
        <v>0.62800909199999999</v>
      </c>
      <c r="E87" s="9">
        <f>Fig1_future_Kaya!AO12</f>
        <v>0.62800909199999999</v>
      </c>
      <c r="F87" s="9">
        <f>Fig1_future_Kaya!AP12</f>
        <v>0.62800909199999999</v>
      </c>
      <c r="G87" s="9"/>
      <c r="H87" s="266">
        <f t="shared" si="71"/>
        <v>293.87097179105825</v>
      </c>
      <c r="I87" s="266">
        <f t="shared" si="52"/>
        <v>168.97580877985848</v>
      </c>
      <c r="J87" s="266">
        <f t="shared" si="52"/>
        <v>124.89516301119976</v>
      </c>
      <c r="K87" s="266">
        <f t="shared" si="52"/>
        <v>95.508065832093919</v>
      </c>
      <c r="L87" s="266">
        <f t="shared" si="52"/>
        <v>73.467742947764563</v>
      </c>
      <c r="M87" s="266">
        <f t="shared" si="52"/>
        <v>80.814517242541029</v>
      </c>
      <c r="O87" s="50">
        <f t="shared" si="72"/>
        <v>2.512036368</v>
      </c>
      <c r="P87" s="50">
        <f t="shared" si="53"/>
        <v>1.4444209116</v>
      </c>
      <c r="Q87" s="158">
        <f t="shared" si="54"/>
        <v>1.0676154564</v>
      </c>
      <c r="R87" s="50">
        <f t="shared" si="55"/>
        <v>0.81641181959999998</v>
      </c>
      <c r="S87" s="50">
        <f t="shared" si="56"/>
        <v>0.62800909199999999</v>
      </c>
      <c r="T87" s="50">
        <f t="shared" si="57"/>
        <v>0.69081000120000002</v>
      </c>
      <c r="V87" s="266">
        <f t="shared" si="73"/>
        <v>293.87097179105825</v>
      </c>
      <c r="W87" s="266">
        <f t="shared" si="58"/>
        <v>168.97580877985848</v>
      </c>
      <c r="X87" s="266">
        <f t="shared" si="58"/>
        <v>124.89516301119976</v>
      </c>
      <c r="Y87" s="266">
        <f t="shared" si="58"/>
        <v>95.508065832093919</v>
      </c>
      <c r="Z87" s="266">
        <f t="shared" si="58"/>
        <v>73.467742947764563</v>
      </c>
      <c r="AA87" s="266">
        <f t="shared" si="58"/>
        <v>80.814517242541029</v>
      </c>
      <c r="AC87" s="31">
        <f t="shared" si="59"/>
        <v>2.5051377324365602</v>
      </c>
      <c r="AD87" s="31">
        <f t="shared" si="60"/>
        <v>1.4404541961510222</v>
      </c>
      <c r="AE87" s="158">
        <f t="shared" si="61"/>
        <v>1.0646835362855382</v>
      </c>
      <c r="AF87" s="31">
        <f t="shared" si="62"/>
        <v>0.81416976304188204</v>
      </c>
      <c r="AG87" s="31">
        <f t="shared" si="63"/>
        <v>0.62628443310914006</v>
      </c>
      <c r="AH87" s="31">
        <f t="shared" si="64"/>
        <v>0.68891287642005417</v>
      </c>
      <c r="AJ87" s="266">
        <f t="shared" si="74"/>
        <v>293.87097179105825</v>
      </c>
      <c r="AK87" s="266">
        <f t="shared" si="65"/>
        <v>168.97580877985848</v>
      </c>
      <c r="AL87" s="266">
        <f t="shared" si="65"/>
        <v>124.89516301119976</v>
      </c>
      <c r="AM87" s="266">
        <f t="shared" si="65"/>
        <v>95.508065832093919</v>
      </c>
      <c r="AN87" s="266">
        <f t="shared" si="65"/>
        <v>73.467742947764563</v>
      </c>
      <c r="AO87" s="266">
        <f t="shared" si="65"/>
        <v>80.814517242541029</v>
      </c>
      <c r="AQ87" s="31">
        <f t="shared" si="75"/>
        <v>2.5051377324365602</v>
      </c>
      <c r="AR87" s="31">
        <f t="shared" si="66"/>
        <v>1.4404541961510222</v>
      </c>
      <c r="AS87" s="158">
        <f t="shared" si="67"/>
        <v>1.0646835362855382</v>
      </c>
      <c r="AT87" s="31">
        <f t="shared" si="68"/>
        <v>0.81416976304188204</v>
      </c>
      <c r="AU87" s="31">
        <f t="shared" si="69"/>
        <v>0.62628443310914006</v>
      </c>
      <c r="AV87" s="31">
        <f t="shared" si="70"/>
        <v>0.68891287642005417</v>
      </c>
    </row>
    <row r="88" spans="1:48">
      <c r="A88" s="10">
        <v>1999</v>
      </c>
      <c r="B88" s="9">
        <f>Fig1_future_Kaya!K13</f>
        <v>372383.61824587302</v>
      </c>
      <c r="C88" s="30">
        <f>Fig1_future_Kaya!S13</f>
        <v>23.685610716757044</v>
      </c>
      <c r="D88" s="9">
        <f>Fig1_future_Kaya!AN13</f>
        <v>0.64914668200000003</v>
      </c>
      <c r="E88" s="9">
        <f>Fig1_future_Kaya!AO13</f>
        <v>0.64914668200000003</v>
      </c>
      <c r="F88" s="9">
        <f>Fig1_future_Kaya!AP13</f>
        <v>0.64914668200000003</v>
      </c>
      <c r="G88" s="9"/>
      <c r="H88" s="266">
        <f t="shared" si="71"/>
        <v>293.87097179105825</v>
      </c>
      <c r="I88" s="266">
        <f t="shared" si="52"/>
        <v>168.97580877985848</v>
      </c>
      <c r="J88" s="266">
        <f t="shared" si="52"/>
        <v>124.89516301119976</v>
      </c>
      <c r="K88" s="266">
        <f t="shared" si="52"/>
        <v>95.508065832093919</v>
      </c>
      <c r="L88" s="266">
        <f t="shared" si="52"/>
        <v>73.467742947764563</v>
      </c>
      <c r="M88" s="266">
        <f t="shared" si="52"/>
        <v>80.814517242541029</v>
      </c>
      <c r="O88" s="50">
        <f t="shared" si="72"/>
        <v>2.5965867280000001</v>
      </c>
      <c r="P88" s="50">
        <f t="shared" si="53"/>
        <v>1.4930373686</v>
      </c>
      <c r="Q88" s="158">
        <f t="shared" si="54"/>
        <v>1.1035493594000001</v>
      </c>
      <c r="R88" s="50">
        <f t="shared" si="55"/>
        <v>0.84389068660000011</v>
      </c>
      <c r="S88" s="50">
        <f t="shared" si="56"/>
        <v>0.64914668200000003</v>
      </c>
      <c r="T88" s="50">
        <f t="shared" si="57"/>
        <v>0.71406135020000006</v>
      </c>
      <c r="V88" s="266">
        <f t="shared" si="73"/>
        <v>293.87097179105825</v>
      </c>
      <c r="W88" s="266">
        <f t="shared" si="58"/>
        <v>168.97580877985848</v>
      </c>
      <c r="X88" s="266">
        <f t="shared" si="58"/>
        <v>124.89516301119976</v>
      </c>
      <c r="Y88" s="266">
        <f t="shared" si="58"/>
        <v>95.508065832093919</v>
      </c>
      <c r="Z88" s="266">
        <f t="shared" si="58"/>
        <v>73.467742947764563</v>
      </c>
      <c r="AA88" s="266">
        <f t="shared" si="58"/>
        <v>80.814517242541029</v>
      </c>
      <c r="AC88" s="31">
        <f t="shared" si="59"/>
        <v>2.5919811791886591</v>
      </c>
      <c r="AD88" s="31">
        <f t="shared" si="60"/>
        <v>1.490389178033479</v>
      </c>
      <c r="AE88" s="158">
        <f t="shared" si="61"/>
        <v>1.1015920011551803</v>
      </c>
      <c r="AF88" s="31">
        <f t="shared" si="62"/>
        <v>0.84239388323631403</v>
      </c>
      <c r="AG88" s="31">
        <f t="shared" si="63"/>
        <v>0.64799529479716478</v>
      </c>
      <c r="AH88" s="31">
        <f t="shared" si="64"/>
        <v>0.71279482427688134</v>
      </c>
      <c r="AJ88" s="266">
        <f t="shared" si="74"/>
        <v>293.87097179105825</v>
      </c>
      <c r="AK88" s="266">
        <f t="shared" si="65"/>
        <v>168.97580877985848</v>
      </c>
      <c r="AL88" s="266">
        <f t="shared" si="65"/>
        <v>124.89516301119976</v>
      </c>
      <c r="AM88" s="266">
        <f t="shared" si="65"/>
        <v>95.508065832093919</v>
      </c>
      <c r="AN88" s="266">
        <f t="shared" si="65"/>
        <v>73.467742947764563</v>
      </c>
      <c r="AO88" s="266">
        <f t="shared" si="65"/>
        <v>80.814517242541029</v>
      </c>
      <c r="AQ88" s="31">
        <f t="shared" si="75"/>
        <v>2.5919811791886591</v>
      </c>
      <c r="AR88" s="31">
        <f t="shared" si="66"/>
        <v>1.490389178033479</v>
      </c>
      <c r="AS88" s="158">
        <f t="shared" si="67"/>
        <v>1.1015920011551803</v>
      </c>
      <c r="AT88" s="31">
        <f t="shared" si="68"/>
        <v>0.84239388323631403</v>
      </c>
      <c r="AU88" s="31">
        <f t="shared" si="69"/>
        <v>0.64799529479716478</v>
      </c>
      <c r="AV88" s="31">
        <f t="shared" si="70"/>
        <v>0.71279482427688134</v>
      </c>
    </row>
    <row r="89" spans="1:48">
      <c r="A89" s="10">
        <v>2000</v>
      </c>
      <c r="B89" s="9">
        <f>Fig1_future_Kaya!K14</f>
        <v>399903.21100000001</v>
      </c>
      <c r="C89" s="30">
        <f>Fig1_future_Kaya!S14</f>
        <v>22.819143580846905</v>
      </c>
      <c r="D89" s="9">
        <f>Fig1_future_Kaya!AN14</f>
        <v>0.67477179700000012</v>
      </c>
      <c r="E89" s="9">
        <f>Fig1_future_Kaya!AO14</f>
        <v>0.67477179700000012</v>
      </c>
      <c r="F89" s="9">
        <f>Fig1_future_Kaya!AP14</f>
        <v>0.67477179700000012</v>
      </c>
      <c r="G89" s="9"/>
      <c r="H89" s="266">
        <f t="shared" si="71"/>
        <v>293.87097179105825</v>
      </c>
      <c r="I89" s="266">
        <f t="shared" si="52"/>
        <v>168.97580877985848</v>
      </c>
      <c r="J89" s="266">
        <f t="shared" si="52"/>
        <v>124.89516301119976</v>
      </c>
      <c r="K89" s="266">
        <f t="shared" si="52"/>
        <v>95.508065832093919</v>
      </c>
      <c r="L89" s="266">
        <f t="shared" si="52"/>
        <v>73.467742947764563</v>
      </c>
      <c r="M89" s="266">
        <f t="shared" si="52"/>
        <v>80.814517242541029</v>
      </c>
      <c r="O89" s="50">
        <f t="shared" si="72"/>
        <v>2.6990871880000005</v>
      </c>
      <c r="P89" s="50">
        <f t="shared" si="53"/>
        <v>1.5519751331000002</v>
      </c>
      <c r="Q89" s="158">
        <f t="shared" si="54"/>
        <v>1.1471120549000002</v>
      </c>
      <c r="R89" s="50">
        <f t="shared" si="55"/>
        <v>0.87720333610000023</v>
      </c>
      <c r="S89" s="50">
        <f t="shared" si="56"/>
        <v>0.67477179700000012</v>
      </c>
      <c r="T89" s="50">
        <f t="shared" si="57"/>
        <v>0.74224897670000023</v>
      </c>
      <c r="V89" s="266">
        <f t="shared" si="73"/>
        <v>293.87097179105825</v>
      </c>
      <c r="W89" s="266">
        <f t="shared" si="58"/>
        <v>168.97580877985848</v>
      </c>
      <c r="X89" s="266">
        <f t="shared" si="58"/>
        <v>124.89516301119976</v>
      </c>
      <c r="Y89" s="266">
        <f t="shared" si="58"/>
        <v>95.508065832093919</v>
      </c>
      <c r="Z89" s="266">
        <f t="shared" si="58"/>
        <v>73.467742947764563</v>
      </c>
      <c r="AA89" s="266">
        <f t="shared" si="58"/>
        <v>80.814517242541029</v>
      </c>
      <c r="AC89" s="31">
        <f t="shared" si="59"/>
        <v>2.6817045040205145</v>
      </c>
      <c r="AD89" s="31">
        <f t="shared" si="60"/>
        <v>1.5419800898117957</v>
      </c>
      <c r="AE89" s="158">
        <f t="shared" si="61"/>
        <v>1.1397244142087186</v>
      </c>
      <c r="AF89" s="31">
        <f t="shared" si="62"/>
        <v>0.87155396380666705</v>
      </c>
      <c r="AG89" s="31">
        <f t="shared" si="63"/>
        <v>0.67042612600512863</v>
      </c>
      <c r="AH89" s="31">
        <f t="shared" si="64"/>
        <v>0.73746873860564155</v>
      </c>
      <c r="AJ89" s="266">
        <f t="shared" si="74"/>
        <v>293.87097179105825</v>
      </c>
      <c r="AK89" s="266">
        <f t="shared" si="65"/>
        <v>168.97580877985848</v>
      </c>
      <c r="AL89" s="266">
        <f t="shared" si="65"/>
        <v>124.89516301119976</v>
      </c>
      <c r="AM89" s="266">
        <f t="shared" si="65"/>
        <v>95.508065832093919</v>
      </c>
      <c r="AN89" s="266">
        <f t="shared" si="65"/>
        <v>73.467742947764563</v>
      </c>
      <c r="AO89" s="266">
        <f t="shared" si="65"/>
        <v>80.814517242541029</v>
      </c>
      <c r="AQ89" s="31">
        <f t="shared" si="75"/>
        <v>2.6817045040205145</v>
      </c>
      <c r="AR89" s="31">
        <f t="shared" si="66"/>
        <v>1.5419800898117957</v>
      </c>
      <c r="AS89" s="158">
        <f t="shared" si="67"/>
        <v>1.1397244142087186</v>
      </c>
      <c r="AT89" s="31">
        <f t="shared" si="68"/>
        <v>0.87155396380666705</v>
      </c>
      <c r="AU89" s="31">
        <f t="shared" si="69"/>
        <v>0.67042612600512863</v>
      </c>
      <c r="AV89" s="31">
        <f t="shared" si="70"/>
        <v>0.73746873860564155</v>
      </c>
    </row>
    <row r="90" spans="1:48">
      <c r="A90" s="10">
        <v>2001</v>
      </c>
      <c r="B90" s="9">
        <f>Fig1_future_Kaya!K15</f>
        <v>384334.83500009502</v>
      </c>
      <c r="C90" s="30">
        <f>Fig1_future_Kaya!S15</f>
        <v>23.260773823128829</v>
      </c>
      <c r="D90" s="9">
        <f>Fig1_future_Kaya!AN15</f>
        <v>0.65939666399999997</v>
      </c>
      <c r="E90" s="9">
        <f>Fig1_future_Kaya!AO15</f>
        <v>0.65939666399999997</v>
      </c>
      <c r="F90" s="9">
        <f>Fig1_future_Kaya!AP15</f>
        <v>0.65939666399999997</v>
      </c>
      <c r="G90" s="9"/>
      <c r="H90" s="266">
        <f t="shared" si="71"/>
        <v>293.87097179105825</v>
      </c>
      <c r="I90" s="266">
        <f t="shared" si="52"/>
        <v>168.97580877985848</v>
      </c>
      <c r="J90" s="266">
        <f t="shared" si="52"/>
        <v>124.89516301119976</v>
      </c>
      <c r="K90" s="266">
        <f t="shared" si="52"/>
        <v>95.508065832093919</v>
      </c>
      <c r="L90" s="266">
        <f t="shared" si="52"/>
        <v>73.467742947764563</v>
      </c>
      <c r="M90" s="266">
        <f t="shared" si="52"/>
        <v>80.814517242541029</v>
      </c>
      <c r="O90" s="50">
        <f t="shared" si="72"/>
        <v>2.6375866559999999</v>
      </c>
      <c r="P90" s="50">
        <f t="shared" si="53"/>
        <v>1.5166123271999998</v>
      </c>
      <c r="Q90" s="158">
        <f t="shared" si="54"/>
        <v>1.1209743287999998</v>
      </c>
      <c r="R90" s="50">
        <f t="shared" si="55"/>
        <v>0.85721566319999998</v>
      </c>
      <c r="S90" s="50">
        <f t="shared" si="56"/>
        <v>0.65939666399999997</v>
      </c>
      <c r="T90" s="50">
        <f t="shared" si="57"/>
        <v>0.72533633040000001</v>
      </c>
      <c r="V90" s="266">
        <f t="shared" si="73"/>
        <v>293.87097179105825</v>
      </c>
      <c r="W90" s="266">
        <f t="shared" si="58"/>
        <v>168.97580877985848</v>
      </c>
      <c r="X90" s="266">
        <f t="shared" si="58"/>
        <v>124.89516301119976</v>
      </c>
      <c r="Y90" s="266">
        <f t="shared" si="58"/>
        <v>95.508065832093919</v>
      </c>
      <c r="Z90" s="266">
        <f t="shared" si="58"/>
        <v>73.467742947764563</v>
      </c>
      <c r="AA90" s="266">
        <f t="shared" si="58"/>
        <v>80.814517242541029</v>
      </c>
      <c r="AC90" s="31">
        <f t="shared" si="59"/>
        <v>2.6271846441731239</v>
      </c>
      <c r="AD90" s="31">
        <f t="shared" si="60"/>
        <v>1.5106311703995459</v>
      </c>
      <c r="AE90" s="158">
        <f t="shared" si="61"/>
        <v>1.1165534737735774</v>
      </c>
      <c r="AF90" s="31">
        <f t="shared" si="62"/>
        <v>0.85383500935626511</v>
      </c>
      <c r="AG90" s="31">
        <f t="shared" si="63"/>
        <v>0.65679616104328098</v>
      </c>
      <c r="AH90" s="31">
        <f t="shared" si="64"/>
        <v>0.72247577714760913</v>
      </c>
      <c r="AJ90" s="266">
        <f t="shared" si="74"/>
        <v>293.87097179105825</v>
      </c>
      <c r="AK90" s="266">
        <f t="shared" si="65"/>
        <v>168.97580877985848</v>
      </c>
      <c r="AL90" s="266">
        <f t="shared" si="65"/>
        <v>124.89516301119976</v>
      </c>
      <c r="AM90" s="266">
        <f t="shared" si="65"/>
        <v>95.508065832093919</v>
      </c>
      <c r="AN90" s="266">
        <f t="shared" si="65"/>
        <v>73.467742947764563</v>
      </c>
      <c r="AO90" s="266">
        <f t="shared" si="65"/>
        <v>80.814517242541029</v>
      </c>
      <c r="AQ90" s="31">
        <f t="shared" si="75"/>
        <v>2.6271846441731239</v>
      </c>
      <c r="AR90" s="31">
        <f t="shared" si="66"/>
        <v>1.5106311703995459</v>
      </c>
      <c r="AS90" s="158">
        <f t="shared" si="67"/>
        <v>1.1165534737735774</v>
      </c>
      <c r="AT90" s="31">
        <f t="shared" si="68"/>
        <v>0.85383500935626511</v>
      </c>
      <c r="AU90" s="31">
        <f t="shared" si="69"/>
        <v>0.65679616104328098</v>
      </c>
      <c r="AV90" s="31">
        <f t="shared" si="70"/>
        <v>0.72247577714760913</v>
      </c>
    </row>
    <row r="91" spans="1:48">
      <c r="A91" s="10">
        <v>2002</v>
      </c>
      <c r="B91" s="9">
        <f>Fig1_future_Kaya!K16</f>
        <v>393788.67300000001</v>
      </c>
      <c r="C91" s="30">
        <f>Fig1_future_Kaya!S16</f>
        <v>22.886139708106437</v>
      </c>
      <c r="D91" s="9">
        <f>Fig1_future_Kaya!AN16</f>
        <v>0.665410422</v>
      </c>
      <c r="E91" s="9">
        <f>Fig1_future_Kaya!AO16</f>
        <v>0.665410422</v>
      </c>
      <c r="F91" s="9">
        <f>Fig1_future_Kaya!AP16</f>
        <v>0.665410422</v>
      </c>
      <c r="G91" s="9"/>
      <c r="H91" s="266">
        <f t="shared" si="71"/>
        <v>293.87097179105825</v>
      </c>
      <c r="I91" s="266">
        <f t="shared" si="52"/>
        <v>168.97580877985848</v>
      </c>
      <c r="J91" s="266">
        <f t="shared" si="52"/>
        <v>124.89516301119976</v>
      </c>
      <c r="K91" s="266">
        <f t="shared" si="52"/>
        <v>95.508065832093919</v>
      </c>
      <c r="L91" s="266">
        <f t="shared" si="52"/>
        <v>73.467742947764563</v>
      </c>
      <c r="M91" s="266">
        <f t="shared" si="52"/>
        <v>80.814517242541029</v>
      </c>
      <c r="O91" s="50">
        <f t="shared" si="72"/>
        <v>2.661641688</v>
      </c>
      <c r="P91" s="50">
        <f t="shared" si="53"/>
        <v>1.5304439705999999</v>
      </c>
      <c r="Q91" s="158">
        <f t="shared" si="54"/>
        <v>1.1311977174000001</v>
      </c>
      <c r="R91" s="50">
        <f t="shared" si="55"/>
        <v>0.86503354860000004</v>
      </c>
      <c r="S91" s="50">
        <f t="shared" si="56"/>
        <v>0.665410422</v>
      </c>
      <c r="T91" s="50">
        <f t="shared" si="57"/>
        <v>0.73195146420000001</v>
      </c>
      <c r="V91" s="266">
        <f t="shared" si="73"/>
        <v>293.87097179105825</v>
      </c>
      <c r="W91" s="266">
        <f t="shared" si="58"/>
        <v>168.97580877985848</v>
      </c>
      <c r="X91" s="266">
        <f t="shared" si="58"/>
        <v>124.89516301119976</v>
      </c>
      <c r="Y91" s="266">
        <f t="shared" si="58"/>
        <v>95.508065832093919</v>
      </c>
      <c r="Z91" s="266">
        <f t="shared" si="58"/>
        <v>73.467742947764563</v>
      </c>
      <c r="AA91" s="266">
        <f t="shared" si="58"/>
        <v>80.814517242541029</v>
      </c>
      <c r="AC91" s="31">
        <f t="shared" si="59"/>
        <v>2.6484541189487851</v>
      </c>
      <c r="AD91" s="31">
        <f t="shared" si="60"/>
        <v>1.5228611183955514</v>
      </c>
      <c r="AE91" s="158">
        <f t="shared" si="61"/>
        <v>1.125593000553234</v>
      </c>
      <c r="AF91" s="31">
        <f t="shared" si="62"/>
        <v>0.8607475886583551</v>
      </c>
      <c r="AG91" s="31">
        <f t="shared" si="63"/>
        <v>0.66211352973719628</v>
      </c>
      <c r="AH91" s="31">
        <f t="shared" si="64"/>
        <v>0.728324882710916</v>
      </c>
      <c r="AJ91" s="266">
        <f t="shared" si="74"/>
        <v>293.87097179105825</v>
      </c>
      <c r="AK91" s="266">
        <f t="shared" si="65"/>
        <v>168.97580877985848</v>
      </c>
      <c r="AL91" s="266">
        <f t="shared" si="65"/>
        <v>124.89516301119976</v>
      </c>
      <c r="AM91" s="266">
        <f t="shared" si="65"/>
        <v>95.508065832093919</v>
      </c>
      <c r="AN91" s="266">
        <f t="shared" si="65"/>
        <v>73.467742947764563</v>
      </c>
      <c r="AO91" s="266">
        <f t="shared" si="65"/>
        <v>80.814517242541029</v>
      </c>
      <c r="AQ91" s="31">
        <f t="shared" si="75"/>
        <v>2.6484541189487851</v>
      </c>
      <c r="AR91" s="31">
        <f t="shared" si="66"/>
        <v>1.5228611183955514</v>
      </c>
      <c r="AS91" s="158">
        <f t="shared" si="67"/>
        <v>1.125593000553234</v>
      </c>
      <c r="AT91" s="31">
        <f t="shared" si="68"/>
        <v>0.8607475886583551</v>
      </c>
      <c r="AU91" s="31">
        <f t="shared" si="69"/>
        <v>0.66211352973719628</v>
      </c>
      <c r="AV91" s="31">
        <f t="shared" si="70"/>
        <v>0.728324882710916</v>
      </c>
    </row>
    <row r="92" spans="1:48">
      <c r="A92" s="10">
        <v>2003</v>
      </c>
      <c r="B92" s="9">
        <f>Fig1_future_Kaya!K17</f>
        <v>410151.19900000002</v>
      </c>
      <c r="C92" s="30">
        <f>Fig1_future_Kaya!S17</f>
        <v>21.848733076497489</v>
      </c>
      <c r="D92" s="9">
        <f>Fig1_future_Kaya!AN17</f>
        <v>0.66125329600000005</v>
      </c>
      <c r="E92" s="9">
        <f>Fig1_future_Kaya!AO17</f>
        <v>0.66125329600000005</v>
      </c>
      <c r="F92" s="9">
        <f>Fig1_future_Kaya!AP17</f>
        <v>0.66125329600000005</v>
      </c>
      <c r="G92" s="9"/>
      <c r="H92" s="266">
        <f t="shared" si="71"/>
        <v>293.87097179105825</v>
      </c>
      <c r="I92" s="266">
        <f t="shared" si="52"/>
        <v>168.97580877985848</v>
      </c>
      <c r="J92" s="266">
        <f t="shared" si="52"/>
        <v>124.89516301119976</v>
      </c>
      <c r="K92" s="266">
        <f t="shared" si="52"/>
        <v>95.508065832093919</v>
      </c>
      <c r="L92" s="266">
        <f t="shared" si="52"/>
        <v>73.467742947764563</v>
      </c>
      <c r="M92" s="266">
        <f t="shared" si="52"/>
        <v>80.814517242541029</v>
      </c>
      <c r="O92" s="50">
        <f t="shared" si="72"/>
        <v>2.6450131840000002</v>
      </c>
      <c r="P92" s="50">
        <f t="shared" si="53"/>
        <v>1.5208825807999999</v>
      </c>
      <c r="Q92" s="158">
        <f t="shared" si="54"/>
        <v>1.1241306032</v>
      </c>
      <c r="R92" s="50">
        <f t="shared" si="55"/>
        <v>0.85962928480000012</v>
      </c>
      <c r="S92" s="50">
        <f t="shared" si="56"/>
        <v>0.66125329600000005</v>
      </c>
      <c r="T92" s="50">
        <f t="shared" si="57"/>
        <v>0.72737862560000011</v>
      </c>
      <c r="V92" s="266">
        <f t="shared" si="73"/>
        <v>293.87097179105825</v>
      </c>
      <c r="W92" s="266">
        <f t="shared" si="58"/>
        <v>168.97580877985848</v>
      </c>
      <c r="X92" s="266">
        <f t="shared" si="58"/>
        <v>124.89516301119976</v>
      </c>
      <c r="Y92" s="266">
        <f t="shared" si="58"/>
        <v>95.508065832093919</v>
      </c>
      <c r="Z92" s="266">
        <f t="shared" si="58"/>
        <v>73.467742947764563</v>
      </c>
      <c r="AA92" s="266">
        <f t="shared" si="58"/>
        <v>80.814517242541029</v>
      </c>
      <c r="AC92" s="31">
        <f t="shared" si="59"/>
        <v>2.6334612575460765</v>
      </c>
      <c r="AD92" s="31">
        <f t="shared" si="60"/>
        <v>1.5142402230889938</v>
      </c>
      <c r="AE92" s="158">
        <f t="shared" si="61"/>
        <v>1.1192210344570825</v>
      </c>
      <c r="AF92" s="31">
        <f t="shared" si="62"/>
        <v>0.85587490870247473</v>
      </c>
      <c r="AG92" s="31">
        <f t="shared" si="63"/>
        <v>0.65836531438651913</v>
      </c>
      <c r="AH92" s="31">
        <f t="shared" si="64"/>
        <v>0.72420184582517111</v>
      </c>
      <c r="AJ92" s="266">
        <f t="shared" si="74"/>
        <v>293.87097179105825</v>
      </c>
      <c r="AK92" s="266">
        <f t="shared" si="65"/>
        <v>168.97580877985848</v>
      </c>
      <c r="AL92" s="266">
        <f t="shared" si="65"/>
        <v>124.89516301119976</v>
      </c>
      <c r="AM92" s="266">
        <f t="shared" si="65"/>
        <v>95.508065832093919</v>
      </c>
      <c r="AN92" s="266">
        <f t="shared" si="65"/>
        <v>73.467742947764563</v>
      </c>
      <c r="AO92" s="266">
        <f t="shared" si="65"/>
        <v>80.814517242541029</v>
      </c>
      <c r="AQ92" s="31">
        <f t="shared" si="75"/>
        <v>2.6334612575460765</v>
      </c>
      <c r="AR92" s="31">
        <f t="shared" si="66"/>
        <v>1.5142402230889938</v>
      </c>
      <c r="AS92" s="158">
        <f t="shared" si="67"/>
        <v>1.1192210344570825</v>
      </c>
      <c r="AT92" s="31">
        <f t="shared" si="68"/>
        <v>0.85587490870247473</v>
      </c>
      <c r="AU92" s="31">
        <f t="shared" si="69"/>
        <v>0.65836531438651913</v>
      </c>
      <c r="AV92" s="31">
        <f t="shared" si="70"/>
        <v>0.72420184582517111</v>
      </c>
    </row>
    <row r="93" spans="1:48">
      <c r="A93" s="10">
        <v>2004</v>
      </c>
      <c r="B93" s="9">
        <f>Fig1_future_Kaya!K18</f>
        <v>462087.94</v>
      </c>
      <c r="C93" s="30">
        <f>Fig1_future_Kaya!S18</f>
        <v>20.631340903864153</v>
      </c>
      <c r="D93" s="9">
        <f>Fig1_future_Kaya!AN18</f>
        <v>0.70393088600000009</v>
      </c>
      <c r="E93" s="9">
        <f>Fig1_future_Kaya!AO18</f>
        <v>0.70393088600000009</v>
      </c>
      <c r="F93" s="9">
        <f>Fig1_future_Kaya!AP18</f>
        <v>0.70393088600000009</v>
      </c>
      <c r="G93" s="9"/>
      <c r="H93" s="266">
        <f t="shared" si="71"/>
        <v>293.87097179105825</v>
      </c>
      <c r="I93" s="266">
        <f t="shared" si="52"/>
        <v>168.97580877985848</v>
      </c>
      <c r="J93" s="266">
        <f t="shared" si="52"/>
        <v>124.89516301119976</v>
      </c>
      <c r="K93" s="266">
        <f t="shared" si="52"/>
        <v>95.508065832093919</v>
      </c>
      <c r="L93" s="266">
        <f t="shared" si="52"/>
        <v>73.467742947764563</v>
      </c>
      <c r="M93" s="266">
        <f t="shared" si="52"/>
        <v>80.814517242541029</v>
      </c>
      <c r="O93" s="50">
        <f t="shared" si="72"/>
        <v>2.8157235440000004</v>
      </c>
      <c r="P93" s="50">
        <f t="shared" si="53"/>
        <v>1.6190410378</v>
      </c>
      <c r="Q93" s="158">
        <f t="shared" si="54"/>
        <v>1.1966825062000002</v>
      </c>
      <c r="R93" s="50">
        <f t="shared" si="55"/>
        <v>0.9151101518000001</v>
      </c>
      <c r="S93" s="50">
        <f t="shared" si="56"/>
        <v>0.70393088600000009</v>
      </c>
      <c r="T93" s="50">
        <f t="shared" si="57"/>
        <v>0.77432397460000013</v>
      </c>
      <c r="V93" s="266">
        <f t="shared" si="73"/>
        <v>293.87097179105825</v>
      </c>
      <c r="W93" s="266">
        <f t="shared" si="58"/>
        <v>168.97580877985848</v>
      </c>
      <c r="X93" s="266">
        <f t="shared" si="58"/>
        <v>124.89516301119976</v>
      </c>
      <c r="Y93" s="266">
        <f t="shared" si="58"/>
        <v>95.508065832093919</v>
      </c>
      <c r="Z93" s="266">
        <f t="shared" si="58"/>
        <v>73.467742947764563</v>
      </c>
      <c r="AA93" s="266">
        <f t="shared" si="58"/>
        <v>80.814517242541029</v>
      </c>
      <c r="AC93" s="31">
        <f t="shared" si="59"/>
        <v>2.8016170927728159</v>
      </c>
      <c r="AD93" s="31">
        <f t="shared" si="60"/>
        <v>1.6109298283443689</v>
      </c>
      <c r="AE93" s="158">
        <f t="shared" si="61"/>
        <v>1.1906872644284465</v>
      </c>
      <c r="AF93" s="31">
        <f t="shared" si="62"/>
        <v>0.91052555515116484</v>
      </c>
      <c r="AG93" s="31">
        <f t="shared" si="63"/>
        <v>0.70040427319320397</v>
      </c>
      <c r="AH93" s="31">
        <f t="shared" si="64"/>
        <v>0.77044470051252434</v>
      </c>
      <c r="AJ93" s="266">
        <f t="shared" si="74"/>
        <v>293.87097179105825</v>
      </c>
      <c r="AK93" s="266">
        <f t="shared" si="65"/>
        <v>168.97580877985848</v>
      </c>
      <c r="AL93" s="266">
        <f t="shared" si="65"/>
        <v>124.89516301119976</v>
      </c>
      <c r="AM93" s="266">
        <f t="shared" si="65"/>
        <v>95.508065832093919</v>
      </c>
      <c r="AN93" s="266">
        <f t="shared" si="65"/>
        <v>73.467742947764563</v>
      </c>
      <c r="AO93" s="266">
        <f t="shared" si="65"/>
        <v>80.814517242541029</v>
      </c>
      <c r="AQ93" s="31">
        <f t="shared" si="75"/>
        <v>2.8016170927728159</v>
      </c>
      <c r="AR93" s="31">
        <f t="shared" si="66"/>
        <v>1.6109298283443689</v>
      </c>
      <c r="AS93" s="158">
        <f t="shared" si="67"/>
        <v>1.1906872644284465</v>
      </c>
      <c r="AT93" s="31">
        <f t="shared" si="68"/>
        <v>0.91052555515116484</v>
      </c>
      <c r="AU93" s="31">
        <f t="shared" si="69"/>
        <v>0.70040427319320397</v>
      </c>
      <c r="AV93" s="31">
        <f t="shared" si="70"/>
        <v>0.77044470051252434</v>
      </c>
    </row>
    <row r="94" spans="1:48">
      <c r="A94" s="10">
        <v>2005</v>
      </c>
      <c r="B94" s="9">
        <f>Fig1_future_Kaya!K19</f>
        <v>490665.603</v>
      </c>
      <c r="C94" s="30">
        <f>Fig1_future_Kaya!S19</f>
        <v>20.284318316323407</v>
      </c>
      <c r="D94" s="9">
        <f>Fig1_future_Kaya!AN19</f>
        <v>0.73205280799999994</v>
      </c>
      <c r="E94" s="9">
        <f>Fig1_future_Kaya!AO19</f>
        <v>0.73205280799999994</v>
      </c>
      <c r="F94" s="9">
        <f>Fig1_future_Kaya!AP19</f>
        <v>0.73205280799999994</v>
      </c>
      <c r="G94" s="9"/>
      <c r="H94" s="266">
        <f t="shared" si="71"/>
        <v>293.87097179105825</v>
      </c>
      <c r="I94" s="266">
        <f t="shared" si="52"/>
        <v>168.97580877985848</v>
      </c>
      <c r="J94" s="266">
        <f t="shared" si="52"/>
        <v>124.89516301119976</v>
      </c>
      <c r="K94" s="266">
        <f t="shared" si="52"/>
        <v>95.508065832093919</v>
      </c>
      <c r="L94" s="266">
        <f t="shared" si="52"/>
        <v>73.467742947764563</v>
      </c>
      <c r="M94" s="266">
        <f t="shared" si="52"/>
        <v>80.814517242541029</v>
      </c>
      <c r="O94" s="50">
        <f t="shared" si="72"/>
        <v>2.9282112319999998</v>
      </c>
      <c r="P94" s="50">
        <f t="shared" si="53"/>
        <v>1.6837214583999998</v>
      </c>
      <c r="Q94" s="158">
        <f t="shared" si="54"/>
        <v>1.2444897735999998</v>
      </c>
      <c r="R94" s="50">
        <f t="shared" si="55"/>
        <v>0.95166865039999993</v>
      </c>
      <c r="S94" s="50">
        <f t="shared" si="56"/>
        <v>0.73205280799999994</v>
      </c>
      <c r="T94" s="50">
        <f t="shared" si="57"/>
        <v>0.80525808880000005</v>
      </c>
      <c r="V94" s="266">
        <f t="shared" si="73"/>
        <v>293.87097179105825</v>
      </c>
      <c r="W94" s="266">
        <f t="shared" si="58"/>
        <v>168.97580877985848</v>
      </c>
      <c r="X94" s="266">
        <f t="shared" si="58"/>
        <v>124.89516301119976</v>
      </c>
      <c r="Y94" s="266">
        <f t="shared" si="58"/>
        <v>95.508065832093919</v>
      </c>
      <c r="Z94" s="266">
        <f t="shared" si="58"/>
        <v>73.467742947764563</v>
      </c>
      <c r="AA94" s="266">
        <f t="shared" si="58"/>
        <v>80.814517242541029</v>
      </c>
      <c r="AC94" s="31">
        <f t="shared" si="59"/>
        <v>2.9248440855807738</v>
      </c>
      <c r="AD94" s="31">
        <f t="shared" si="60"/>
        <v>1.6817853492089447</v>
      </c>
      <c r="AE94" s="158">
        <f t="shared" si="61"/>
        <v>1.2430587363718288</v>
      </c>
      <c r="AF94" s="31">
        <f t="shared" si="62"/>
        <v>0.95057432781375129</v>
      </c>
      <c r="AG94" s="31">
        <f t="shared" si="63"/>
        <v>0.73121102139519345</v>
      </c>
      <c r="AH94" s="31">
        <f t="shared" si="64"/>
        <v>0.80433212353471284</v>
      </c>
      <c r="AJ94" s="266">
        <f t="shared" si="74"/>
        <v>293.87097179105825</v>
      </c>
      <c r="AK94" s="266">
        <f t="shared" si="65"/>
        <v>168.97580877985848</v>
      </c>
      <c r="AL94" s="266">
        <f t="shared" si="65"/>
        <v>124.89516301119976</v>
      </c>
      <c r="AM94" s="266">
        <f t="shared" si="65"/>
        <v>95.508065832093919</v>
      </c>
      <c r="AN94" s="266">
        <f t="shared" si="65"/>
        <v>73.467742947764563</v>
      </c>
      <c r="AO94" s="266">
        <f t="shared" si="65"/>
        <v>80.814517242541029</v>
      </c>
      <c r="AQ94" s="31">
        <f t="shared" si="75"/>
        <v>2.9248440855807738</v>
      </c>
      <c r="AR94" s="31">
        <f t="shared" si="66"/>
        <v>1.6817853492089447</v>
      </c>
      <c r="AS94" s="158">
        <f t="shared" si="67"/>
        <v>1.2430587363718288</v>
      </c>
      <c r="AT94" s="31">
        <f t="shared" si="68"/>
        <v>0.95057432781375129</v>
      </c>
      <c r="AU94" s="31">
        <f t="shared" si="69"/>
        <v>0.73121102139519345</v>
      </c>
      <c r="AV94" s="31">
        <f t="shared" si="70"/>
        <v>0.80433212353471284</v>
      </c>
    </row>
    <row r="95" spans="1:48">
      <c r="A95" s="10">
        <v>2006</v>
      </c>
      <c r="B95" s="9">
        <f>Fig1_future_Kaya!K20</f>
        <v>520142.60399999999</v>
      </c>
      <c r="C95" s="30">
        <f>Fig1_future_Kaya!S20</f>
        <v>19.352307452012091</v>
      </c>
      <c r="D95" s="9">
        <f>Fig1_future_Kaya!AN20</f>
        <v>0.74087568299999995</v>
      </c>
      <c r="E95" s="9">
        <f>Fig1_future_Kaya!AO20</f>
        <v>0.74087568299999995</v>
      </c>
      <c r="F95" s="9">
        <f>Fig1_future_Kaya!AP20</f>
        <v>0.74087568299999995</v>
      </c>
      <c r="G95" s="9"/>
      <c r="H95" s="266">
        <f t="shared" si="71"/>
        <v>293.87097179105825</v>
      </c>
      <c r="I95" s="266">
        <f t="shared" si="71"/>
        <v>168.97580877985848</v>
      </c>
      <c r="J95" s="266">
        <f t="shared" si="71"/>
        <v>124.89516301119976</v>
      </c>
      <c r="K95" s="266">
        <f t="shared" si="71"/>
        <v>95.508065832093919</v>
      </c>
      <c r="L95" s="266">
        <f t="shared" si="71"/>
        <v>73.467742947764563</v>
      </c>
      <c r="M95" s="266">
        <f t="shared" si="71"/>
        <v>80.814517242541029</v>
      </c>
      <c r="O95" s="50">
        <f t="shared" si="72"/>
        <v>2.9635027319999998</v>
      </c>
      <c r="P95" s="50">
        <f t="shared" si="53"/>
        <v>1.7040140708999998</v>
      </c>
      <c r="Q95" s="158">
        <f t="shared" si="54"/>
        <v>1.2594886610999998</v>
      </c>
      <c r="R95" s="50">
        <f t="shared" si="55"/>
        <v>0.96313838789999995</v>
      </c>
      <c r="S95" s="50">
        <f t="shared" si="56"/>
        <v>0.74087568299999995</v>
      </c>
      <c r="T95" s="50">
        <f t="shared" si="57"/>
        <v>0.81496325130000002</v>
      </c>
      <c r="V95" s="266">
        <f t="shared" si="73"/>
        <v>293.87097179105825</v>
      </c>
      <c r="W95" s="266">
        <f t="shared" si="73"/>
        <v>168.97580877985848</v>
      </c>
      <c r="X95" s="266">
        <f t="shared" si="73"/>
        <v>124.89516301119976</v>
      </c>
      <c r="Y95" s="266">
        <f t="shared" si="73"/>
        <v>95.508065832093919</v>
      </c>
      <c r="Z95" s="266">
        <f t="shared" si="73"/>
        <v>73.467742947764563</v>
      </c>
      <c r="AA95" s="266">
        <f t="shared" si="73"/>
        <v>80.814517242541029</v>
      </c>
      <c r="AC95" s="31">
        <f t="shared" si="59"/>
        <v>2.958093327163092</v>
      </c>
      <c r="AD95" s="31">
        <f t="shared" si="60"/>
        <v>1.7009036631187777</v>
      </c>
      <c r="AE95" s="158">
        <f t="shared" si="61"/>
        <v>1.2571896640443141</v>
      </c>
      <c r="AF95" s="31">
        <f t="shared" si="62"/>
        <v>0.96138033132800482</v>
      </c>
      <c r="AG95" s="31">
        <f t="shared" si="63"/>
        <v>0.73952333179077301</v>
      </c>
      <c r="AH95" s="31">
        <f t="shared" si="64"/>
        <v>0.81347566496985046</v>
      </c>
      <c r="AJ95" s="266">
        <f t="shared" si="74"/>
        <v>293.87097179105825</v>
      </c>
      <c r="AK95" s="266">
        <f t="shared" si="74"/>
        <v>168.97580877985848</v>
      </c>
      <c r="AL95" s="266">
        <f t="shared" si="74"/>
        <v>124.89516301119976</v>
      </c>
      <c r="AM95" s="266">
        <f t="shared" si="74"/>
        <v>95.508065832093919</v>
      </c>
      <c r="AN95" s="266">
        <f t="shared" si="74"/>
        <v>73.467742947764563</v>
      </c>
      <c r="AO95" s="266">
        <f t="shared" si="74"/>
        <v>80.814517242541029</v>
      </c>
      <c r="AQ95" s="31">
        <f t="shared" si="75"/>
        <v>2.958093327163092</v>
      </c>
      <c r="AR95" s="31">
        <f t="shared" si="66"/>
        <v>1.7009036631187777</v>
      </c>
      <c r="AS95" s="158">
        <f t="shared" si="67"/>
        <v>1.2571896640443141</v>
      </c>
      <c r="AT95" s="31">
        <f t="shared" si="68"/>
        <v>0.96138033132800482</v>
      </c>
      <c r="AU95" s="31">
        <f t="shared" si="69"/>
        <v>0.73952333179077301</v>
      </c>
      <c r="AV95" s="31">
        <f t="shared" si="70"/>
        <v>0.81347566496985046</v>
      </c>
    </row>
    <row r="96" spans="1:48">
      <c r="A96" s="10">
        <v>2007</v>
      </c>
      <c r="B96" s="9">
        <f>Fig1_future_Kaya!K21</f>
        <v>555537.946</v>
      </c>
      <c r="C96" s="30">
        <f>Fig1_future_Kaya!S21</f>
        <v>18.610761903543839</v>
      </c>
      <c r="D96" s="9">
        <f>Fig1_future_Kaya!AN21</f>
        <v>0.75977471099999994</v>
      </c>
      <c r="E96" s="9">
        <f>Fig1_future_Kaya!AO21</f>
        <v>0.75977471099999994</v>
      </c>
      <c r="F96" s="9">
        <f>Fig1_future_Kaya!AP21</f>
        <v>0.75977471099999994</v>
      </c>
      <c r="G96" s="9"/>
      <c r="H96" s="266">
        <f t="shared" si="71"/>
        <v>293.87097179105825</v>
      </c>
      <c r="I96" s="266">
        <f t="shared" si="71"/>
        <v>168.97580877985848</v>
      </c>
      <c r="J96" s="266">
        <f t="shared" si="71"/>
        <v>124.89516301119976</v>
      </c>
      <c r="K96" s="266">
        <f t="shared" si="71"/>
        <v>95.508065832093919</v>
      </c>
      <c r="L96" s="266">
        <f t="shared" si="71"/>
        <v>73.467742947764563</v>
      </c>
      <c r="M96" s="266">
        <f t="shared" si="71"/>
        <v>80.814517242541029</v>
      </c>
      <c r="O96" s="50">
        <f t="shared" si="72"/>
        <v>3.0390988439999997</v>
      </c>
      <c r="P96" s="50">
        <f t="shared" si="53"/>
        <v>1.7474818352999997</v>
      </c>
      <c r="Q96" s="158">
        <f t="shared" si="54"/>
        <v>1.2916170086999998</v>
      </c>
      <c r="R96" s="50">
        <f t="shared" si="55"/>
        <v>0.98770712429999996</v>
      </c>
      <c r="S96" s="50">
        <f t="shared" si="56"/>
        <v>0.75977471099999994</v>
      </c>
      <c r="T96" s="50">
        <f t="shared" si="57"/>
        <v>0.83575218210000002</v>
      </c>
      <c r="V96" s="266">
        <f t="shared" si="73"/>
        <v>293.87097179105825</v>
      </c>
      <c r="W96" s="266">
        <f t="shared" si="73"/>
        <v>168.97580877985848</v>
      </c>
      <c r="X96" s="266">
        <f t="shared" si="73"/>
        <v>124.89516301119976</v>
      </c>
      <c r="Y96" s="266">
        <f t="shared" si="73"/>
        <v>95.508065832093919</v>
      </c>
      <c r="Z96" s="266">
        <f t="shared" si="73"/>
        <v>73.467742947764563</v>
      </c>
      <c r="AA96" s="266">
        <f t="shared" si="73"/>
        <v>80.814517242541029</v>
      </c>
      <c r="AC96" s="31">
        <f t="shared" si="59"/>
        <v>3.0383274051238502</v>
      </c>
      <c r="AD96" s="31">
        <f t="shared" si="60"/>
        <v>1.7470382579462138</v>
      </c>
      <c r="AE96" s="158">
        <f t="shared" si="61"/>
        <v>1.2912891471776364</v>
      </c>
      <c r="AF96" s="31">
        <f t="shared" si="62"/>
        <v>0.98745640666525114</v>
      </c>
      <c r="AG96" s="31">
        <f t="shared" si="63"/>
        <v>0.75958185128096256</v>
      </c>
      <c r="AH96" s="31">
        <f t="shared" si="64"/>
        <v>0.83554003640905894</v>
      </c>
      <c r="AJ96" s="266">
        <f t="shared" si="74"/>
        <v>293.87097179105825</v>
      </c>
      <c r="AK96" s="266">
        <f t="shared" si="74"/>
        <v>168.97580877985848</v>
      </c>
      <c r="AL96" s="266">
        <f t="shared" si="74"/>
        <v>124.89516301119976</v>
      </c>
      <c r="AM96" s="266">
        <f t="shared" si="74"/>
        <v>95.508065832093919</v>
      </c>
      <c r="AN96" s="266">
        <f t="shared" si="74"/>
        <v>73.467742947764563</v>
      </c>
      <c r="AO96" s="266">
        <f t="shared" si="74"/>
        <v>80.814517242541029</v>
      </c>
      <c r="AQ96" s="31">
        <f t="shared" si="75"/>
        <v>3.0383274051238502</v>
      </c>
      <c r="AR96" s="31">
        <f t="shared" si="66"/>
        <v>1.7470382579462138</v>
      </c>
      <c r="AS96" s="158">
        <f t="shared" si="67"/>
        <v>1.2912891471776364</v>
      </c>
      <c r="AT96" s="31">
        <f t="shared" si="68"/>
        <v>0.98745640666525114</v>
      </c>
      <c r="AU96" s="31">
        <f t="shared" si="69"/>
        <v>0.75958185128096256</v>
      </c>
      <c r="AV96" s="31">
        <f t="shared" si="70"/>
        <v>0.83554003640905894</v>
      </c>
    </row>
    <row r="97" spans="1:48">
      <c r="A97" s="10">
        <v>2008</v>
      </c>
      <c r="B97" s="9">
        <f>Fig1_future_Kaya!K22</f>
        <v>561363.87400000007</v>
      </c>
      <c r="C97" s="30">
        <f>Fig1_future_Kaya!S22</f>
        <v>18.193789300259677</v>
      </c>
      <c r="D97" s="9">
        <f>Fig1_future_Kaya!AN22</f>
        <v>0.75256760900000008</v>
      </c>
      <c r="E97" s="9">
        <f>Fig1_future_Kaya!AO22</f>
        <v>0.75256760900000008</v>
      </c>
      <c r="F97" s="9">
        <f>Fig1_future_Kaya!AP22</f>
        <v>0.75256760900000008</v>
      </c>
      <c r="G97" s="9"/>
      <c r="H97" s="266">
        <f t="shared" si="71"/>
        <v>293.87097179105825</v>
      </c>
      <c r="I97" s="266">
        <f t="shared" si="71"/>
        <v>168.97580877985848</v>
      </c>
      <c r="J97" s="266">
        <f t="shared" si="71"/>
        <v>124.89516301119976</v>
      </c>
      <c r="K97" s="266">
        <f t="shared" si="71"/>
        <v>95.508065832093919</v>
      </c>
      <c r="L97" s="266">
        <f t="shared" si="71"/>
        <v>73.467742947764563</v>
      </c>
      <c r="M97" s="266">
        <f t="shared" si="71"/>
        <v>80.814517242541029</v>
      </c>
      <c r="O97" s="50">
        <f t="shared" si="72"/>
        <v>3.0102704360000003</v>
      </c>
      <c r="P97" s="50">
        <f t="shared" si="53"/>
        <v>1.7309055007</v>
      </c>
      <c r="Q97" s="158">
        <f t="shared" si="54"/>
        <v>1.2793649353000001</v>
      </c>
      <c r="R97" s="50">
        <f t="shared" si="55"/>
        <v>0.97833789170000018</v>
      </c>
      <c r="S97" s="50">
        <f t="shared" si="56"/>
        <v>0.75256760900000008</v>
      </c>
      <c r="T97" s="50">
        <f t="shared" si="57"/>
        <v>0.82782436990000019</v>
      </c>
      <c r="V97" s="266">
        <f t="shared" si="73"/>
        <v>293.87097179105825</v>
      </c>
      <c r="W97" s="266">
        <f t="shared" si="73"/>
        <v>168.97580877985848</v>
      </c>
      <c r="X97" s="266">
        <f t="shared" si="73"/>
        <v>124.89516301119976</v>
      </c>
      <c r="Y97" s="266">
        <f t="shared" si="73"/>
        <v>95.508065832093919</v>
      </c>
      <c r="Z97" s="266">
        <f t="shared" si="73"/>
        <v>73.467742947764563</v>
      </c>
      <c r="AA97" s="266">
        <f t="shared" si="73"/>
        <v>80.814517242541029</v>
      </c>
      <c r="AC97" s="31">
        <f t="shared" si="59"/>
        <v>3.0014029885769351</v>
      </c>
      <c r="AD97" s="31">
        <f t="shared" si="60"/>
        <v>1.7258067184317376</v>
      </c>
      <c r="AE97" s="158">
        <f t="shared" si="61"/>
        <v>1.2755962701451975</v>
      </c>
      <c r="AF97" s="31">
        <f t="shared" si="62"/>
        <v>0.97545597128750383</v>
      </c>
      <c r="AG97" s="31">
        <f t="shared" si="63"/>
        <v>0.75035074714423378</v>
      </c>
      <c r="AH97" s="31">
        <f t="shared" si="64"/>
        <v>0.82538582185865728</v>
      </c>
      <c r="AJ97" s="266">
        <f t="shared" si="74"/>
        <v>293.87097179105825</v>
      </c>
      <c r="AK97" s="266">
        <f t="shared" si="74"/>
        <v>168.97580877985848</v>
      </c>
      <c r="AL97" s="266">
        <f t="shared" si="74"/>
        <v>124.89516301119976</v>
      </c>
      <c r="AM97" s="266">
        <f t="shared" si="74"/>
        <v>95.508065832093919</v>
      </c>
      <c r="AN97" s="266">
        <f t="shared" si="74"/>
        <v>73.467742947764563</v>
      </c>
      <c r="AO97" s="266">
        <f t="shared" si="74"/>
        <v>80.814517242541029</v>
      </c>
      <c r="AQ97" s="31">
        <f t="shared" si="75"/>
        <v>3.0014029885769351</v>
      </c>
      <c r="AR97" s="31">
        <f t="shared" si="66"/>
        <v>1.7258067184317376</v>
      </c>
      <c r="AS97" s="158">
        <f t="shared" si="67"/>
        <v>1.2755962701451975</v>
      </c>
      <c r="AT97" s="31">
        <f t="shared" si="68"/>
        <v>0.97545597128750383</v>
      </c>
      <c r="AU97" s="31">
        <f t="shared" si="69"/>
        <v>0.75035074714423378</v>
      </c>
      <c r="AV97" s="31">
        <f t="shared" si="70"/>
        <v>0.82538582185865728</v>
      </c>
    </row>
    <row r="98" spans="1:48">
      <c r="A98" s="10">
        <v>2009</v>
      </c>
      <c r="B98" s="9">
        <f>Fig1_future_Kaya!K23</f>
        <v>579816.34365439601</v>
      </c>
      <c r="C98" s="30">
        <f>Fig1_future_Kaya!S23</f>
        <v>16.72422930113062</v>
      </c>
      <c r="D98" s="9">
        <f>Fig1_future_Kaya!AN23</f>
        <v>0.71209145900000004</v>
      </c>
      <c r="E98" s="9">
        <f>Fig1_future_Kaya!AO23</f>
        <v>0.71209145900000004</v>
      </c>
      <c r="F98" s="9">
        <f>Fig1_future_Kaya!AP23</f>
        <v>0.71209145900000004</v>
      </c>
      <c r="G98" s="9"/>
      <c r="H98" s="266">
        <f t="shared" si="71"/>
        <v>293.87097179105825</v>
      </c>
      <c r="I98" s="266">
        <f t="shared" si="71"/>
        <v>168.97580877985848</v>
      </c>
      <c r="J98" s="266">
        <f t="shared" si="71"/>
        <v>124.89516301119976</v>
      </c>
      <c r="K98" s="266">
        <f t="shared" si="71"/>
        <v>95.508065832093919</v>
      </c>
      <c r="L98" s="266">
        <f t="shared" si="71"/>
        <v>73.467742947764563</v>
      </c>
      <c r="M98" s="266">
        <f t="shared" si="71"/>
        <v>80.814517242541029</v>
      </c>
      <c r="O98" s="50">
        <f t="shared" si="72"/>
        <v>2.8483658360000002</v>
      </c>
      <c r="P98" s="50">
        <f t="shared" si="53"/>
        <v>1.6378103556999999</v>
      </c>
      <c r="Q98" s="158">
        <f t="shared" si="54"/>
        <v>1.2105554803</v>
      </c>
      <c r="R98" s="50">
        <f t="shared" si="55"/>
        <v>0.92571889670000007</v>
      </c>
      <c r="S98" s="50">
        <f t="shared" si="56"/>
        <v>0.71209145900000004</v>
      </c>
      <c r="T98" s="50">
        <f t="shared" si="57"/>
        <v>0.78330060490000009</v>
      </c>
      <c r="V98" s="266">
        <f t="shared" si="73"/>
        <v>293.87097179105825</v>
      </c>
      <c r="W98" s="266">
        <f t="shared" si="73"/>
        <v>168.97580877985848</v>
      </c>
      <c r="X98" s="266">
        <f t="shared" si="73"/>
        <v>124.89516301119976</v>
      </c>
      <c r="Y98" s="266">
        <f t="shared" si="73"/>
        <v>95.508065832093919</v>
      </c>
      <c r="Z98" s="266">
        <f t="shared" si="73"/>
        <v>73.467742947764563</v>
      </c>
      <c r="AA98" s="266">
        <f t="shared" si="73"/>
        <v>80.814517242541029</v>
      </c>
      <c r="AC98" s="31">
        <f t="shared" si="59"/>
        <v>2.8496613720898671</v>
      </c>
      <c r="AD98" s="31">
        <f t="shared" si="60"/>
        <v>1.6385552889516735</v>
      </c>
      <c r="AE98" s="158">
        <f t="shared" si="61"/>
        <v>1.2111060831381935</v>
      </c>
      <c r="AF98" s="31">
        <f t="shared" si="62"/>
        <v>0.92613994592920657</v>
      </c>
      <c r="AG98" s="31">
        <f t="shared" si="63"/>
        <v>0.71241534302246678</v>
      </c>
      <c r="AH98" s="31">
        <f t="shared" si="64"/>
        <v>0.78365687732471356</v>
      </c>
      <c r="AJ98" s="266">
        <f t="shared" si="74"/>
        <v>293.87097179105825</v>
      </c>
      <c r="AK98" s="266">
        <f t="shared" si="74"/>
        <v>168.97580877985848</v>
      </c>
      <c r="AL98" s="266">
        <f t="shared" si="74"/>
        <v>124.89516301119976</v>
      </c>
      <c r="AM98" s="266">
        <f t="shared" si="74"/>
        <v>95.508065832093919</v>
      </c>
      <c r="AN98" s="266">
        <f t="shared" si="74"/>
        <v>73.467742947764563</v>
      </c>
      <c r="AO98" s="266">
        <f t="shared" si="74"/>
        <v>80.814517242541029</v>
      </c>
      <c r="AQ98" s="31">
        <f t="shared" si="75"/>
        <v>2.8496613720898671</v>
      </c>
      <c r="AR98" s="31">
        <f t="shared" si="66"/>
        <v>1.6385552889516735</v>
      </c>
      <c r="AS98" s="158">
        <f t="shared" si="67"/>
        <v>1.2111060831381935</v>
      </c>
      <c r="AT98" s="31">
        <f t="shared" si="68"/>
        <v>0.92613994592920657</v>
      </c>
      <c r="AU98" s="31">
        <f t="shared" si="69"/>
        <v>0.71241534302246678</v>
      </c>
      <c r="AV98" s="31">
        <f t="shared" si="70"/>
        <v>0.78365687732471356</v>
      </c>
    </row>
    <row r="99" spans="1:48">
      <c r="A99" s="10">
        <v>2010</v>
      </c>
      <c r="B99" s="9">
        <f>Fig1_future_Kaya!K24</f>
        <v>625062.68707797001</v>
      </c>
      <c r="C99" s="30">
        <f>Fig1_future_Kaya!S24</f>
        <v>16.355968316974295</v>
      </c>
      <c r="D99" s="9">
        <f>Fig1_future_Kaya!AN24</f>
        <v>0.75039058400000003</v>
      </c>
      <c r="E99" s="9">
        <f>Fig1_future_Kaya!AO24</f>
        <v>0.75039058400000003</v>
      </c>
      <c r="F99" s="9">
        <f>Fig1_future_Kaya!AP24</f>
        <v>0.75039058400000003</v>
      </c>
      <c r="G99" s="9"/>
      <c r="H99" s="266">
        <f t="shared" si="71"/>
        <v>293.87097179105825</v>
      </c>
      <c r="I99" s="266">
        <f t="shared" si="71"/>
        <v>168.97580877985848</v>
      </c>
      <c r="J99" s="266">
        <f t="shared" si="71"/>
        <v>124.89516301119976</v>
      </c>
      <c r="K99" s="266">
        <f t="shared" si="71"/>
        <v>95.508065832093919</v>
      </c>
      <c r="L99" s="266">
        <f t="shared" si="71"/>
        <v>73.467742947764563</v>
      </c>
      <c r="M99" s="266">
        <f t="shared" si="71"/>
        <v>80.814517242541029</v>
      </c>
      <c r="O99" s="50">
        <f t="shared" si="72"/>
        <v>3.0015623360000001</v>
      </c>
      <c r="P99" s="50">
        <f t="shared" si="53"/>
        <v>1.7258983431999999</v>
      </c>
      <c r="Q99" s="158">
        <f t="shared" si="54"/>
        <v>1.2756639928</v>
      </c>
      <c r="R99" s="50">
        <f t="shared" si="55"/>
        <v>0.9755077592000001</v>
      </c>
      <c r="S99" s="50">
        <f t="shared" si="56"/>
        <v>0.75039058400000003</v>
      </c>
      <c r="T99" s="50">
        <f t="shared" si="57"/>
        <v>0.82542964240000005</v>
      </c>
      <c r="V99" s="266">
        <f t="shared" si="73"/>
        <v>293.87097179105825</v>
      </c>
      <c r="W99" s="266">
        <f t="shared" si="73"/>
        <v>168.97580877985848</v>
      </c>
      <c r="X99" s="266">
        <f t="shared" si="73"/>
        <v>124.89516301119976</v>
      </c>
      <c r="Y99" s="266">
        <f t="shared" si="73"/>
        <v>95.508065832093919</v>
      </c>
      <c r="Z99" s="266">
        <f t="shared" si="73"/>
        <v>73.467742947764563</v>
      </c>
      <c r="AA99" s="266">
        <f t="shared" si="73"/>
        <v>80.814517242541029</v>
      </c>
      <c r="AC99" s="31">
        <f t="shared" si="59"/>
        <v>3.0043914981506665</v>
      </c>
      <c r="AD99" s="31">
        <f t="shared" si="60"/>
        <v>1.7275251114366335</v>
      </c>
      <c r="AE99" s="158">
        <f t="shared" si="61"/>
        <v>1.2768663867140333</v>
      </c>
      <c r="AF99" s="31">
        <f t="shared" si="62"/>
        <v>0.9764272368989666</v>
      </c>
      <c r="AG99" s="31">
        <f t="shared" si="63"/>
        <v>0.75109787453766663</v>
      </c>
      <c r="AH99" s="31">
        <f t="shared" si="64"/>
        <v>0.82620766199143347</v>
      </c>
      <c r="AJ99" s="266">
        <f t="shared" si="74"/>
        <v>293.87097179105825</v>
      </c>
      <c r="AK99" s="266">
        <f t="shared" si="74"/>
        <v>168.97580877985848</v>
      </c>
      <c r="AL99" s="266">
        <f t="shared" si="74"/>
        <v>124.89516301119976</v>
      </c>
      <c r="AM99" s="266">
        <f t="shared" si="74"/>
        <v>95.508065832093919</v>
      </c>
      <c r="AN99" s="266">
        <f t="shared" si="74"/>
        <v>73.467742947764563</v>
      </c>
      <c r="AO99" s="266">
        <f t="shared" si="74"/>
        <v>80.814517242541029</v>
      </c>
      <c r="AQ99" s="31">
        <f t="shared" si="75"/>
        <v>3.0043914981506665</v>
      </c>
      <c r="AR99" s="31">
        <f t="shared" si="66"/>
        <v>1.7275251114366335</v>
      </c>
      <c r="AS99" s="158">
        <f t="shared" si="67"/>
        <v>1.2768663867140333</v>
      </c>
      <c r="AT99" s="31">
        <f t="shared" si="68"/>
        <v>0.9764272368989666</v>
      </c>
      <c r="AU99" s="31">
        <f t="shared" si="69"/>
        <v>0.75109787453766663</v>
      </c>
      <c r="AV99" s="31">
        <f t="shared" si="70"/>
        <v>0.82620766199143347</v>
      </c>
    </row>
    <row r="100" spans="1:48">
      <c r="A100" s="10">
        <v>2011</v>
      </c>
      <c r="B100" s="9">
        <f>Fig1_future_Kaya!K25</f>
        <v>655216.83005902299</v>
      </c>
      <c r="C100" s="30">
        <f>Fig1_future_Kaya!S25</f>
        <v>15.974387215917677</v>
      </c>
      <c r="D100" s="9">
        <f>Fig1_future_Kaya!AN25</f>
        <v>0.77119166600000011</v>
      </c>
      <c r="E100" s="9">
        <f>Fig1_future_Kaya!AO25</f>
        <v>0.77119166600000011</v>
      </c>
      <c r="F100" s="9">
        <f>Fig1_future_Kaya!AP25</f>
        <v>0.77119166600000011</v>
      </c>
      <c r="G100" s="9"/>
      <c r="H100" s="266">
        <f t="shared" si="71"/>
        <v>293.87097179105825</v>
      </c>
      <c r="I100" s="266">
        <f t="shared" si="71"/>
        <v>168.97580877985848</v>
      </c>
      <c r="J100" s="266">
        <f t="shared" si="71"/>
        <v>124.89516301119976</v>
      </c>
      <c r="K100" s="266">
        <f t="shared" si="71"/>
        <v>95.508065832093919</v>
      </c>
      <c r="L100" s="266">
        <f t="shared" si="71"/>
        <v>73.467742947764563</v>
      </c>
      <c r="M100" s="266">
        <f t="shared" si="71"/>
        <v>80.814517242541029</v>
      </c>
      <c r="O100" s="50">
        <f t="shared" si="72"/>
        <v>3.0847666640000004</v>
      </c>
      <c r="P100" s="50">
        <f t="shared" si="53"/>
        <v>1.7737408318000001</v>
      </c>
      <c r="Q100" s="158">
        <f t="shared" si="54"/>
        <v>1.3110258322000001</v>
      </c>
      <c r="R100" s="50">
        <f t="shared" si="55"/>
        <v>1.0025491658000001</v>
      </c>
      <c r="S100" s="50">
        <f t="shared" si="56"/>
        <v>0.77119166600000011</v>
      </c>
      <c r="T100" s="50">
        <f t="shared" si="57"/>
        <v>0.84831083260000018</v>
      </c>
      <c r="V100" s="266">
        <f t="shared" si="73"/>
        <v>293.87097179105825</v>
      </c>
      <c r="W100" s="266">
        <f t="shared" si="73"/>
        <v>168.97580877985848</v>
      </c>
      <c r="X100" s="266">
        <f t="shared" si="73"/>
        <v>124.89516301119976</v>
      </c>
      <c r="Y100" s="266">
        <f t="shared" si="73"/>
        <v>95.508065832093919</v>
      </c>
      <c r="Z100" s="266">
        <f t="shared" si="73"/>
        <v>73.467742947764563</v>
      </c>
      <c r="AA100" s="266">
        <f t="shared" si="73"/>
        <v>80.814517242541029</v>
      </c>
      <c r="AC100" s="31">
        <f t="shared" si="59"/>
        <v>3.0758555840793878</v>
      </c>
      <c r="AD100" s="31">
        <f t="shared" si="60"/>
        <v>1.7686169608456477</v>
      </c>
      <c r="AE100" s="158">
        <f t="shared" si="61"/>
        <v>1.3072386232337396</v>
      </c>
      <c r="AF100" s="31">
        <f t="shared" si="62"/>
        <v>0.99965306482580074</v>
      </c>
      <c r="AG100" s="31">
        <f t="shared" si="63"/>
        <v>0.76896389601984694</v>
      </c>
      <c r="AH100" s="31">
        <f t="shared" si="64"/>
        <v>0.84586028562183169</v>
      </c>
      <c r="AJ100" s="266">
        <f t="shared" si="74"/>
        <v>293.87097179105825</v>
      </c>
      <c r="AK100" s="266">
        <f t="shared" si="74"/>
        <v>168.97580877985848</v>
      </c>
      <c r="AL100" s="266">
        <f t="shared" si="74"/>
        <v>124.89516301119976</v>
      </c>
      <c r="AM100" s="266">
        <f t="shared" si="74"/>
        <v>95.508065832093919</v>
      </c>
      <c r="AN100" s="266">
        <f t="shared" si="74"/>
        <v>73.467742947764563</v>
      </c>
      <c r="AO100" s="266">
        <f t="shared" si="74"/>
        <v>80.814517242541029</v>
      </c>
      <c r="AQ100" s="31">
        <f t="shared" si="75"/>
        <v>3.0758555840793878</v>
      </c>
      <c r="AR100" s="31">
        <f t="shared" si="66"/>
        <v>1.7686169608456477</v>
      </c>
      <c r="AS100" s="158">
        <f t="shared" si="67"/>
        <v>1.3072386232337396</v>
      </c>
      <c r="AT100" s="31">
        <f t="shared" si="68"/>
        <v>0.99965306482580074</v>
      </c>
      <c r="AU100" s="31">
        <f t="shared" si="69"/>
        <v>0.76896389601984694</v>
      </c>
      <c r="AV100" s="31">
        <f t="shared" si="70"/>
        <v>0.84586028562183169</v>
      </c>
    </row>
    <row r="101" spans="1:48">
      <c r="A101" s="10">
        <v>2012</v>
      </c>
      <c r="B101" s="9">
        <f>Fig1_future_Kaya!K26</f>
        <v>672489.35224884306</v>
      </c>
      <c r="C101" s="30">
        <f>Fig1_future_Kaya!S26</f>
        <v>15.677884313364491</v>
      </c>
      <c r="D101" s="9">
        <f>Fig1_future_Kaya!AN26</f>
        <v>0.78059377800000007</v>
      </c>
      <c r="E101" s="9">
        <f>Fig1_future_Kaya!AO26</f>
        <v>0.78059377800000007</v>
      </c>
      <c r="F101" s="9">
        <f>Fig1_future_Kaya!AP26</f>
        <v>0.78059377800000007</v>
      </c>
      <c r="G101" s="9"/>
      <c r="H101" s="266">
        <f t="shared" si="71"/>
        <v>293.87097179105825</v>
      </c>
      <c r="I101" s="266">
        <f t="shared" si="71"/>
        <v>168.97580877985848</v>
      </c>
      <c r="J101" s="266">
        <f t="shared" si="71"/>
        <v>124.89516301119976</v>
      </c>
      <c r="K101" s="266">
        <f t="shared" si="71"/>
        <v>95.508065832093919</v>
      </c>
      <c r="L101" s="266">
        <f t="shared" si="71"/>
        <v>73.467742947764563</v>
      </c>
      <c r="M101" s="266">
        <f t="shared" si="71"/>
        <v>80.814517242541029</v>
      </c>
      <c r="O101" s="50">
        <f t="shared" si="72"/>
        <v>3.1223751120000003</v>
      </c>
      <c r="P101" s="50">
        <f t="shared" si="53"/>
        <v>1.7953656894000001</v>
      </c>
      <c r="Q101" s="158">
        <f t="shared" si="54"/>
        <v>1.3270094226</v>
      </c>
      <c r="R101" s="50">
        <f t="shared" si="55"/>
        <v>1.0147719114000002</v>
      </c>
      <c r="S101" s="50">
        <f t="shared" si="56"/>
        <v>0.78059377800000007</v>
      </c>
      <c r="T101" s="50">
        <f t="shared" si="57"/>
        <v>0.85865315580000012</v>
      </c>
      <c r="V101" s="266">
        <f t="shared" si="73"/>
        <v>293.87097179105825</v>
      </c>
      <c r="W101" s="266">
        <f t="shared" si="73"/>
        <v>168.97580877985848</v>
      </c>
      <c r="X101" s="266">
        <f t="shared" si="73"/>
        <v>124.89516301119976</v>
      </c>
      <c r="Y101" s="266">
        <f t="shared" si="73"/>
        <v>95.508065832093919</v>
      </c>
      <c r="Z101" s="266">
        <f t="shared" si="73"/>
        <v>73.467742947764563</v>
      </c>
      <c r="AA101" s="266">
        <f t="shared" si="73"/>
        <v>80.814517242541029</v>
      </c>
      <c r="AC101" s="31">
        <f t="shared" si="59"/>
        <v>3.0983434468216888</v>
      </c>
      <c r="AD101" s="31">
        <f t="shared" si="60"/>
        <v>1.7815474819224708</v>
      </c>
      <c r="AE101" s="158">
        <f t="shared" si="61"/>
        <v>1.3167959648992176</v>
      </c>
      <c r="AF101" s="31">
        <f t="shared" si="62"/>
        <v>1.0069616202170486</v>
      </c>
      <c r="AG101" s="31">
        <f t="shared" si="63"/>
        <v>0.77458586170542221</v>
      </c>
      <c r="AH101" s="31">
        <f t="shared" si="64"/>
        <v>0.85204444787596445</v>
      </c>
      <c r="AJ101" s="266">
        <f t="shared" si="74"/>
        <v>293.87097179105825</v>
      </c>
      <c r="AK101" s="266">
        <f t="shared" si="74"/>
        <v>168.97580877985848</v>
      </c>
      <c r="AL101" s="266">
        <f t="shared" si="74"/>
        <v>124.89516301119976</v>
      </c>
      <c r="AM101" s="266">
        <f t="shared" si="74"/>
        <v>95.508065832093919</v>
      </c>
      <c r="AN101" s="266">
        <f t="shared" si="74"/>
        <v>73.467742947764563</v>
      </c>
      <c r="AO101" s="266">
        <f t="shared" si="74"/>
        <v>80.814517242541029</v>
      </c>
      <c r="AQ101" s="31">
        <f t="shared" si="75"/>
        <v>3.0983434468216888</v>
      </c>
      <c r="AR101" s="31">
        <f t="shared" si="66"/>
        <v>1.7815474819224708</v>
      </c>
      <c r="AS101" s="158">
        <f t="shared" si="67"/>
        <v>1.3167959648992176</v>
      </c>
      <c r="AT101" s="31">
        <f t="shared" si="68"/>
        <v>1.0069616202170486</v>
      </c>
      <c r="AU101" s="31">
        <f t="shared" si="69"/>
        <v>0.77458586170542221</v>
      </c>
      <c r="AV101" s="31">
        <f t="shared" si="70"/>
        <v>0.85204444787596445</v>
      </c>
    </row>
    <row r="102" spans="1:48">
      <c r="A102" s="10">
        <v>2013</v>
      </c>
      <c r="B102" s="9">
        <f>Fig1_future_Kaya!K27</f>
        <v>700590.30781354802</v>
      </c>
      <c r="C102" s="30">
        <f>Fig1_future_Kaya!S27</f>
        <v>15.529631804717662</v>
      </c>
      <c r="D102" s="9">
        <f>Fig1_future_Kaya!AN27</f>
        <v>0.79993577999999999</v>
      </c>
      <c r="E102" s="9">
        <f>Fig1_future_Kaya!AO27</f>
        <v>0.79993577999999999</v>
      </c>
      <c r="F102" s="9">
        <f>Fig1_future_Kaya!AP27</f>
        <v>0.79993577999999999</v>
      </c>
      <c r="G102" s="9"/>
      <c r="H102" s="266">
        <f t="shared" si="71"/>
        <v>293.87097179105825</v>
      </c>
      <c r="I102" s="266">
        <f t="shared" si="71"/>
        <v>168.97580877985848</v>
      </c>
      <c r="J102" s="266">
        <f t="shared" si="71"/>
        <v>124.89516301119976</v>
      </c>
      <c r="K102" s="266">
        <f t="shared" si="71"/>
        <v>95.508065832093919</v>
      </c>
      <c r="L102" s="266">
        <f t="shared" si="71"/>
        <v>73.467742947764563</v>
      </c>
      <c r="M102" s="266">
        <f t="shared" si="71"/>
        <v>80.814517242541029</v>
      </c>
      <c r="O102" s="50">
        <f t="shared" si="72"/>
        <v>3.1997431199999999</v>
      </c>
      <c r="P102" s="50">
        <f t="shared" si="53"/>
        <v>1.8398522939999997</v>
      </c>
      <c r="Q102" s="158">
        <f t="shared" si="54"/>
        <v>1.359890826</v>
      </c>
      <c r="R102" s="50">
        <f t="shared" si="55"/>
        <v>1.039916514</v>
      </c>
      <c r="S102" s="50">
        <f t="shared" si="56"/>
        <v>0.79993577999999999</v>
      </c>
      <c r="T102" s="50">
        <f t="shared" si="57"/>
        <v>0.87992935800000005</v>
      </c>
      <c r="V102" s="266">
        <f t="shared" si="73"/>
        <v>293.87097179105825</v>
      </c>
      <c r="W102" s="266">
        <f t="shared" si="73"/>
        <v>168.97580877985848</v>
      </c>
      <c r="X102" s="266">
        <f t="shared" si="73"/>
        <v>124.89516301119976</v>
      </c>
      <c r="Y102" s="266">
        <f t="shared" si="73"/>
        <v>95.508065832093919</v>
      </c>
      <c r="Z102" s="266">
        <f t="shared" si="73"/>
        <v>73.467742947764563</v>
      </c>
      <c r="AA102" s="266">
        <f t="shared" si="73"/>
        <v>80.814517242541029</v>
      </c>
      <c r="AC102" s="31">
        <f t="shared" si="59"/>
        <v>3.1972895854920478</v>
      </c>
      <c r="AD102" s="31">
        <f t="shared" si="60"/>
        <v>1.8384415116579274</v>
      </c>
      <c r="AE102" s="158">
        <f t="shared" si="61"/>
        <v>1.3588480738341202</v>
      </c>
      <c r="AF102" s="31">
        <f t="shared" si="62"/>
        <v>1.0391191152849155</v>
      </c>
      <c r="AG102" s="31">
        <f t="shared" si="63"/>
        <v>0.79932239637301195</v>
      </c>
      <c r="AH102" s="31">
        <f t="shared" si="64"/>
        <v>0.87925463601031328</v>
      </c>
      <c r="AJ102" s="266">
        <f t="shared" si="74"/>
        <v>293.87097179105825</v>
      </c>
      <c r="AK102" s="266">
        <f t="shared" si="74"/>
        <v>168.97580877985848</v>
      </c>
      <c r="AL102" s="266">
        <f t="shared" si="74"/>
        <v>124.89516301119976</v>
      </c>
      <c r="AM102" s="266">
        <f t="shared" si="74"/>
        <v>95.508065832093919</v>
      </c>
      <c r="AN102" s="266">
        <f t="shared" si="74"/>
        <v>73.467742947764563</v>
      </c>
      <c r="AO102" s="266">
        <f t="shared" si="74"/>
        <v>80.814517242541029</v>
      </c>
      <c r="AQ102" s="31">
        <f t="shared" si="75"/>
        <v>3.1972895854920478</v>
      </c>
      <c r="AR102" s="31">
        <f t="shared" si="66"/>
        <v>1.8384415116579274</v>
      </c>
      <c r="AS102" s="158">
        <f t="shared" si="67"/>
        <v>1.3588480738341202</v>
      </c>
      <c r="AT102" s="31">
        <f t="shared" si="68"/>
        <v>1.0391191152849155</v>
      </c>
      <c r="AU102" s="31">
        <f t="shared" si="69"/>
        <v>0.79932239637301195</v>
      </c>
      <c r="AV102" s="31">
        <f t="shared" si="70"/>
        <v>0.87925463601031328</v>
      </c>
    </row>
    <row r="103" spans="1:48">
      <c r="A103" s="10">
        <v>2014</v>
      </c>
      <c r="B103" s="9">
        <f>Fig1_future_Kaya!K28</f>
        <v>740956.85946141905</v>
      </c>
      <c r="C103" s="30">
        <f>Fig1_future_Kaya!S28</f>
        <v>15.153670387054609</v>
      </c>
      <c r="D103" s="9">
        <f>Fig1_future_Kaya!AN28</f>
        <v>0.82632976600000008</v>
      </c>
      <c r="E103" s="9">
        <f>Fig1_future_Kaya!AO28</f>
        <v>0.82632976600000008</v>
      </c>
      <c r="F103" s="9">
        <f>Fig1_future_Kaya!AP28</f>
        <v>0.82632976600000008</v>
      </c>
      <c r="G103" s="9"/>
      <c r="H103" s="266">
        <f t="shared" si="71"/>
        <v>293.87097179105825</v>
      </c>
      <c r="I103" s="266">
        <f t="shared" si="71"/>
        <v>168.97580877985848</v>
      </c>
      <c r="J103" s="266">
        <f t="shared" si="71"/>
        <v>124.89516301119976</v>
      </c>
      <c r="K103" s="266">
        <f t="shared" si="71"/>
        <v>95.508065832093919</v>
      </c>
      <c r="L103" s="266">
        <f t="shared" si="71"/>
        <v>73.467742947764563</v>
      </c>
      <c r="M103" s="266">
        <f t="shared" si="71"/>
        <v>80.814517242541029</v>
      </c>
      <c r="O103" s="50">
        <f t="shared" si="72"/>
        <v>3.3053190640000003</v>
      </c>
      <c r="P103" s="50">
        <f t="shared" si="53"/>
        <v>1.9005584618</v>
      </c>
      <c r="Q103" s="158">
        <f t="shared" si="54"/>
        <v>1.4047606022000001</v>
      </c>
      <c r="R103" s="50">
        <f t="shared" si="55"/>
        <v>1.0742286958000002</v>
      </c>
      <c r="S103" s="50">
        <f t="shared" si="56"/>
        <v>0.82632976600000008</v>
      </c>
      <c r="T103" s="50">
        <f t="shared" si="57"/>
        <v>0.90896274260000021</v>
      </c>
      <c r="V103" s="266">
        <f t="shared" si="73"/>
        <v>293.87097179105825</v>
      </c>
      <c r="W103" s="266">
        <f t="shared" si="73"/>
        <v>168.97580877985848</v>
      </c>
      <c r="X103" s="266">
        <f t="shared" si="73"/>
        <v>124.89516301119976</v>
      </c>
      <c r="Y103" s="266">
        <f t="shared" si="73"/>
        <v>95.508065832093919</v>
      </c>
      <c r="Z103" s="266">
        <f t="shared" si="73"/>
        <v>73.467742947764563</v>
      </c>
      <c r="AA103" s="266">
        <f t="shared" si="73"/>
        <v>80.814517242541029</v>
      </c>
      <c r="AC103" s="31">
        <f t="shared" si="59"/>
        <v>3.2996467530732323</v>
      </c>
      <c r="AD103" s="31">
        <f t="shared" si="60"/>
        <v>1.8972968830171082</v>
      </c>
      <c r="AE103" s="158">
        <f t="shared" si="61"/>
        <v>1.4023498700561234</v>
      </c>
      <c r="AF103" s="31">
        <f t="shared" si="62"/>
        <v>1.0723851947488003</v>
      </c>
      <c r="AG103" s="31">
        <f t="shared" si="63"/>
        <v>0.82491168826830807</v>
      </c>
      <c r="AH103" s="31">
        <f t="shared" si="64"/>
        <v>0.9074028570951389</v>
      </c>
      <c r="AJ103" s="266">
        <f t="shared" si="74"/>
        <v>293.87097179105825</v>
      </c>
      <c r="AK103" s="266">
        <f t="shared" si="74"/>
        <v>168.97580877985848</v>
      </c>
      <c r="AL103" s="266">
        <f t="shared" si="74"/>
        <v>124.89516301119976</v>
      </c>
      <c r="AM103" s="266">
        <f t="shared" si="74"/>
        <v>95.508065832093919</v>
      </c>
      <c r="AN103" s="266">
        <f t="shared" si="74"/>
        <v>73.467742947764563</v>
      </c>
      <c r="AO103" s="266">
        <f t="shared" si="74"/>
        <v>80.814517242541029</v>
      </c>
      <c r="AQ103" s="31">
        <f t="shared" si="75"/>
        <v>3.2996467530732323</v>
      </c>
      <c r="AR103" s="31">
        <f t="shared" si="66"/>
        <v>1.8972968830171082</v>
      </c>
      <c r="AS103" s="158">
        <f t="shared" si="67"/>
        <v>1.4023498700561234</v>
      </c>
      <c r="AT103" s="31">
        <f t="shared" si="68"/>
        <v>1.0723851947488003</v>
      </c>
      <c r="AU103" s="31">
        <f t="shared" si="69"/>
        <v>0.82491168826830807</v>
      </c>
      <c r="AV103" s="31">
        <f t="shared" si="70"/>
        <v>0.9074028570951389</v>
      </c>
    </row>
    <row r="104" spans="1:48">
      <c r="A104" s="10">
        <v>2015</v>
      </c>
      <c r="B104" s="9">
        <f>Fig1_future_Kaya!K29</f>
        <v>785595.67631234508</v>
      </c>
      <c r="C104" s="30">
        <f>Fig1_future_Kaya!S29</f>
        <v>15.080854303119143</v>
      </c>
      <c r="D104" s="9">
        <f>Fig1_future_Kaya!AN29</f>
        <v>0.87193010700000007</v>
      </c>
      <c r="E104" s="9">
        <f>Fig1_future_Kaya!AO29</f>
        <v>0.87193010700000007</v>
      </c>
      <c r="F104" s="9">
        <f>Fig1_future_Kaya!AP29</f>
        <v>0.87193010700000007</v>
      </c>
      <c r="G104" s="9"/>
      <c r="H104" s="266">
        <f t="shared" si="71"/>
        <v>293.87097179105825</v>
      </c>
      <c r="I104" s="266">
        <f t="shared" si="71"/>
        <v>168.97580877985848</v>
      </c>
      <c r="J104" s="266">
        <f t="shared" si="71"/>
        <v>124.89516301119976</v>
      </c>
      <c r="K104" s="266">
        <f t="shared" si="71"/>
        <v>95.508065832093919</v>
      </c>
      <c r="L104" s="266">
        <f t="shared" si="71"/>
        <v>73.467742947764563</v>
      </c>
      <c r="M104" s="266">
        <f t="shared" si="71"/>
        <v>80.814517242541029</v>
      </c>
      <c r="O104" s="50">
        <f t="shared" si="72"/>
        <v>3.4877204280000003</v>
      </c>
      <c r="P104" s="50">
        <f t="shared" si="53"/>
        <v>2.0054392460999999</v>
      </c>
      <c r="Q104" s="158">
        <f t="shared" si="54"/>
        <v>1.4822811819000001</v>
      </c>
      <c r="R104" s="50">
        <f t="shared" si="55"/>
        <v>1.1335091391000001</v>
      </c>
      <c r="S104" s="50">
        <f t="shared" si="56"/>
        <v>0.87193010700000007</v>
      </c>
      <c r="T104" s="50">
        <f t="shared" si="57"/>
        <v>0.95912311770000014</v>
      </c>
      <c r="V104" s="266">
        <f t="shared" si="73"/>
        <v>293.87097179105825</v>
      </c>
      <c r="W104" s="266">
        <f t="shared" si="73"/>
        <v>168.97580877985848</v>
      </c>
      <c r="X104" s="266">
        <f t="shared" si="73"/>
        <v>124.89516301119976</v>
      </c>
      <c r="Y104" s="266">
        <f t="shared" si="73"/>
        <v>95.508065832093919</v>
      </c>
      <c r="Z104" s="266">
        <f t="shared" si="73"/>
        <v>73.467742947764563</v>
      </c>
      <c r="AA104" s="266">
        <f t="shared" si="73"/>
        <v>80.814517242541029</v>
      </c>
      <c r="AC104" s="31">
        <f t="shared" si="59"/>
        <v>3.4816228013124517</v>
      </c>
      <c r="AD104" s="31">
        <f t="shared" si="60"/>
        <v>2.0019331107546599</v>
      </c>
      <c r="AE104" s="158">
        <f t="shared" si="61"/>
        <v>1.4796896905577919</v>
      </c>
      <c r="AF104" s="31">
        <f t="shared" si="62"/>
        <v>1.1315274104265465</v>
      </c>
      <c r="AG104" s="31">
        <f t="shared" si="63"/>
        <v>0.87040570032811293</v>
      </c>
      <c r="AH104" s="31">
        <f t="shared" si="64"/>
        <v>0.95744627036092433</v>
      </c>
      <c r="AJ104" s="266">
        <f t="shared" si="74"/>
        <v>293.87097179105825</v>
      </c>
      <c r="AK104" s="266">
        <f t="shared" si="74"/>
        <v>168.97580877985848</v>
      </c>
      <c r="AL104" s="266">
        <f t="shared" si="74"/>
        <v>124.89516301119976</v>
      </c>
      <c r="AM104" s="266">
        <f t="shared" si="74"/>
        <v>95.508065832093919</v>
      </c>
      <c r="AN104" s="266">
        <f t="shared" si="74"/>
        <v>73.467742947764563</v>
      </c>
      <c r="AO104" s="266">
        <f t="shared" si="74"/>
        <v>80.814517242541029</v>
      </c>
      <c r="AQ104" s="31">
        <f t="shared" si="75"/>
        <v>3.4816228013124517</v>
      </c>
      <c r="AR104" s="31">
        <f t="shared" si="66"/>
        <v>2.0019331107546599</v>
      </c>
      <c r="AS104" s="158">
        <f t="shared" si="67"/>
        <v>1.4796896905577919</v>
      </c>
      <c r="AT104" s="31">
        <f t="shared" si="68"/>
        <v>1.1315274104265465</v>
      </c>
      <c r="AU104" s="31">
        <f t="shared" si="69"/>
        <v>0.87040570032811293</v>
      </c>
      <c r="AV104" s="31">
        <f t="shared" si="70"/>
        <v>0.95744627036092433</v>
      </c>
    </row>
    <row r="105" spans="1:48">
      <c r="A105" s="10">
        <v>2016</v>
      </c>
      <c r="B105" s="9">
        <f>Fig1_future_Kaya!K30</f>
        <v>836909.76509403402</v>
      </c>
      <c r="C105" s="30">
        <f>Fig1_future_Kaya!S30</f>
        <v>14.775283399578271</v>
      </c>
      <c r="D105" s="9">
        <f>Fig1_future_Kaya!AN30</f>
        <v>0.91315499400000011</v>
      </c>
      <c r="E105" s="9">
        <f>Fig1_future_Kaya!AO30</f>
        <v>0.91315499400000011</v>
      </c>
      <c r="F105" s="9">
        <f>Fig1_future_Kaya!AP30</f>
        <v>0.91315499400000011</v>
      </c>
      <c r="G105" s="9"/>
      <c r="H105" s="266">
        <f t="shared" si="71"/>
        <v>293.87097179105825</v>
      </c>
      <c r="I105" s="266">
        <f t="shared" si="71"/>
        <v>168.97580877985848</v>
      </c>
      <c r="J105" s="266">
        <f t="shared" si="71"/>
        <v>124.89516301119976</v>
      </c>
      <c r="K105" s="266">
        <f t="shared" si="71"/>
        <v>95.508065832093919</v>
      </c>
      <c r="L105" s="266">
        <f t="shared" si="71"/>
        <v>73.467742947764563</v>
      </c>
      <c r="M105" s="266">
        <f t="shared" si="71"/>
        <v>80.814517242541029</v>
      </c>
      <c r="N105" s="264"/>
      <c r="O105" s="50">
        <f t="shared" si="72"/>
        <v>3.6526199760000004</v>
      </c>
      <c r="P105" s="50">
        <f t="shared" si="53"/>
        <v>2.1002564862000002</v>
      </c>
      <c r="Q105" s="158">
        <f t="shared" si="54"/>
        <v>1.5523634898000001</v>
      </c>
      <c r="R105" s="50">
        <f t="shared" si="55"/>
        <v>1.1871014922000003</v>
      </c>
      <c r="S105" s="50">
        <f t="shared" si="56"/>
        <v>0.91315499400000011</v>
      </c>
      <c r="T105" s="50">
        <f t="shared" si="57"/>
        <v>1.0044704934000002</v>
      </c>
      <c r="V105" s="266">
        <f t="shared" si="73"/>
        <v>293.87097179105825</v>
      </c>
      <c r="W105" s="266">
        <f t="shared" si="73"/>
        <v>168.97580877985848</v>
      </c>
      <c r="X105" s="266">
        <f t="shared" si="73"/>
        <v>124.89516301119976</v>
      </c>
      <c r="Y105" s="266">
        <f t="shared" si="73"/>
        <v>95.508065832093919</v>
      </c>
      <c r="Z105" s="266">
        <f t="shared" si="73"/>
        <v>73.467742947764563</v>
      </c>
      <c r="AA105" s="266">
        <f t="shared" si="73"/>
        <v>80.814517242541029</v>
      </c>
      <c r="AC105" s="31">
        <f t="shared" si="59"/>
        <v>3.6338847054811905</v>
      </c>
      <c r="AD105" s="31">
        <f t="shared" si="60"/>
        <v>2.0894837056516846</v>
      </c>
      <c r="AE105" s="158">
        <f t="shared" si="61"/>
        <v>1.5444009998295061</v>
      </c>
      <c r="AF105" s="31">
        <f t="shared" si="62"/>
        <v>1.1810125292813869</v>
      </c>
      <c r="AG105" s="31">
        <f t="shared" si="63"/>
        <v>0.90847117637029762</v>
      </c>
      <c r="AH105" s="31">
        <f t="shared" si="64"/>
        <v>0.99931829400732763</v>
      </c>
      <c r="AJ105" s="266">
        <f t="shared" si="74"/>
        <v>293.87097179105825</v>
      </c>
      <c r="AK105" s="266">
        <f t="shared" si="74"/>
        <v>168.97580877985848</v>
      </c>
      <c r="AL105" s="266">
        <f t="shared" si="74"/>
        <v>124.89516301119976</v>
      </c>
      <c r="AM105" s="266">
        <f t="shared" si="74"/>
        <v>95.508065832093919</v>
      </c>
      <c r="AN105" s="266">
        <f t="shared" si="74"/>
        <v>73.467742947764563</v>
      </c>
      <c r="AO105" s="266">
        <f t="shared" si="74"/>
        <v>80.814517242541029</v>
      </c>
      <c r="AQ105" s="31">
        <f t="shared" si="75"/>
        <v>3.6338847054811905</v>
      </c>
      <c r="AR105" s="31">
        <f t="shared" si="66"/>
        <v>2.0894837056516846</v>
      </c>
      <c r="AS105" s="158">
        <f t="shared" si="67"/>
        <v>1.5444009998295061</v>
      </c>
      <c r="AT105" s="31">
        <f t="shared" si="68"/>
        <v>1.1810125292813869</v>
      </c>
      <c r="AU105" s="31">
        <f t="shared" si="69"/>
        <v>0.90847117637029762</v>
      </c>
      <c r="AV105" s="31">
        <f t="shared" si="70"/>
        <v>0.99931829400732763</v>
      </c>
    </row>
    <row r="106" spans="1:48">
      <c r="A106" s="10">
        <v>2017</v>
      </c>
      <c r="B106" s="9">
        <f>Fig1_future_Kaya!K31</f>
        <v>905814.44717206201</v>
      </c>
      <c r="C106" s="30">
        <f>Fig1_future_Kaya!S31</f>
        <v>14.555888031102301</v>
      </c>
      <c r="D106" s="9">
        <f>Fig1_future_Kaya!AN31</f>
        <v>0.97062137300000007</v>
      </c>
      <c r="E106" s="9">
        <f>Fig1_future_Kaya!AO31</f>
        <v>0.97062137300000007</v>
      </c>
      <c r="F106" s="9">
        <f>Fig1_future_Kaya!AP31</f>
        <v>0.97062137300000007</v>
      </c>
      <c r="G106" s="9"/>
      <c r="H106" s="266">
        <f t="shared" si="71"/>
        <v>293.87097179105825</v>
      </c>
      <c r="I106" s="266">
        <f t="shared" si="71"/>
        <v>168.97580877985848</v>
      </c>
      <c r="J106" s="266">
        <f t="shared" si="71"/>
        <v>124.89516301119976</v>
      </c>
      <c r="K106" s="266">
        <f t="shared" si="71"/>
        <v>95.508065832093919</v>
      </c>
      <c r="L106" s="266">
        <f t="shared" si="71"/>
        <v>73.467742947764563</v>
      </c>
      <c r="M106" s="266">
        <f t="shared" si="71"/>
        <v>80.814517242541029</v>
      </c>
      <c r="N106" s="264"/>
      <c r="O106" s="50">
        <f t="shared" si="72"/>
        <v>3.8824854920000003</v>
      </c>
      <c r="P106" s="50">
        <f t="shared" si="53"/>
        <v>2.2324291579</v>
      </c>
      <c r="Q106" s="158">
        <f t="shared" si="54"/>
        <v>1.6500563341000001</v>
      </c>
      <c r="R106" s="50">
        <f t="shared" si="55"/>
        <v>1.2618077849000002</v>
      </c>
      <c r="S106" s="50">
        <f t="shared" si="56"/>
        <v>0.97062137300000007</v>
      </c>
      <c r="T106" s="50">
        <f t="shared" si="57"/>
        <v>1.0676835103000002</v>
      </c>
      <c r="V106" s="266">
        <f t="shared" si="73"/>
        <v>293.87097179105825</v>
      </c>
      <c r="W106" s="266">
        <f t="shared" si="73"/>
        <v>168.97580877985848</v>
      </c>
      <c r="X106" s="266">
        <f t="shared" si="73"/>
        <v>124.89516301119976</v>
      </c>
      <c r="Y106" s="266">
        <f t="shared" si="73"/>
        <v>95.508065832093919</v>
      </c>
      <c r="Z106" s="266">
        <f t="shared" si="73"/>
        <v>73.467742947764563</v>
      </c>
      <c r="AA106" s="266">
        <f t="shared" si="73"/>
        <v>80.814517242541029</v>
      </c>
      <c r="AC106" s="31">
        <f t="shared" si="59"/>
        <v>3.8746692706010064</v>
      </c>
      <c r="AD106" s="31">
        <f t="shared" si="60"/>
        <v>2.2279348305955788</v>
      </c>
      <c r="AE106" s="158">
        <f t="shared" si="61"/>
        <v>1.6467344400054278</v>
      </c>
      <c r="AF106" s="31">
        <f t="shared" si="62"/>
        <v>1.259267512945327</v>
      </c>
      <c r="AG106" s="31">
        <f t="shared" si="63"/>
        <v>0.9686673176502516</v>
      </c>
      <c r="AH106" s="31">
        <f t="shared" si="64"/>
        <v>1.065534049415277</v>
      </c>
      <c r="AJ106" s="266">
        <f t="shared" si="74"/>
        <v>293.87097179105825</v>
      </c>
      <c r="AK106" s="266">
        <f t="shared" si="74"/>
        <v>168.97580877985848</v>
      </c>
      <c r="AL106" s="266">
        <f t="shared" si="74"/>
        <v>124.89516301119976</v>
      </c>
      <c r="AM106" s="266">
        <f t="shared" si="74"/>
        <v>95.508065832093919</v>
      </c>
      <c r="AN106" s="266">
        <f t="shared" si="74"/>
        <v>73.467742947764563</v>
      </c>
      <c r="AO106" s="266">
        <f t="shared" si="74"/>
        <v>80.814517242541029</v>
      </c>
      <c r="AQ106" s="31">
        <f t="shared" si="75"/>
        <v>3.8746692706010064</v>
      </c>
      <c r="AR106" s="31">
        <f t="shared" si="66"/>
        <v>2.2279348305955788</v>
      </c>
      <c r="AS106" s="158">
        <f t="shared" si="67"/>
        <v>1.6467344400054278</v>
      </c>
      <c r="AT106" s="31">
        <f t="shared" si="68"/>
        <v>1.259267512945327</v>
      </c>
      <c r="AU106" s="31">
        <f t="shared" si="69"/>
        <v>0.9686673176502516</v>
      </c>
      <c r="AV106" s="31">
        <f t="shared" si="70"/>
        <v>1.065534049415277</v>
      </c>
    </row>
    <row r="107" spans="1:48">
      <c r="A107" s="10">
        <v>2018</v>
      </c>
      <c r="B107" s="9">
        <f>Fig1_future_Kaya!K32</f>
        <v>954497.96583072376</v>
      </c>
      <c r="C107" s="30">
        <f>Fig1_future_Kaya!S32</f>
        <v>14.424016294141925</v>
      </c>
      <c r="D107" s="9">
        <f>Fig1_future_Kaya!AN32</f>
        <v>1.007615221</v>
      </c>
      <c r="E107" s="9">
        <f>Fig1_future_Kaya!AO32</f>
        <v>1.007615221</v>
      </c>
      <c r="F107" s="9">
        <f>Fig1_future_Kaya!AP32</f>
        <v>1.007615221</v>
      </c>
      <c r="G107" s="9"/>
      <c r="H107" s="266">
        <f t="shared" si="71"/>
        <v>293.87097179105825</v>
      </c>
      <c r="I107" s="266">
        <f t="shared" si="71"/>
        <v>168.97580877985848</v>
      </c>
      <c r="J107" s="266">
        <f t="shared" si="71"/>
        <v>124.89516301119976</v>
      </c>
      <c r="K107" s="266">
        <f t="shared" si="71"/>
        <v>95.508065832093919</v>
      </c>
      <c r="L107" s="266">
        <f t="shared" si="71"/>
        <v>73.467742947764563</v>
      </c>
      <c r="M107" s="266">
        <f t="shared" si="71"/>
        <v>80.814517242541029</v>
      </c>
      <c r="N107" s="264"/>
      <c r="O107" s="50">
        <f t="shared" si="72"/>
        <v>4.030460884</v>
      </c>
      <c r="P107" s="50">
        <f t="shared" si="53"/>
        <v>2.3175150083</v>
      </c>
      <c r="Q107" s="158">
        <f t="shared" si="54"/>
        <v>1.7129458757</v>
      </c>
      <c r="R107" s="50">
        <f t="shared" si="55"/>
        <v>1.3098997873</v>
      </c>
      <c r="S107" s="50">
        <f t="shared" si="56"/>
        <v>1.007615221</v>
      </c>
      <c r="T107" s="50">
        <f t="shared" si="57"/>
        <v>1.1083767431</v>
      </c>
      <c r="V107" s="266">
        <f t="shared" si="73"/>
        <v>293.87097179105825</v>
      </c>
      <c r="W107" s="266">
        <f t="shared" si="73"/>
        <v>168.97580877985848</v>
      </c>
      <c r="X107" s="266">
        <f t="shared" si="73"/>
        <v>124.89516301119976</v>
      </c>
      <c r="Y107" s="266">
        <f t="shared" si="73"/>
        <v>95.508065832093919</v>
      </c>
      <c r="Z107" s="266">
        <f t="shared" si="73"/>
        <v>73.467742947764563</v>
      </c>
      <c r="AA107" s="266">
        <f t="shared" si="73"/>
        <v>80.814517242541029</v>
      </c>
      <c r="AC107" s="31">
        <f t="shared" si="59"/>
        <v>4.0459256773636838</v>
      </c>
      <c r="AD107" s="31">
        <f t="shared" si="60"/>
        <v>2.3264072644841178</v>
      </c>
      <c r="AE107" s="158">
        <f t="shared" si="61"/>
        <v>1.7195184128795655</v>
      </c>
      <c r="AF107" s="31">
        <f t="shared" si="62"/>
        <v>1.3149258451431971</v>
      </c>
      <c r="AG107" s="31">
        <f t="shared" si="63"/>
        <v>1.011481419340921</v>
      </c>
      <c r="AH107" s="31">
        <f t="shared" si="64"/>
        <v>1.1126295612750132</v>
      </c>
      <c r="AJ107" s="266">
        <f t="shared" si="74"/>
        <v>293.87097179105825</v>
      </c>
      <c r="AK107" s="266">
        <f t="shared" si="74"/>
        <v>168.97580877985848</v>
      </c>
      <c r="AL107" s="266">
        <f t="shared" si="74"/>
        <v>124.89516301119976</v>
      </c>
      <c r="AM107" s="266">
        <f t="shared" si="74"/>
        <v>95.508065832093919</v>
      </c>
      <c r="AN107" s="266">
        <f t="shared" si="74"/>
        <v>73.467742947764563</v>
      </c>
      <c r="AO107" s="266">
        <f t="shared" si="74"/>
        <v>80.814517242541029</v>
      </c>
      <c r="AQ107" s="31">
        <f t="shared" si="75"/>
        <v>4.0459256773636838</v>
      </c>
      <c r="AR107" s="31">
        <f t="shared" si="66"/>
        <v>2.3264072644841178</v>
      </c>
      <c r="AS107" s="158">
        <f t="shared" si="67"/>
        <v>1.7195184128795655</v>
      </c>
      <c r="AT107" s="31">
        <f t="shared" si="68"/>
        <v>1.3149258451431971</v>
      </c>
      <c r="AU107" s="31">
        <f t="shared" si="69"/>
        <v>1.011481419340921</v>
      </c>
      <c r="AV107" s="31">
        <f t="shared" si="70"/>
        <v>1.1126295612750132</v>
      </c>
    </row>
    <row r="108" spans="1:48">
      <c r="A108" s="10">
        <v>2019</v>
      </c>
      <c r="B108" s="9">
        <f>Fig1_future_Kaya!K33</f>
        <v>995212.48929121357</v>
      </c>
      <c r="C108" s="30">
        <f>Fig1_future_Kaya!S33</f>
        <v>14.046170256969022</v>
      </c>
      <c r="D108" s="9">
        <f>Fig1_future_Kaya!AN33</f>
        <v>1.0269999999999999</v>
      </c>
      <c r="E108" s="9">
        <f>Fig1_future_Kaya!AO33</f>
        <v>1.0269999999999999</v>
      </c>
      <c r="F108" s="9">
        <f>Fig1_future_Kaya!AP33</f>
        <v>1.0269999999999999</v>
      </c>
      <c r="G108" s="9"/>
      <c r="H108" s="266">
        <f t="shared" si="71"/>
        <v>293.87097179105825</v>
      </c>
      <c r="I108" s="266">
        <f t="shared" si="71"/>
        <v>168.97580877985848</v>
      </c>
      <c r="J108" s="266">
        <f t="shared" si="71"/>
        <v>124.89516301119976</v>
      </c>
      <c r="K108" s="266">
        <f t="shared" si="71"/>
        <v>95.508065832093919</v>
      </c>
      <c r="L108" s="266">
        <f t="shared" si="71"/>
        <v>73.467742947764563</v>
      </c>
      <c r="M108" s="266">
        <f t="shared" si="71"/>
        <v>80.814517242541029</v>
      </c>
      <c r="N108" s="264"/>
      <c r="O108" s="50">
        <f t="shared" si="72"/>
        <v>4.1079999999999997</v>
      </c>
      <c r="P108" s="50">
        <f t="shared" si="53"/>
        <v>2.3620999999999994</v>
      </c>
      <c r="Q108" s="158">
        <f t="shared" si="54"/>
        <v>1.7458999999999998</v>
      </c>
      <c r="R108" s="50">
        <f t="shared" si="55"/>
        <v>1.3351</v>
      </c>
      <c r="S108" s="50">
        <f t="shared" si="56"/>
        <v>1.0269999999999999</v>
      </c>
      <c r="T108" s="50">
        <f t="shared" si="57"/>
        <v>1.1296999999999999</v>
      </c>
      <c r="V108" s="266">
        <f t="shared" si="73"/>
        <v>293.87097179105825</v>
      </c>
      <c r="W108" s="266">
        <f t="shared" si="73"/>
        <v>168.97580877985848</v>
      </c>
      <c r="X108" s="266">
        <f t="shared" si="73"/>
        <v>124.89516301119976</v>
      </c>
      <c r="Y108" s="266">
        <f t="shared" si="73"/>
        <v>95.508065832093919</v>
      </c>
      <c r="Z108" s="266">
        <f t="shared" si="73"/>
        <v>73.467742947764563</v>
      </c>
      <c r="AA108" s="266">
        <f t="shared" si="73"/>
        <v>80.814517242541029</v>
      </c>
      <c r="AC108" s="31">
        <f t="shared" si="59"/>
        <v>4.1079999999999988</v>
      </c>
      <c r="AD108" s="31">
        <f t="shared" si="60"/>
        <v>2.3620999999999994</v>
      </c>
      <c r="AE108" s="158">
        <f t="shared" si="61"/>
        <v>1.7458999999999998</v>
      </c>
      <c r="AF108" s="31">
        <f t="shared" si="62"/>
        <v>1.3350999999999995</v>
      </c>
      <c r="AG108" s="31">
        <f t="shared" si="63"/>
        <v>1.0269999999999997</v>
      </c>
      <c r="AH108" s="31">
        <f t="shared" si="64"/>
        <v>1.1296999999999999</v>
      </c>
      <c r="AJ108" s="266">
        <f t="shared" si="74"/>
        <v>293.87097179105825</v>
      </c>
      <c r="AK108" s="266">
        <f t="shared" si="74"/>
        <v>168.97580877985848</v>
      </c>
      <c r="AL108" s="266">
        <f t="shared" si="74"/>
        <v>124.89516301119976</v>
      </c>
      <c r="AM108" s="266">
        <f t="shared" si="74"/>
        <v>95.508065832093919</v>
      </c>
      <c r="AN108" s="266">
        <f t="shared" si="74"/>
        <v>73.467742947764563</v>
      </c>
      <c r="AO108" s="266">
        <f t="shared" si="74"/>
        <v>80.814517242541029</v>
      </c>
      <c r="AQ108" s="31">
        <f t="shared" si="75"/>
        <v>4.1079999999999988</v>
      </c>
      <c r="AR108" s="31">
        <f t="shared" si="66"/>
        <v>2.3620999999999994</v>
      </c>
      <c r="AS108" s="158">
        <f t="shared" si="67"/>
        <v>1.7458999999999998</v>
      </c>
      <c r="AT108" s="31">
        <f t="shared" si="68"/>
        <v>1.3350999999999995</v>
      </c>
      <c r="AU108" s="31">
        <f t="shared" si="69"/>
        <v>1.0269999999999997</v>
      </c>
      <c r="AV108" s="31">
        <f t="shared" si="70"/>
        <v>1.1296999999999999</v>
      </c>
    </row>
    <row r="109" spans="1:48">
      <c r="A109" s="10">
        <v>2020</v>
      </c>
      <c r="B109" s="9">
        <f>Fig1_future_Kaya!K34</f>
        <v>449630.976503552</v>
      </c>
      <c r="C109" s="30">
        <f>Fig1_future_Kaya!S34</f>
        <v>18.345083922942074</v>
      </c>
      <c r="D109" s="9">
        <f>Fig1_future_Kaya!AN34</f>
        <v>0.60599999999999998</v>
      </c>
      <c r="E109" s="9">
        <f>Fig1_future_Kaya!AO34</f>
        <v>0.60599999999999998</v>
      </c>
      <c r="F109" s="9">
        <f>Fig1_future_Kaya!AP34</f>
        <v>0.60599999999999998</v>
      </c>
      <c r="G109" s="9"/>
      <c r="H109" s="266">
        <f t="shared" si="71"/>
        <v>293.87097179105825</v>
      </c>
      <c r="I109" s="266">
        <f t="shared" si="71"/>
        <v>168.97580877985848</v>
      </c>
      <c r="J109" s="266">
        <f t="shared" si="71"/>
        <v>124.89516301119976</v>
      </c>
      <c r="K109" s="266">
        <f t="shared" si="71"/>
        <v>95.508065832093919</v>
      </c>
      <c r="L109" s="266">
        <f t="shared" si="71"/>
        <v>73.467742947764563</v>
      </c>
      <c r="M109" s="266">
        <f t="shared" si="71"/>
        <v>80.814517242541029</v>
      </c>
      <c r="N109" s="264"/>
      <c r="O109" s="50">
        <f t="shared" si="72"/>
        <v>2.4239999999999999</v>
      </c>
      <c r="P109" s="50">
        <f t="shared" si="53"/>
        <v>1.3937999999999999</v>
      </c>
      <c r="Q109" s="158">
        <f t="shared" si="54"/>
        <v>1.0302</v>
      </c>
      <c r="R109" s="50">
        <f t="shared" si="55"/>
        <v>0.78780000000000006</v>
      </c>
      <c r="S109" s="50">
        <f t="shared" si="56"/>
        <v>0.60599999999999998</v>
      </c>
      <c r="T109" s="50">
        <f t="shared" si="57"/>
        <v>0.66660000000000008</v>
      </c>
      <c r="V109" s="266">
        <f t="shared" si="73"/>
        <v>293.87097179105825</v>
      </c>
      <c r="W109" s="266">
        <f t="shared" si="73"/>
        <v>168.97580877985848</v>
      </c>
      <c r="X109" s="266">
        <f t="shared" si="73"/>
        <v>124.89516301119976</v>
      </c>
      <c r="Y109" s="266">
        <f t="shared" si="73"/>
        <v>95.508065832093919</v>
      </c>
      <c r="Z109" s="266">
        <f t="shared" si="73"/>
        <v>73.467742947764563</v>
      </c>
      <c r="AA109" s="266">
        <f t="shared" si="73"/>
        <v>80.814517242541029</v>
      </c>
      <c r="AC109" s="31">
        <f t="shared" si="59"/>
        <v>2.4239999999999986</v>
      </c>
      <c r="AD109" s="31">
        <f t="shared" si="60"/>
        <v>1.3937999999999993</v>
      </c>
      <c r="AE109" s="158">
        <f t="shared" si="61"/>
        <v>1.0301999999999996</v>
      </c>
      <c r="AF109" s="31">
        <f t="shared" si="62"/>
        <v>0.7877999999999995</v>
      </c>
      <c r="AG109" s="31">
        <f t="shared" si="63"/>
        <v>0.60599999999999965</v>
      </c>
      <c r="AH109" s="31">
        <f t="shared" si="64"/>
        <v>0.66659999999999975</v>
      </c>
      <c r="AJ109" s="266">
        <f t="shared" si="74"/>
        <v>293.87097179105825</v>
      </c>
      <c r="AK109" s="266">
        <f t="shared" si="74"/>
        <v>168.97580877985848</v>
      </c>
      <c r="AL109" s="266">
        <f t="shared" si="74"/>
        <v>124.89516301119976</v>
      </c>
      <c r="AM109" s="266">
        <f t="shared" si="74"/>
        <v>95.508065832093919</v>
      </c>
      <c r="AN109" s="266">
        <f t="shared" si="74"/>
        <v>73.467742947764563</v>
      </c>
      <c r="AO109" s="266">
        <f t="shared" si="74"/>
        <v>80.814517242541029</v>
      </c>
      <c r="AQ109" s="31">
        <f t="shared" si="75"/>
        <v>2.4239999999999986</v>
      </c>
      <c r="AR109" s="31">
        <f t="shared" si="66"/>
        <v>1.3937999999999993</v>
      </c>
      <c r="AS109" s="158">
        <f t="shared" si="67"/>
        <v>1.0301999999999996</v>
      </c>
      <c r="AT109" s="31">
        <f t="shared" si="68"/>
        <v>0.7877999999999995</v>
      </c>
      <c r="AU109" s="31">
        <f t="shared" si="69"/>
        <v>0.60599999999999965</v>
      </c>
      <c r="AV109" s="31">
        <f t="shared" si="70"/>
        <v>0.66659999999999975</v>
      </c>
    </row>
    <row r="110" spans="1:48" s="45" customFormat="1" ht="17" thickBot="1">
      <c r="A110" s="76">
        <v>2021</v>
      </c>
      <c r="B110" s="77">
        <f>Fig1_future_Kaya!K35</f>
        <v>786165.89525788592</v>
      </c>
      <c r="C110" s="98">
        <f>Fig1_future_Kaya!S35</f>
        <v>12.574809105739336</v>
      </c>
      <c r="D110" s="77">
        <f>Fig1_future_Kaya!AN35</f>
        <v>0.72629373574285117</v>
      </c>
      <c r="E110" s="77">
        <f>Fig1_future_Kaya!AO35</f>
        <v>0.72629373574285117</v>
      </c>
      <c r="F110" s="77">
        <f>Fig1_future_Kaya!AP35</f>
        <v>0.72629373574285117</v>
      </c>
      <c r="G110" s="77"/>
      <c r="H110" s="270">
        <f t="shared" si="71"/>
        <v>293.87097179105825</v>
      </c>
      <c r="I110" s="270">
        <f t="shared" si="71"/>
        <v>168.97580877985848</v>
      </c>
      <c r="J110" s="270">
        <f t="shared" si="71"/>
        <v>124.89516301119976</v>
      </c>
      <c r="K110" s="270">
        <f t="shared" si="71"/>
        <v>95.508065832093919</v>
      </c>
      <c r="L110" s="270">
        <f t="shared" si="71"/>
        <v>73.467742947764563</v>
      </c>
      <c r="M110" s="270">
        <f t="shared" si="71"/>
        <v>80.814517242541029</v>
      </c>
      <c r="N110" s="265"/>
      <c r="O110" s="78">
        <f t="shared" si="72"/>
        <v>2.9051749429714047</v>
      </c>
      <c r="P110" s="78">
        <f t="shared" si="53"/>
        <v>1.6704755922085575</v>
      </c>
      <c r="Q110" s="274">
        <f t="shared" si="54"/>
        <v>1.234699350762847</v>
      </c>
      <c r="R110" s="78">
        <f t="shared" si="55"/>
        <v>0.94418185646570651</v>
      </c>
      <c r="S110" s="78">
        <f t="shared" si="56"/>
        <v>0.72629373574285117</v>
      </c>
      <c r="T110" s="78">
        <f t="shared" si="57"/>
        <v>0.79892310931713639</v>
      </c>
      <c r="V110" s="270">
        <f t="shared" si="73"/>
        <v>293.87097179105825</v>
      </c>
      <c r="W110" s="270">
        <f t="shared" si="73"/>
        <v>168.97580877985848</v>
      </c>
      <c r="X110" s="270">
        <f t="shared" si="73"/>
        <v>124.89516301119976</v>
      </c>
      <c r="Y110" s="270">
        <f t="shared" si="73"/>
        <v>95.508065832093919</v>
      </c>
      <c r="Z110" s="270">
        <f t="shared" si="73"/>
        <v>73.467742947764563</v>
      </c>
      <c r="AA110" s="270">
        <f t="shared" si="73"/>
        <v>80.814517242541029</v>
      </c>
      <c r="AC110" s="148">
        <f t="shared" si="59"/>
        <v>2.9051749429714051</v>
      </c>
      <c r="AD110" s="148">
        <f t="shared" si="60"/>
        <v>1.6704755922085577</v>
      </c>
      <c r="AE110" s="274">
        <f t="shared" si="61"/>
        <v>1.2346993507628472</v>
      </c>
      <c r="AF110" s="148">
        <f t="shared" si="62"/>
        <v>0.94418185646570651</v>
      </c>
      <c r="AG110" s="148">
        <f t="shared" si="63"/>
        <v>0.72629373574285128</v>
      </c>
      <c r="AH110" s="148">
        <f t="shared" si="64"/>
        <v>0.79892310931713639</v>
      </c>
      <c r="AJ110" s="270">
        <f t="shared" si="74"/>
        <v>293.87097179105825</v>
      </c>
      <c r="AK110" s="270">
        <f t="shared" si="74"/>
        <v>168.97580877985848</v>
      </c>
      <c r="AL110" s="270">
        <f t="shared" si="74"/>
        <v>124.89516301119976</v>
      </c>
      <c r="AM110" s="270">
        <f t="shared" si="74"/>
        <v>95.508065832093919</v>
      </c>
      <c r="AN110" s="270">
        <f t="shared" si="74"/>
        <v>73.467742947764563</v>
      </c>
      <c r="AO110" s="270">
        <f t="shared" si="74"/>
        <v>80.814517242541029</v>
      </c>
      <c r="AQ110" s="148">
        <f t="shared" si="75"/>
        <v>2.9051749429714051</v>
      </c>
      <c r="AR110" s="148">
        <f t="shared" si="66"/>
        <v>1.6704755922085577</v>
      </c>
      <c r="AS110" s="274">
        <f t="shared" si="67"/>
        <v>1.2346993507628472</v>
      </c>
      <c r="AT110" s="148">
        <f t="shared" si="68"/>
        <v>0.94418185646570651</v>
      </c>
      <c r="AU110" s="148">
        <f t="shared" si="69"/>
        <v>0.72629373574285128</v>
      </c>
      <c r="AV110" s="148">
        <f t="shared" si="70"/>
        <v>0.79892310931713639</v>
      </c>
    </row>
    <row r="111" spans="1:48">
      <c r="A111" s="10">
        <v>2022</v>
      </c>
      <c r="B111" s="9">
        <f>Fig1_future_Kaya!K36</f>
        <v>867894.65695589618</v>
      </c>
      <c r="C111" s="30">
        <f>Fig1_future_Kaya!S36</f>
        <v>12.323312923624549</v>
      </c>
      <c r="D111" s="9">
        <f>Fig1_future_Kaya!AN36</f>
        <v>0.78576230195852748</v>
      </c>
      <c r="E111" s="9">
        <f>Fig1_future_Kaya!AO36</f>
        <v>0.78576230195852748</v>
      </c>
      <c r="F111" s="9">
        <f>Fig1_future_Kaya!AP36</f>
        <v>0.78576230195852748</v>
      </c>
      <c r="G111" s="31"/>
      <c r="H111" s="266">
        <f>H43</f>
        <v>293.87097179105825</v>
      </c>
      <c r="I111" s="266">
        <f t="shared" ref="I111:M111" si="76">I43</f>
        <v>168.97580877985848</v>
      </c>
      <c r="J111" s="266">
        <f t="shared" si="76"/>
        <v>124.89516301119976</v>
      </c>
      <c r="K111" s="266">
        <f t="shared" si="76"/>
        <v>95.508065832093919</v>
      </c>
      <c r="L111" s="266">
        <f t="shared" si="76"/>
        <v>73.467742947764563</v>
      </c>
      <c r="M111" s="266">
        <f t="shared" si="76"/>
        <v>80.814517242541029</v>
      </c>
      <c r="N111" s="264"/>
      <c r="O111" s="50">
        <f>($B111*$C111*H111)/10^9</f>
        <v>3.1430492078341099</v>
      </c>
      <c r="P111" s="50">
        <f t="shared" ref="P111:P139" si="77">($B111*$C111*I111)/10^9</f>
        <v>1.8072532945046129</v>
      </c>
      <c r="Q111" s="158">
        <f t="shared" ref="Q111:Q139" si="78">($B111*$C111*J111)/10^9</f>
        <v>1.3357959133294965</v>
      </c>
      <c r="R111" s="50">
        <f t="shared" ref="R111:R139" si="79">($B111*$C111*K111)/10^9</f>
        <v>1.0214909925460856</v>
      </c>
      <c r="S111" s="50">
        <f t="shared" ref="S111:S139" si="80">($B111*$C111*L111)/10^9</f>
        <v>0.78576230195852748</v>
      </c>
      <c r="T111" s="50">
        <f t="shared" ref="T111:T139" si="81">($B111*$C111*M111)/10^9</f>
        <v>0.86433853215438017</v>
      </c>
      <c r="V111" s="267">
        <f>V43</f>
        <v>293.87097179105825</v>
      </c>
      <c r="W111" s="267">
        <f t="shared" ref="W111:AA111" si="82">W43</f>
        <v>168.97580877985848</v>
      </c>
      <c r="X111" s="267">
        <f t="shared" si="82"/>
        <v>124.89516301119976</v>
      </c>
      <c r="Y111" s="267">
        <f t="shared" si="82"/>
        <v>95.508065832093919</v>
      </c>
      <c r="Z111" s="267">
        <f t="shared" si="82"/>
        <v>73.467742947764563</v>
      </c>
      <c r="AA111" s="267">
        <f t="shared" si="82"/>
        <v>80.814517242541029</v>
      </c>
      <c r="AC111" s="31">
        <f>($B111*$C111*V111)/10^9</f>
        <v>3.1430492078341099</v>
      </c>
      <c r="AD111" s="31">
        <f t="shared" si="60"/>
        <v>1.8072532945046129</v>
      </c>
      <c r="AE111" s="158">
        <f t="shared" si="61"/>
        <v>1.3357959133294965</v>
      </c>
      <c r="AF111" s="31">
        <f t="shared" si="62"/>
        <v>1.0214909925460856</v>
      </c>
      <c r="AG111" s="31">
        <f t="shared" si="63"/>
        <v>0.78576230195852748</v>
      </c>
      <c r="AH111" s="31">
        <f t="shared" si="64"/>
        <v>0.86433853215438017</v>
      </c>
      <c r="AJ111" s="266">
        <f>AJ43</f>
        <v>293.87097179105825</v>
      </c>
      <c r="AK111" s="266">
        <f t="shared" ref="AK111:AO111" si="83">AK43</f>
        <v>168.97580877985848</v>
      </c>
      <c r="AL111" s="266">
        <f t="shared" si="83"/>
        <v>124.89516301119976</v>
      </c>
      <c r="AM111" s="266">
        <f t="shared" si="83"/>
        <v>95.508065832093919</v>
      </c>
      <c r="AN111" s="266">
        <f t="shared" si="83"/>
        <v>73.467742947764563</v>
      </c>
      <c r="AO111" s="266">
        <f t="shared" si="83"/>
        <v>80.814517242541029</v>
      </c>
      <c r="AQ111" s="31">
        <f>($B111*$C111*AJ111)/10^9</f>
        <v>3.1430492078341099</v>
      </c>
      <c r="AR111" s="31">
        <f t="shared" si="66"/>
        <v>1.8072532945046129</v>
      </c>
      <c r="AS111" s="158">
        <f t="shared" si="67"/>
        <v>1.3357959133294965</v>
      </c>
      <c r="AT111" s="31">
        <f t="shared" si="68"/>
        <v>1.0214909925460856</v>
      </c>
      <c r="AU111" s="31">
        <f t="shared" si="69"/>
        <v>0.78576230195852748</v>
      </c>
      <c r="AV111" s="31">
        <f t="shared" si="70"/>
        <v>0.86433853215438017</v>
      </c>
    </row>
    <row r="112" spans="1:48">
      <c r="A112" s="10">
        <v>2023</v>
      </c>
      <c r="B112" s="9">
        <f>Fig1_future_Kaya!K37</f>
        <v>949784.97854664188</v>
      </c>
      <c r="C112" s="30">
        <f>Fig1_future_Kaya!S37</f>
        <v>12.076846665152058</v>
      </c>
      <c r="D112" s="9">
        <f>Fig1_future_Kaya!AN37</f>
        <v>0.84270495344625407</v>
      </c>
      <c r="E112" s="9">
        <f>Fig1_future_Kaya!AO37</f>
        <v>0.83708692042327904</v>
      </c>
      <c r="F112" s="9">
        <f>Fig1_future_Kaya!AP37</f>
        <v>0.81260834796603076</v>
      </c>
      <c r="H112" s="266">
        <f t="shared" ref="H112:M112" si="84">H44</f>
        <v>293.87097179105825</v>
      </c>
      <c r="I112" s="266">
        <f t="shared" si="84"/>
        <v>168.97580877985848</v>
      </c>
      <c r="J112" s="266">
        <f t="shared" si="84"/>
        <v>124.89516301119976</v>
      </c>
      <c r="K112" s="266">
        <f t="shared" si="84"/>
        <v>95.508065832093919</v>
      </c>
      <c r="L112" s="266">
        <f t="shared" si="84"/>
        <v>73.467742947764563</v>
      </c>
      <c r="M112" s="266">
        <f t="shared" si="84"/>
        <v>80.814517242541029</v>
      </c>
      <c r="N112" s="264"/>
      <c r="O112" s="50">
        <f t="shared" ref="O112:O139" si="85">($B112*$C112*H112)/10^9</f>
        <v>3.3708198137850163</v>
      </c>
      <c r="P112" s="50">
        <f t="shared" si="77"/>
        <v>1.9382213929263841</v>
      </c>
      <c r="Q112" s="158">
        <f t="shared" si="78"/>
        <v>1.4325984208586318</v>
      </c>
      <c r="R112" s="50">
        <f t="shared" si="79"/>
        <v>1.09551643948013</v>
      </c>
      <c r="S112" s="50">
        <f t="shared" si="80"/>
        <v>0.84270495344625407</v>
      </c>
      <c r="T112" s="50">
        <f t="shared" si="81"/>
        <v>0.92697544879087945</v>
      </c>
      <c r="V112" s="267">
        <f t="shared" ref="V112:AA112" si="86">V44</f>
        <v>293.38118683807318</v>
      </c>
      <c r="W112" s="267">
        <f t="shared" si="86"/>
        <v>168.48602382687341</v>
      </c>
      <c r="X112" s="267">
        <f t="shared" si="86"/>
        <v>124.40537805821467</v>
      </c>
      <c r="Y112" s="267">
        <f t="shared" si="86"/>
        <v>95.018280879108829</v>
      </c>
      <c r="Z112" s="267">
        <f t="shared" si="86"/>
        <v>72.977957994779473</v>
      </c>
      <c r="AA112" s="267">
        <f t="shared" si="86"/>
        <v>80.324732289555939</v>
      </c>
      <c r="AC112" s="31">
        <f t="shared" ref="AC112:AC139" si="87">($B112*$C112*V112)/10^9</f>
        <v>3.3652017807620411</v>
      </c>
      <c r="AD112" s="31">
        <f t="shared" si="60"/>
        <v>1.9326033599034091</v>
      </c>
      <c r="AE112" s="158">
        <f t="shared" si="61"/>
        <v>1.4269803878356568</v>
      </c>
      <c r="AF112" s="31">
        <f t="shared" si="62"/>
        <v>1.0898984064571553</v>
      </c>
      <c r="AG112" s="31">
        <f t="shared" si="63"/>
        <v>0.83708692042327904</v>
      </c>
      <c r="AH112" s="31">
        <f t="shared" si="64"/>
        <v>0.92135741576790453</v>
      </c>
      <c r="AJ112" s="266">
        <f t="shared" ref="AJ112:AO112" si="88">AJ44</f>
        <v>291.24712382863811</v>
      </c>
      <c r="AK112" s="266">
        <f t="shared" si="88"/>
        <v>166.35196081743831</v>
      </c>
      <c r="AL112" s="266">
        <f t="shared" si="88"/>
        <v>122.2713150487796</v>
      </c>
      <c r="AM112" s="266">
        <f t="shared" si="88"/>
        <v>92.884217869673748</v>
      </c>
      <c r="AN112" s="266">
        <f t="shared" si="88"/>
        <v>70.843894985344406</v>
      </c>
      <c r="AO112" s="266">
        <f t="shared" si="88"/>
        <v>78.190669280120872</v>
      </c>
      <c r="AQ112" s="31">
        <f t="shared" ref="AQ112:AQ138" si="89">($B112*$C112*AJ112)/10^9</f>
        <v>3.3407232083047931</v>
      </c>
      <c r="AR112" s="31">
        <f t="shared" si="66"/>
        <v>1.9081247874461607</v>
      </c>
      <c r="AS112" s="158">
        <f t="shared" si="67"/>
        <v>1.4025018153784083</v>
      </c>
      <c r="AT112" s="31">
        <f t="shared" si="68"/>
        <v>1.0654198339999066</v>
      </c>
      <c r="AU112" s="31">
        <f t="shared" si="69"/>
        <v>0.81260834796603076</v>
      </c>
      <c r="AV112" s="31">
        <f t="shared" si="70"/>
        <v>0.89687884331065615</v>
      </c>
    </row>
    <row r="113" spans="1:48">
      <c r="A113" s="10">
        <v>2024</v>
      </c>
      <c r="B113" s="9">
        <f>Fig1_future_Kaya!K38</f>
        <v>1031841.0605873335</v>
      </c>
      <c r="C113" s="30">
        <f>Fig1_future_Kaya!S38</f>
        <v>11.835309731849016</v>
      </c>
      <c r="D113" s="9">
        <f>Fig1_future_Kaya!AN38</f>
        <v>0.8971997249015361</v>
      </c>
      <c r="E113" s="9">
        <f>Fig1_future_Kaya!AO38</f>
        <v>0.88523706190284901</v>
      </c>
      <c r="F113" s="9">
        <f>Fig1_future_Kaya!AP38</f>
        <v>0.83311403026571207</v>
      </c>
      <c r="H113" s="266">
        <f t="shared" ref="H113:M113" si="90">H45</f>
        <v>293.87097179105825</v>
      </c>
      <c r="I113" s="266">
        <f t="shared" si="90"/>
        <v>168.97580877985848</v>
      </c>
      <c r="J113" s="266">
        <f t="shared" si="90"/>
        <v>124.89516301119976</v>
      </c>
      <c r="K113" s="266">
        <f t="shared" si="90"/>
        <v>95.508065832093919</v>
      </c>
      <c r="L113" s="266">
        <f t="shared" si="90"/>
        <v>73.467742947764563</v>
      </c>
      <c r="M113" s="266">
        <f t="shared" si="90"/>
        <v>80.814517242541029</v>
      </c>
      <c r="N113" s="264"/>
      <c r="O113" s="50">
        <f t="shared" si="85"/>
        <v>3.5887988996061444</v>
      </c>
      <c r="P113" s="50">
        <f t="shared" si="77"/>
        <v>2.0635593672735331</v>
      </c>
      <c r="Q113" s="158">
        <f t="shared" si="78"/>
        <v>1.5252395323326113</v>
      </c>
      <c r="R113" s="50">
        <f t="shared" si="79"/>
        <v>1.1663596423719969</v>
      </c>
      <c r="S113" s="50">
        <f t="shared" si="80"/>
        <v>0.8971997249015361</v>
      </c>
      <c r="T113" s="50">
        <f t="shared" si="81"/>
        <v>0.98691969739168983</v>
      </c>
      <c r="V113" s="267">
        <f t="shared" ref="V113:AA113" si="91">V45</f>
        <v>292.89140188508804</v>
      </c>
      <c r="W113" s="267">
        <f t="shared" si="91"/>
        <v>167.99623887388827</v>
      </c>
      <c r="X113" s="267">
        <f t="shared" si="91"/>
        <v>123.91559310522956</v>
      </c>
      <c r="Y113" s="267">
        <f t="shared" si="91"/>
        <v>94.528495926123725</v>
      </c>
      <c r="Z113" s="267">
        <f t="shared" si="91"/>
        <v>72.488173041794369</v>
      </c>
      <c r="AA113" s="267">
        <f t="shared" si="91"/>
        <v>79.834947336570849</v>
      </c>
      <c r="AC113" s="31">
        <f t="shared" si="87"/>
        <v>3.5768362366074573</v>
      </c>
      <c r="AD113" s="31">
        <f t="shared" si="60"/>
        <v>2.0515967042748455</v>
      </c>
      <c r="AE113" s="158">
        <f t="shared" si="61"/>
        <v>1.5132768693339242</v>
      </c>
      <c r="AF113" s="31">
        <f t="shared" si="62"/>
        <v>1.1543969793733095</v>
      </c>
      <c r="AG113" s="31">
        <f t="shared" si="63"/>
        <v>0.88523706190284901</v>
      </c>
      <c r="AH113" s="31">
        <f t="shared" si="64"/>
        <v>0.97495703439300285</v>
      </c>
      <c r="AJ113" s="266">
        <f t="shared" ref="AJ113:AO113" si="92">AJ45</f>
        <v>288.62327586621791</v>
      </c>
      <c r="AK113" s="266">
        <f t="shared" si="92"/>
        <v>163.72811285501814</v>
      </c>
      <c r="AL113" s="266">
        <f t="shared" si="92"/>
        <v>119.64746708635944</v>
      </c>
      <c r="AM113" s="266">
        <f t="shared" si="92"/>
        <v>90.26036990725359</v>
      </c>
      <c r="AN113" s="266">
        <f t="shared" si="92"/>
        <v>68.220047022924234</v>
      </c>
      <c r="AO113" s="266">
        <f t="shared" si="92"/>
        <v>75.566821317700715</v>
      </c>
      <c r="AQ113" s="31">
        <f t="shared" si="89"/>
        <v>3.52471320497032</v>
      </c>
      <c r="AR113" s="31">
        <f t="shared" si="66"/>
        <v>1.9994736726377087</v>
      </c>
      <c r="AS113" s="158">
        <f t="shared" si="67"/>
        <v>1.4611538376967876</v>
      </c>
      <c r="AT113" s="31">
        <f t="shared" si="68"/>
        <v>1.1022739477361727</v>
      </c>
      <c r="AU113" s="31">
        <f t="shared" si="69"/>
        <v>0.83311403026571207</v>
      </c>
      <c r="AV113" s="31">
        <f t="shared" si="70"/>
        <v>0.92283400275586591</v>
      </c>
    </row>
    <row r="114" spans="1:48">
      <c r="A114" s="10">
        <v>2025</v>
      </c>
      <c r="B114" s="9">
        <f>Fig1_future_Kaya!K39</f>
        <v>1060990.0783529128</v>
      </c>
      <c r="C114" s="30">
        <f>Fig1_future_Kaya!S39</f>
        <v>11.598603537212036</v>
      </c>
      <c r="D114" s="9">
        <f>Fig1_future_Kaya!AN39</f>
        <v>0.90409428537575154</v>
      </c>
      <c r="E114" s="9">
        <f>Fig1_future_Kaya!AO39</f>
        <v>0.88362371023873088</v>
      </c>
      <c r="F114" s="9">
        <f>Fig1_future_Kaya!AP39</f>
        <v>0.79885671704781036</v>
      </c>
      <c r="H114" s="266">
        <f t="shared" ref="H114:M114" si="93">H46</f>
        <v>293.87097179105825</v>
      </c>
      <c r="I114" s="266">
        <f t="shared" si="93"/>
        <v>168.97580877985848</v>
      </c>
      <c r="J114" s="266">
        <f t="shared" si="93"/>
        <v>124.89516301119976</v>
      </c>
      <c r="K114" s="266">
        <f t="shared" si="93"/>
        <v>95.508065832093919</v>
      </c>
      <c r="L114" s="266">
        <f t="shared" si="93"/>
        <v>73.467742947764563</v>
      </c>
      <c r="M114" s="266">
        <f t="shared" si="93"/>
        <v>80.814517242541029</v>
      </c>
      <c r="N114" s="264"/>
      <c r="O114" s="50">
        <f t="shared" si="85"/>
        <v>3.6163771415030062</v>
      </c>
      <c r="P114" s="50">
        <f t="shared" si="77"/>
        <v>2.0794168563642286</v>
      </c>
      <c r="Q114" s="158">
        <f t="shared" si="78"/>
        <v>1.5369602851387776</v>
      </c>
      <c r="R114" s="50">
        <f t="shared" si="79"/>
        <v>1.1753225709884767</v>
      </c>
      <c r="S114" s="50">
        <f t="shared" si="80"/>
        <v>0.90409428537575154</v>
      </c>
      <c r="T114" s="50">
        <f t="shared" si="81"/>
        <v>0.99450371391332681</v>
      </c>
      <c r="V114" s="267">
        <f t="shared" ref="V114:AA114" si="94">V46</f>
        <v>291.61330217285399</v>
      </c>
      <c r="W114" s="267">
        <f t="shared" si="94"/>
        <v>167.05485652113242</v>
      </c>
      <c r="X114" s="267">
        <f t="shared" si="94"/>
        <v>123.09305217346602</v>
      </c>
      <c r="Y114" s="267">
        <f t="shared" si="94"/>
        <v>93.785182608355058</v>
      </c>
      <c r="Z114" s="267">
        <f t="shared" si="94"/>
        <v>71.804280434521843</v>
      </c>
      <c r="AA114" s="267">
        <f t="shared" si="94"/>
        <v>79.131247825799591</v>
      </c>
      <c r="AC114" s="31">
        <f t="shared" si="87"/>
        <v>3.5885942517858664</v>
      </c>
      <c r="AD114" s="31">
        <f t="shared" si="60"/>
        <v>2.0557776115758224</v>
      </c>
      <c r="AE114" s="158">
        <f t="shared" si="61"/>
        <v>1.5147835032663961</v>
      </c>
      <c r="AF114" s="31">
        <f t="shared" si="62"/>
        <v>1.1541207643934446</v>
      </c>
      <c r="AG114" s="31">
        <f t="shared" si="63"/>
        <v>0.88362371023873088</v>
      </c>
      <c r="AH114" s="31">
        <f t="shared" si="64"/>
        <v>0.97378939495696892</v>
      </c>
      <c r="AJ114" s="266">
        <f t="shared" ref="AJ114:AO114" si="95">AJ46</f>
        <v>283.03383383599532</v>
      </c>
      <c r="AK114" s="266">
        <f t="shared" si="95"/>
        <v>159.43373759201936</v>
      </c>
      <c r="AL114" s="266">
        <f t="shared" si="95"/>
        <v>115.81017421179257</v>
      </c>
      <c r="AM114" s="266">
        <f t="shared" si="95"/>
        <v>86.727798624974696</v>
      </c>
      <c r="AN114" s="266">
        <f t="shared" si="95"/>
        <v>64.916016934861318</v>
      </c>
      <c r="AO114" s="266">
        <f t="shared" si="95"/>
        <v>72.186610831565787</v>
      </c>
      <c r="AQ114" s="31">
        <f t="shared" si="89"/>
        <v>3.4830152863284534</v>
      </c>
      <c r="AR114" s="31">
        <f t="shared" si="66"/>
        <v>1.961992097069422</v>
      </c>
      <c r="AS114" s="158">
        <f t="shared" si="67"/>
        <v>1.4251603832132935</v>
      </c>
      <c r="AT114" s="31">
        <f t="shared" si="68"/>
        <v>1.0672725739758744</v>
      </c>
      <c r="AU114" s="31">
        <f t="shared" si="69"/>
        <v>0.79885671704781047</v>
      </c>
      <c r="AV114" s="31">
        <f t="shared" si="70"/>
        <v>0.88832866935716526</v>
      </c>
    </row>
    <row r="115" spans="1:48">
      <c r="A115" s="10">
        <v>2026</v>
      </c>
      <c r="B115" s="9">
        <f>Fig1_future_Kaya!K40</f>
        <v>1090964.2839359157</v>
      </c>
      <c r="C115" s="30">
        <f>Fig1_future_Kaya!S40</f>
        <v>11.366631466467794</v>
      </c>
      <c r="D115" s="9">
        <f>Fig1_future_Kaya!AN40</f>
        <v>0.9110432820097315</v>
      </c>
      <c r="E115" s="9">
        <f>Fig1_future_Kaya!AO40</f>
        <v>0.88220907990602027</v>
      </c>
      <c r="F115" s="9">
        <f>Fig1_future_Kaya!AP40</f>
        <v>0.76469969652505632</v>
      </c>
      <c r="H115" s="266">
        <f t="shared" ref="H115:M115" si="96">H47</f>
        <v>293.87097179105825</v>
      </c>
      <c r="I115" s="266">
        <f t="shared" si="96"/>
        <v>168.97580877985848</v>
      </c>
      <c r="J115" s="266">
        <f t="shared" si="96"/>
        <v>124.89516301119976</v>
      </c>
      <c r="K115" s="266">
        <f t="shared" si="96"/>
        <v>95.508065832093919</v>
      </c>
      <c r="L115" s="266">
        <f t="shared" si="96"/>
        <v>73.467742947764563</v>
      </c>
      <c r="M115" s="266">
        <f t="shared" si="96"/>
        <v>80.814517242541029</v>
      </c>
      <c r="N115" s="264"/>
      <c r="O115" s="50">
        <f t="shared" si="85"/>
        <v>3.644173128038926</v>
      </c>
      <c r="P115" s="50">
        <f t="shared" si="77"/>
        <v>2.0953995486223822</v>
      </c>
      <c r="Q115" s="158">
        <f t="shared" si="78"/>
        <v>1.5487735794165436</v>
      </c>
      <c r="R115" s="50">
        <f t="shared" si="79"/>
        <v>1.1843562666126508</v>
      </c>
      <c r="S115" s="50">
        <f t="shared" si="80"/>
        <v>0.9110432820097315</v>
      </c>
      <c r="T115" s="50">
        <f t="shared" si="81"/>
        <v>1.0021476102107048</v>
      </c>
      <c r="V115" s="267">
        <f t="shared" ref="V115:AA115" si="97">V47</f>
        <v>290.35732914238719</v>
      </c>
      <c r="W115" s="267">
        <f t="shared" si="97"/>
        <v>166.13560085014382</v>
      </c>
      <c r="X115" s="267">
        <f t="shared" si="97"/>
        <v>122.2926379234697</v>
      </c>
      <c r="Y115" s="267">
        <f t="shared" si="97"/>
        <v>93.063995972353609</v>
      </c>
      <c r="Z115" s="267">
        <f t="shared" si="97"/>
        <v>71.14251450901655</v>
      </c>
      <c r="AA115" s="267">
        <f t="shared" si="97"/>
        <v>78.449674996795579</v>
      </c>
      <c r="AC115" s="31">
        <f t="shared" si="87"/>
        <v>3.6006018898054251</v>
      </c>
      <c r="AD115" s="31">
        <f t="shared" si="60"/>
        <v>2.0601792975290958</v>
      </c>
      <c r="AE115" s="158">
        <f t="shared" si="61"/>
        <v>1.5165007355492148</v>
      </c>
      <c r="AF115" s="31">
        <f t="shared" si="62"/>
        <v>1.1540483608959606</v>
      </c>
      <c r="AG115" s="31">
        <f t="shared" si="63"/>
        <v>0.88220907990602027</v>
      </c>
      <c r="AH115" s="31">
        <f t="shared" si="64"/>
        <v>0.97282217356933376</v>
      </c>
      <c r="AJ115" s="266">
        <f t="shared" ref="AJ115:AO115" si="98">AJ47</f>
        <v>277.49880637582407</v>
      </c>
      <c r="AK115" s="266">
        <f t="shared" si="98"/>
        <v>155.19377689907202</v>
      </c>
      <c r="AL115" s="266">
        <f t="shared" si="98"/>
        <v>112.02729590727715</v>
      </c>
      <c r="AM115" s="266">
        <f t="shared" si="98"/>
        <v>83.249641912747222</v>
      </c>
      <c r="AN115" s="266">
        <f t="shared" si="98"/>
        <v>61.666401416849808</v>
      </c>
      <c r="AO115" s="266">
        <f t="shared" si="98"/>
        <v>68.860814915482294</v>
      </c>
      <c r="AQ115" s="31">
        <f t="shared" si="89"/>
        <v>3.4411486343627526</v>
      </c>
      <c r="AR115" s="31">
        <f t="shared" si="66"/>
        <v>1.9244942362547253</v>
      </c>
      <c r="AS115" s="158">
        <f t="shared" si="67"/>
        <v>1.3892044486871855</v>
      </c>
      <c r="AT115" s="31">
        <f t="shared" si="68"/>
        <v>1.0323445903088257</v>
      </c>
      <c r="AU115" s="31">
        <f t="shared" si="69"/>
        <v>0.76469969652505632</v>
      </c>
      <c r="AV115" s="31">
        <f t="shared" si="70"/>
        <v>0.85391466111964631</v>
      </c>
    </row>
    <row r="116" spans="1:48">
      <c r="A116" s="10">
        <v>2027</v>
      </c>
      <c r="B116" s="9">
        <f>Fig1_future_Kaya!K41</f>
        <v>1121787.0843069055</v>
      </c>
      <c r="C116" s="30">
        <f>Fig1_future_Kaya!S41</f>
        <v>11.139298837138439</v>
      </c>
      <c r="D116" s="9">
        <f>Fig1_future_Kaya!AN41</f>
        <v>0.91804715334004583</v>
      </c>
      <c r="E116" s="9">
        <f>Fig1_future_Kaya!AO41</f>
        <v>0.88075358675861781</v>
      </c>
      <c r="F116" s="9">
        <f>Fig1_future_Kaya!AP41</f>
        <v>0.73065153479677813</v>
      </c>
      <c r="H116" s="266">
        <f t="shared" ref="H116:M116" si="99">H48</f>
        <v>293.87097179105825</v>
      </c>
      <c r="I116" s="266">
        <f t="shared" si="99"/>
        <v>168.97580877985848</v>
      </c>
      <c r="J116" s="266">
        <f t="shared" si="99"/>
        <v>124.89516301119976</v>
      </c>
      <c r="K116" s="266">
        <f t="shared" si="99"/>
        <v>95.508065832093919</v>
      </c>
      <c r="L116" s="266">
        <f t="shared" si="99"/>
        <v>73.467742947764563</v>
      </c>
      <c r="M116" s="266">
        <f t="shared" si="99"/>
        <v>80.814517242541029</v>
      </c>
      <c r="N116" s="264"/>
      <c r="O116" s="50">
        <f t="shared" si="85"/>
        <v>3.6721886133601833</v>
      </c>
      <c r="P116" s="50">
        <f t="shared" si="77"/>
        <v>2.1115084526821049</v>
      </c>
      <c r="Q116" s="158">
        <f t="shared" si="78"/>
        <v>1.5606801606780778</v>
      </c>
      <c r="R116" s="50">
        <f t="shared" si="79"/>
        <v>1.1934612993420595</v>
      </c>
      <c r="S116" s="50">
        <f t="shared" si="80"/>
        <v>0.91804715334004583</v>
      </c>
      <c r="T116" s="50">
        <f t="shared" si="81"/>
        <v>1.0098518686740505</v>
      </c>
      <c r="V116" s="267">
        <f t="shared" ref="V116:AA116" si="100">V48</f>
        <v>289.10389139556827</v>
      </c>
      <c r="W116" s="267">
        <f t="shared" si="100"/>
        <v>165.21888046280304</v>
      </c>
      <c r="X116" s="267">
        <f t="shared" si="100"/>
        <v>121.49475895712123</v>
      </c>
      <c r="Y116" s="267">
        <f t="shared" si="100"/>
        <v>92.345344620000006</v>
      </c>
      <c r="Z116" s="267">
        <f t="shared" si="100"/>
        <v>70.483283867159116</v>
      </c>
      <c r="AA116" s="267">
        <f t="shared" si="100"/>
        <v>77.770637451439427</v>
      </c>
      <c r="AC116" s="31">
        <f t="shared" si="87"/>
        <v>3.6126195506501126</v>
      </c>
      <c r="AD116" s="31">
        <f t="shared" si="60"/>
        <v>2.0645621711115987</v>
      </c>
      <c r="AE116" s="158">
        <f t="shared" si="61"/>
        <v>1.5181889783332998</v>
      </c>
      <c r="AF116" s="31">
        <f t="shared" si="62"/>
        <v>1.1539401831477671</v>
      </c>
      <c r="AG116" s="31">
        <f t="shared" si="63"/>
        <v>0.88075358675861803</v>
      </c>
      <c r="AH116" s="31">
        <f t="shared" si="64"/>
        <v>0.97181578555500114</v>
      </c>
      <c r="AJ116" s="266">
        <f t="shared" ref="AJ116:AO116" si="101">AJ48</f>
        <v>272.01819348570427</v>
      </c>
      <c r="AK116" s="266">
        <f t="shared" si="101"/>
        <v>151.00823077617602</v>
      </c>
      <c r="AL116" s="266">
        <f t="shared" si="101"/>
        <v>108.29883217281312</v>
      </c>
      <c r="AM116" s="266">
        <f t="shared" si="101"/>
        <v>79.825899770571169</v>
      </c>
      <c r="AN116" s="266">
        <f t="shared" si="101"/>
        <v>58.47120046888972</v>
      </c>
      <c r="AO116" s="266">
        <f t="shared" si="101"/>
        <v>65.589433569450208</v>
      </c>
      <c r="AQ116" s="31">
        <f>($B116*$C116*AJ116)/10^9</f>
        <v>3.3991180097067497</v>
      </c>
      <c r="AR116" s="31">
        <f t="shared" si="66"/>
        <v>1.8869870072577657</v>
      </c>
      <c r="AS116" s="158">
        <f t="shared" si="67"/>
        <v>1.3532937122757716</v>
      </c>
      <c r="AT116" s="31">
        <f t="shared" si="68"/>
        <v>0.99749818228777531</v>
      </c>
      <c r="AU116" s="31">
        <f t="shared" si="69"/>
        <v>0.73065153479677825</v>
      </c>
      <c r="AV116" s="31">
        <f t="shared" si="70"/>
        <v>0.81960041729377719</v>
      </c>
    </row>
    <row r="117" spans="1:48">
      <c r="A117" s="10">
        <v>2028</v>
      </c>
      <c r="B117" s="9">
        <f>Fig1_future_Kaya!K42</f>
        <v>1153482.5516282122</v>
      </c>
      <c r="C117" s="30">
        <f>Fig1_future_Kaya!S42</f>
        <v>10.91651286039567</v>
      </c>
      <c r="D117" s="9">
        <f>Fig1_future_Kaya!AN42</f>
        <v>0.92510634148715032</v>
      </c>
      <c r="E117" s="9">
        <f>Fig1_future_Kaya!AO42</f>
        <v>0.87925689890829117</v>
      </c>
      <c r="F117" s="9">
        <f>Fig1_future_Kaya!AP42</f>
        <v>0.69672096758260404</v>
      </c>
      <c r="H117" s="266">
        <f t="shared" ref="H117:M117" si="102">H49</f>
        <v>293.87097179105825</v>
      </c>
      <c r="I117" s="266">
        <f t="shared" si="102"/>
        <v>168.97580877985848</v>
      </c>
      <c r="J117" s="266">
        <f t="shared" si="102"/>
        <v>124.89516301119976</v>
      </c>
      <c r="K117" s="266">
        <f t="shared" si="102"/>
        <v>95.508065832093919</v>
      </c>
      <c r="L117" s="266">
        <f t="shared" si="102"/>
        <v>73.467742947764563</v>
      </c>
      <c r="M117" s="266">
        <f t="shared" si="102"/>
        <v>80.814517242541029</v>
      </c>
      <c r="N117" s="264"/>
      <c r="O117" s="50">
        <f t="shared" si="85"/>
        <v>3.7004253659486013</v>
      </c>
      <c r="P117" s="50">
        <f t="shared" si="77"/>
        <v>2.1277445854204458</v>
      </c>
      <c r="Q117" s="158">
        <f t="shared" si="78"/>
        <v>1.5726807805281555</v>
      </c>
      <c r="R117" s="50">
        <f t="shared" si="79"/>
        <v>1.2026382439332952</v>
      </c>
      <c r="S117" s="50">
        <f t="shared" si="80"/>
        <v>0.92510634148715032</v>
      </c>
      <c r="T117" s="50">
        <f t="shared" si="81"/>
        <v>1.0176169756358655</v>
      </c>
      <c r="V117" s="267">
        <f t="shared" ref="V117:AA117" si="103">V49</f>
        <v>287.85298893239712</v>
      </c>
      <c r="W117" s="267">
        <f t="shared" si="103"/>
        <v>164.3046953591101</v>
      </c>
      <c r="X117" s="267">
        <f t="shared" si="103"/>
        <v>120.69941527442059</v>
      </c>
      <c r="Y117" s="267">
        <f t="shared" si="103"/>
        <v>91.629228551294233</v>
      </c>
      <c r="Z117" s="267">
        <f t="shared" si="103"/>
        <v>69.826588508949499</v>
      </c>
      <c r="AA117" s="267">
        <f t="shared" si="103"/>
        <v>77.094135189731077</v>
      </c>
      <c r="AC117" s="31">
        <f t="shared" si="87"/>
        <v>3.6246468830099503</v>
      </c>
      <c r="AD117" s="31">
        <f t="shared" si="60"/>
        <v>2.0689258920190099</v>
      </c>
      <c r="AE117" s="158">
        <f t="shared" si="61"/>
        <v>1.5198478951986782</v>
      </c>
      <c r="AF117" s="31">
        <f t="shared" si="62"/>
        <v>1.153795897318457</v>
      </c>
      <c r="AG117" s="31">
        <f t="shared" si="63"/>
        <v>0.87925689890829128</v>
      </c>
      <c r="AH117" s="31">
        <f t="shared" si="64"/>
        <v>0.9707698983783466</v>
      </c>
      <c r="AJ117" s="266">
        <f t="shared" ref="AJ117:AO117" si="104">AJ49</f>
        <v>266.59199516563604</v>
      </c>
      <c r="AK117" s="266">
        <f t="shared" si="104"/>
        <v>146.87709922333153</v>
      </c>
      <c r="AL117" s="266">
        <f t="shared" si="104"/>
        <v>104.62478300840054</v>
      </c>
      <c r="AM117" s="266">
        <f t="shared" si="104"/>
        <v>76.456572198446537</v>
      </c>
      <c r="AN117" s="266">
        <f t="shared" si="104"/>
        <v>55.330414090981058</v>
      </c>
      <c r="AO117" s="266">
        <f t="shared" si="104"/>
        <v>62.37246679346957</v>
      </c>
      <c r="AQ117" s="31">
        <f t="shared" si="89"/>
        <v>3.3569282983525466</v>
      </c>
      <c r="AR117" s="31">
        <f t="shared" si="66"/>
        <v>1.8494774775829124</v>
      </c>
      <c r="AS117" s="158">
        <f t="shared" si="67"/>
        <v>1.3174360114289239</v>
      </c>
      <c r="AT117" s="31">
        <f t="shared" si="68"/>
        <v>0.96274170065959808</v>
      </c>
      <c r="AU117" s="31">
        <f t="shared" si="69"/>
        <v>0.69672096758260404</v>
      </c>
      <c r="AV117" s="31">
        <f t="shared" si="70"/>
        <v>0.78539454527493557</v>
      </c>
    </row>
    <row r="118" spans="1:48">
      <c r="A118" s="10">
        <v>2029</v>
      </c>
      <c r="B118" s="9">
        <f>Fig1_future_Kaya!K43</f>
        <v>1186075.4421906236</v>
      </c>
      <c r="C118" s="30">
        <f>Fig1_future_Kaya!S43</f>
        <v>10.698182603187757</v>
      </c>
      <c r="D118" s="9">
        <f>Fig1_future_Kaya!AN43</f>
        <v>0.93222129218496919</v>
      </c>
      <c r="E118" s="9">
        <f>Fig1_future_Kaya!AO43</f>
        <v>0.8777186834843318</v>
      </c>
      <c r="F118" s="9">
        <f>Fig1_future_Kaya!AP43</f>
        <v>0.66291690273876525</v>
      </c>
      <c r="H118" s="266">
        <f t="shared" ref="H118:M118" si="105">H50</f>
        <v>293.87097179105825</v>
      </c>
      <c r="I118" s="266">
        <f t="shared" si="105"/>
        <v>168.97580877985848</v>
      </c>
      <c r="J118" s="266">
        <f t="shared" si="105"/>
        <v>124.89516301119976</v>
      </c>
      <c r="K118" s="266">
        <f t="shared" si="105"/>
        <v>95.508065832093919</v>
      </c>
      <c r="L118" s="266">
        <f t="shared" si="105"/>
        <v>73.467742947764563</v>
      </c>
      <c r="M118" s="266">
        <f t="shared" si="105"/>
        <v>80.814517242541029</v>
      </c>
      <c r="N118" s="264"/>
      <c r="O118" s="50">
        <f t="shared" si="85"/>
        <v>3.7288851687398767</v>
      </c>
      <c r="P118" s="50">
        <f t="shared" si="77"/>
        <v>2.1441089720254292</v>
      </c>
      <c r="Q118" s="158">
        <f t="shared" si="78"/>
        <v>1.5847761967144476</v>
      </c>
      <c r="R118" s="50">
        <f t="shared" si="79"/>
        <v>1.2118876798404599</v>
      </c>
      <c r="S118" s="50">
        <f t="shared" si="80"/>
        <v>0.93222129218496919</v>
      </c>
      <c r="T118" s="50">
        <f t="shared" si="81"/>
        <v>1.0254434214034662</v>
      </c>
      <c r="V118" s="267">
        <f t="shared" ref="V118:AA118" si="106">V50</f>
        <v>286.60462175287375</v>
      </c>
      <c r="W118" s="267">
        <f t="shared" si="106"/>
        <v>163.39304553906499</v>
      </c>
      <c r="X118" s="267">
        <f t="shared" si="106"/>
        <v>119.9066068753678</v>
      </c>
      <c r="Y118" s="267">
        <f t="shared" si="106"/>
        <v>90.915647766236305</v>
      </c>
      <c r="Z118" s="267">
        <f t="shared" si="106"/>
        <v>69.172428434387712</v>
      </c>
      <c r="AA118" s="267">
        <f t="shared" si="106"/>
        <v>76.420168211670585</v>
      </c>
      <c r="AC118" s="31">
        <f t="shared" si="87"/>
        <v>3.6366835309832788</v>
      </c>
      <c r="AD118" s="31">
        <f t="shared" si="60"/>
        <v>2.0732701174005421</v>
      </c>
      <c r="AE118" s="158">
        <f t="shared" si="61"/>
        <v>1.5214771479007527</v>
      </c>
      <c r="AF118" s="31">
        <f t="shared" si="62"/>
        <v>1.1536151682342264</v>
      </c>
      <c r="AG118" s="31">
        <f t="shared" si="63"/>
        <v>0.8777186834843318</v>
      </c>
      <c r="AH118" s="31">
        <f t="shared" si="64"/>
        <v>0.96968417840096344</v>
      </c>
      <c r="AJ118" s="266">
        <f t="shared" ref="AJ118:AO118" si="107">AJ50</f>
        <v>261.22021141561902</v>
      </c>
      <c r="AK118" s="266">
        <f t="shared" si="107"/>
        <v>142.8003822405384</v>
      </c>
      <c r="AL118" s="266">
        <f t="shared" si="107"/>
        <v>101.00514841403935</v>
      </c>
      <c r="AM118" s="266">
        <f t="shared" si="107"/>
        <v>73.141659196373325</v>
      </c>
      <c r="AN118" s="266">
        <f t="shared" si="107"/>
        <v>52.244042283123811</v>
      </c>
      <c r="AO118" s="266">
        <f t="shared" si="107"/>
        <v>59.209914587540325</v>
      </c>
      <c r="AQ118" s="31">
        <f t="shared" si="89"/>
        <v>3.3145845136938257</v>
      </c>
      <c r="AR118" s="31">
        <f t="shared" si="66"/>
        <v>1.8119728674859581</v>
      </c>
      <c r="AS118" s="158">
        <f t="shared" si="67"/>
        <v>1.2816393452949459</v>
      </c>
      <c r="AT118" s="31">
        <f t="shared" si="68"/>
        <v>0.92808366383427121</v>
      </c>
      <c r="AU118" s="31">
        <f t="shared" si="69"/>
        <v>0.66291690273876525</v>
      </c>
      <c r="AV118" s="31">
        <f t="shared" si="70"/>
        <v>0.75130582310393401</v>
      </c>
    </row>
    <row r="119" spans="1:48">
      <c r="A119" s="10">
        <v>2030</v>
      </c>
      <c r="B119" s="9">
        <f>Fig1_future_Kaya!K44</f>
        <v>1219591.2158900397</v>
      </c>
      <c r="C119" s="30">
        <f>Fig1_future_Kaya!S44</f>
        <v>10.484218951124001</v>
      </c>
      <c r="D119" s="9">
        <f>Fig1_future_Kaya!AN44</f>
        <v>0.9393924548107212</v>
      </c>
      <c r="E119" s="9">
        <f>Fig1_future_Kaya!AO44</f>
        <v>0.87613860665369425</v>
      </c>
      <c r="F119" s="9">
        <f>Fig1_future_Kaya!AP44</f>
        <v>0.62924842280705851</v>
      </c>
      <c r="H119" s="266">
        <f t="shared" ref="H119:M119" si="108">H51</f>
        <v>293.87097179105825</v>
      </c>
      <c r="I119" s="266">
        <f t="shared" si="108"/>
        <v>168.97580877985848</v>
      </c>
      <c r="J119" s="266">
        <f t="shared" si="108"/>
        <v>124.89516301119976</v>
      </c>
      <c r="K119" s="266">
        <f t="shared" si="108"/>
        <v>95.508065832093919</v>
      </c>
      <c r="L119" s="266">
        <f t="shared" si="108"/>
        <v>73.467742947764563</v>
      </c>
      <c r="M119" s="266">
        <f t="shared" si="108"/>
        <v>80.814517242541029</v>
      </c>
      <c r="N119" s="264"/>
      <c r="O119" s="50">
        <f t="shared" si="85"/>
        <v>3.7575698192428848</v>
      </c>
      <c r="P119" s="50">
        <f t="shared" si="77"/>
        <v>2.1606026460646581</v>
      </c>
      <c r="Q119" s="158">
        <f t="shared" si="78"/>
        <v>1.5969671731782258</v>
      </c>
      <c r="R119" s="50">
        <f t="shared" si="79"/>
        <v>1.2212101912539373</v>
      </c>
      <c r="S119" s="50">
        <f t="shared" si="80"/>
        <v>0.9393924548107212</v>
      </c>
      <c r="T119" s="50">
        <f t="shared" si="81"/>
        <v>1.0333317002917934</v>
      </c>
      <c r="V119" s="267">
        <f t="shared" ref="V119:AA119" si="109">V51</f>
        <v>285.35878985699827</v>
      </c>
      <c r="W119" s="267">
        <f t="shared" si="109"/>
        <v>162.48393100266773</v>
      </c>
      <c r="X119" s="267">
        <f t="shared" si="109"/>
        <v>119.11633375996283</v>
      </c>
      <c r="Y119" s="267">
        <f t="shared" si="109"/>
        <v>90.204602264826207</v>
      </c>
      <c r="Z119" s="267">
        <f t="shared" si="109"/>
        <v>68.520803643473755</v>
      </c>
      <c r="AA119" s="267">
        <f t="shared" si="109"/>
        <v>75.748736517257925</v>
      </c>
      <c r="AC119" s="31">
        <f t="shared" si="87"/>
        <v>3.6487291340388022</v>
      </c>
      <c r="AD119" s="31">
        <f t="shared" si="60"/>
        <v>2.0775945018539077</v>
      </c>
      <c r="AE119" s="158">
        <f t="shared" si="61"/>
        <v>1.5230763963768863</v>
      </c>
      <c r="AF119" s="31">
        <f t="shared" si="62"/>
        <v>1.1533976593922051</v>
      </c>
      <c r="AG119" s="31">
        <f t="shared" si="63"/>
        <v>0.87613860665369425</v>
      </c>
      <c r="AH119" s="31">
        <f t="shared" si="64"/>
        <v>0.96855829089986467</v>
      </c>
      <c r="AJ119" s="266">
        <f t="shared" ref="AJ119:AO119" si="110">AJ51</f>
        <v>255.90284223565351</v>
      </c>
      <c r="AK119" s="266">
        <f t="shared" si="110"/>
        <v>138.77807982779672</v>
      </c>
      <c r="AL119" s="266">
        <f t="shared" si="110"/>
        <v>97.439928389729616</v>
      </c>
      <c r="AM119" s="266">
        <f t="shared" si="110"/>
        <v>69.881160764351534</v>
      </c>
      <c r="AN119" s="266">
        <f t="shared" si="110"/>
        <v>49.212085045317991</v>
      </c>
      <c r="AO119" s="266">
        <f t="shared" si="110"/>
        <v>56.101776951662515</v>
      </c>
      <c r="AQ119" s="31">
        <f t="shared" si="89"/>
        <v>3.2720917985967035</v>
      </c>
      <c r="AR119" s="31">
        <f t="shared" si="66"/>
        <v>1.7744805523159046</v>
      </c>
      <c r="AS119" s="158">
        <f t="shared" si="67"/>
        <v>1.2459118771579756</v>
      </c>
      <c r="AT119" s="31">
        <f t="shared" si="68"/>
        <v>0.89353276038602292</v>
      </c>
      <c r="AU119" s="31">
        <f t="shared" si="69"/>
        <v>0.62924842280705851</v>
      </c>
      <c r="AV119" s="31">
        <f t="shared" si="70"/>
        <v>0.71734320200004675</v>
      </c>
    </row>
    <row r="120" spans="1:48">
      <c r="A120" s="10">
        <v>2031</v>
      </c>
      <c r="B120" s="9">
        <f>Fig1_future_Kaya!K45</f>
        <v>1254056.0562595122</v>
      </c>
      <c r="C120" s="30">
        <f>Fig1_future_Kaya!S45</f>
        <v>10.274534572101521</v>
      </c>
      <c r="D120" s="9">
        <f>Fig1_future_Kaya!AN45</f>
        <v>0.94662028241499574</v>
      </c>
      <c r="E120" s="9">
        <f>Fig1_future_Kaya!AO45</f>
        <v>0.85854173621319829</v>
      </c>
      <c r="F120" s="9">
        <f>Fig1_future_Kaya!AP45</f>
        <v>0.59572478759685421</v>
      </c>
      <c r="H120" s="266">
        <f t="shared" ref="H120:M120" si="111">H52</f>
        <v>293.87097179105825</v>
      </c>
      <c r="I120" s="266">
        <f t="shared" si="111"/>
        <v>168.97580877985848</v>
      </c>
      <c r="J120" s="266">
        <f t="shared" si="111"/>
        <v>124.89516301119976</v>
      </c>
      <c r="K120" s="266">
        <f t="shared" si="111"/>
        <v>95.508065832093919</v>
      </c>
      <c r="L120" s="266">
        <f t="shared" si="111"/>
        <v>73.467742947764563</v>
      </c>
      <c r="M120" s="266">
        <f t="shared" si="111"/>
        <v>80.814517242541029</v>
      </c>
      <c r="N120" s="264"/>
      <c r="O120" s="50">
        <f t="shared" si="85"/>
        <v>3.786481129659983</v>
      </c>
      <c r="P120" s="50">
        <f t="shared" si="77"/>
        <v>2.1772266495544903</v>
      </c>
      <c r="Q120" s="158">
        <f t="shared" si="78"/>
        <v>1.6092544801054929</v>
      </c>
      <c r="R120" s="50">
        <f t="shared" si="79"/>
        <v>1.2306063671394945</v>
      </c>
      <c r="S120" s="50">
        <f t="shared" si="80"/>
        <v>0.94662028241499574</v>
      </c>
      <c r="T120" s="50">
        <f t="shared" si="81"/>
        <v>1.0412823106564955</v>
      </c>
      <c r="V120" s="267">
        <f t="shared" ref="V120:AA120" si="112">V52</f>
        <v>282.87569557788163</v>
      </c>
      <c r="W120" s="267">
        <f t="shared" si="112"/>
        <v>160.3375540830292</v>
      </c>
      <c r="X120" s="267">
        <f t="shared" si="112"/>
        <v>117.08879826131661</v>
      </c>
      <c r="Y120" s="267">
        <f t="shared" si="112"/>
        <v>88.25629438017485</v>
      </c>
      <c r="Z120" s="267">
        <f t="shared" si="112"/>
        <v>66.631916469318554</v>
      </c>
      <c r="AA120" s="267">
        <f t="shared" si="112"/>
        <v>73.840042439604005</v>
      </c>
      <c r="AC120" s="31">
        <f t="shared" si="87"/>
        <v>3.6448087295489784</v>
      </c>
      <c r="AD120" s="31">
        <f t="shared" si="60"/>
        <v>2.0659240999920363</v>
      </c>
      <c r="AE120" s="158">
        <f t="shared" si="61"/>
        <v>1.5086707013248803</v>
      </c>
      <c r="AF120" s="31">
        <f t="shared" si="62"/>
        <v>1.1371684355467762</v>
      </c>
      <c r="AG120" s="31">
        <f t="shared" si="63"/>
        <v>0.85854173621319829</v>
      </c>
      <c r="AH120" s="31">
        <f t="shared" si="64"/>
        <v>0.95141730265772451</v>
      </c>
      <c r="AJ120" s="266">
        <f t="shared" ref="AJ120:AO120" si="113">AJ52</f>
        <v>250.63988762573939</v>
      </c>
      <c r="AK120" s="266">
        <f t="shared" si="113"/>
        <v>134.81019198510643</v>
      </c>
      <c r="AL120" s="266">
        <f t="shared" si="113"/>
        <v>93.929122935471284</v>
      </c>
      <c r="AM120" s="266">
        <f t="shared" si="113"/>
        <v>66.675076902381164</v>
      </c>
      <c r="AN120" s="266">
        <f t="shared" si="113"/>
        <v>46.234542377563585</v>
      </c>
      <c r="AO120" s="266">
        <f t="shared" si="113"/>
        <v>53.048053885836126</v>
      </c>
      <c r="AQ120" s="31">
        <f t="shared" si="89"/>
        <v>3.2294554274987357</v>
      </c>
      <c r="AR120" s="31">
        <f t="shared" si="66"/>
        <v>1.7370080648876696</v>
      </c>
      <c r="AS120" s="158">
        <f t="shared" si="67"/>
        <v>1.2102619369072933</v>
      </c>
      <c r="AT120" s="31">
        <f t="shared" si="68"/>
        <v>0.85909785158704244</v>
      </c>
      <c r="AU120" s="31">
        <f t="shared" si="69"/>
        <v>0.59572478759685421</v>
      </c>
      <c r="AV120" s="31">
        <f t="shared" si="70"/>
        <v>0.68351580892691721</v>
      </c>
    </row>
    <row r="121" spans="1:48">
      <c r="A121" s="10">
        <v>2032</v>
      </c>
      <c r="B121" s="9">
        <f>Fig1_future_Kaya!K46</f>
        <v>1289496.8910725242</v>
      </c>
      <c r="C121" s="30">
        <f>Fig1_future_Kaya!S46</f>
        <v>10.069043880659491</v>
      </c>
      <c r="D121" s="9">
        <f>Fig1_future_Kaya!AN46</f>
        <v>0.95390523175207675</v>
      </c>
      <c r="E121" s="9">
        <f>Fig1_future_Kaya!AO46</f>
        <v>0.84074492846525406</v>
      </c>
      <c r="F121" s="9">
        <f>Fig1_future_Kaya!AP46</f>
        <v>0.56235543680054967</v>
      </c>
      <c r="H121" s="266">
        <f t="shared" ref="H121:M121" si="114">H53</f>
        <v>293.87097179105825</v>
      </c>
      <c r="I121" s="266">
        <f t="shared" si="114"/>
        <v>168.97580877985848</v>
      </c>
      <c r="J121" s="266">
        <f t="shared" si="114"/>
        <v>124.89516301119976</v>
      </c>
      <c r="K121" s="266">
        <f t="shared" si="114"/>
        <v>95.508065832093919</v>
      </c>
      <c r="L121" s="266">
        <f t="shared" si="114"/>
        <v>73.467742947764563</v>
      </c>
      <c r="M121" s="266">
        <f t="shared" si="114"/>
        <v>80.814517242541029</v>
      </c>
      <c r="N121" s="264"/>
      <c r="O121" s="50">
        <f t="shared" si="85"/>
        <v>3.815620927008307</v>
      </c>
      <c r="P121" s="50">
        <f t="shared" si="77"/>
        <v>2.1939820330297759</v>
      </c>
      <c r="Q121" s="158">
        <f t="shared" si="78"/>
        <v>1.6216388939785304</v>
      </c>
      <c r="R121" s="50">
        <f t="shared" si="79"/>
        <v>1.2400768012776997</v>
      </c>
      <c r="S121" s="50">
        <f t="shared" si="80"/>
        <v>0.95390523175207675</v>
      </c>
      <c r="T121" s="50">
        <f t="shared" si="81"/>
        <v>1.0492957549272846</v>
      </c>
      <c r="V121" s="267">
        <f t="shared" ref="V121:AA121" si="115">V53</f>
        <v>280.40195015721633</v>
      </c>
      <c r="W121" s="267">
        <f t="shared" si="115"/>
        <v>158.20052602184208</v>
      </c>
      <c r="X121" s="267">
        <f t="shared" si="115"/>
        <v>115.07061162112177</v>
      </c>
      <c r="Y121" s="267">
        <f t="shared" si="115"/>
        <v>86.317335353974897</v>
      </c>
      <c r="Z121" s="267">
        <f t="shared" si="115"/>
        <v>64.752378153614757</v>
      </c>
      <c r="AA121" s="267">
        <f t="shared" si="115"/>
        <v>71.940697220401489</v>
      </c>
      <c r="AC121" s="31">
        <f t="shared" si="87"/>
        <v>3.6407391396061981</v>
      </c>
      <c r="AD121" s="31">
        <f t="shared" si="60"/>
        <v>2.0540757532929965</v>
      </c>
      <c r="AE121" s="158">
        <f t="shared" si="61"/>
        <v>1.4940769110648076</v>
      </c>
      <c r="AF121" s="31">
        <f t="shared" si="62"/>
        <v>1.1207443495793483</v>
      </c>
      <c r="AG121" s="31">
        <f t="shared" si="63"/>
        <v>0.84074492846525406</v>
      </c>
      <c r="AH121" s="31">
        <f t="shared" si="64"/>
        <v>0.93407806883661915</v>
      </c>
      <c r="AJ121" s="266">
        <f t="shared" ref="AJ121:AO121" si="116">AJ53</f>
        <v>245.43134758587678</v>
      </c>
      <c r="AK121" s="266">
        <f t="shared" si="116"/>
        <v>130.89671871246762</v>
      </c>
      <c r="AL121" s="266">
        <f t="shared" si="116"/>
        <v>90.472732051264387</v>
      </c>
      <c r="AM121" s="266">
        <f t="shared" si="116"/>
        <v>63.523407610462229</v>
      </c>
      <c r="AN121" s="266">
        <f t="shared" si="116"/>
        <v>43.311414279860614</v>
      </c>
      <c r="AO121" s="266">
        <f t="shared" si="116"/>
        <v>50.048745390061171</v>
      </c>
      <c r="AQ121" s="31">
        <f t="shared" si="89"/>
        <v>3.186680808536448</v>
      </c>
      <c r="AR121" s="31">
        <f t="shared" si="66"/>
        <v>1.6995630978861056</v>
      </c>
      <c r="AS121" s="158">
        <f t="shared" si="67"/>
        <v>1.1746980235389259</v>
      </c>
      <c r="AT121" s="31">
        <f t="shared" si="68"/>
        <v>0.8247879739741395</v>
      </c>
      <c r="AU121" s="31">
        <f t="shared" si="69"/>
        <v>0.56235543680054967</v>
      </c>
      <c r="AV121" s="31">
        <f t="shared" si="70"/>
        <v>0.6498329491917465</v>
      </c>
    </row>
    <row r="122" spans="1:48">
      <c r="A122" s="10">
        <v>2033</v>
      </c>
      <c r="B122" s="9">
        <f>Fig1_future_Kaya!K47</f>
        <v>1325941.4135338324</v>
      </c>
      <c r="C122" s="30">
        <f>Fig1_future_Kaya!S47</f>
        <v>9.8676630030463013</v>
      </c>
      <c r="D122" s="9">
        <f>Fig1_future_Kaya!AN47</f>
        <v>0.96124776331052009</v>
      </c>
      <c r="E122" s="9">
        <f>Fig1_future_Kaya!AO47</f>
        <v>0.82274697453853884</v>
      </c>
      <c r="F122" s="9">
        <f>Fig1_future_Kaya!AP47</f>
        <v>0.52914999264286666</v>
      </c>
      <c r="H122" s="266">
        <f t="shared" ref="H122:M122" si="117">H54</f>
        <v>293.87097179105825</v>
      </c>
      <c r="I122" s="266">
        <f t="shared" si="117"/>
        <v>168.97580877985848</v>
      </c>
      <c r="J122" s="266">
        <f t="shared" si="117"/>
        <v>124.89516301119976</v>
      </c>
      <c r="K122" s="266">
        <f t="shared" si="117"/>
        <v>95.508065832093919</v>
      </c>
      <c r="L122" s="266">
        <f t="shared" si="117"/>
        <v>73.467742947764563</v>
      </c>
      <c r="M122" s="266">
        <f t="shared" si="117"/>
        <v>80.814517242541029</v>
      </c>
      <c r="N122" s="264"/>
      <c r="O122" s="50">
        <f t="shared" si="85"/>
        <v>3.8449910532420803</v>
      </c>
      <c r="P122" s="50">
        <f t="shared" si="77"/>
        <v>2.2108698556141957</v>
      </c>
      <c r="Q122" s="158">
        <f t="shared" si="78"/>
        <v>1.6341211976278842</v>
      </c>
      <c r="R122" s="50">
        <f t="shared" si="79"/>
        <v>1.2496220923036758</v>
      </c>
      <c r="S122" s="50">
        <f t="shared" si="80"/>
        <v>0.96124776331052009</v>
      </c>
      <c r="T122" s="50">
        <f t="shared" si="81"/>
        <v>1.0573725396415723</v>
      </c>
      <c r="V122" s="267">
        <f t="shared" ref="V122:AA122" si="118">V54</f>
        <v>277.93755359500233</v>
      </c>
      <c r="W122" s="267">
        <f t="shared" si="118"/>
        <v>156.07284681910633</v>
      </c>
      <c r="X122" s="267">
        <f t="shared" si="118"/>
        <v>113.06177383937833</v>
      </c>
      <c r="Y122" s="267">
        <f t="shared" si="118"/>
        <v>84.387725186226334</v>
      </c>
      <c r="Z122" s="267">
        <f t="shared" si="118"/>
        <v>62.882188696362334</v>
      </c>
      <c r="AA122" s="267">
        <f t="shared" si="118"/>
        <v>70.050700859650348</v>
      </c>
      <c r="AC122" s="31">
        <f t="shared" si="87"/>
        <v>3.6365191172831994</v>
      </c>
      <c r="AD122" s="31">
        <f t="shared" si="60"/>
        <v>2.0420482363945585</v>
      </c>
      <c r="AE122" s="158">
        <f t="shared" si="61"/>
        <v>1.4792938078456264</v>
      </c>
      <c r="AF122" s="31">
        <f t="shared" si="62"/>
        <v>1.1041241888130047</v>
      </c>
      <c r="AG122" s="31">
        <f t="shared" si="63"/>
        <v>0.82274697453853884</v>
      </c>
      <c r="AH122" s="31">
        <f t="shared" si="64"/>
        <v>0.91653937929669427</v>
      </c>
      <c r="AJ122" s="266">
        <f t="shared" ref="AJ122:AO122" si="119">AJ54</f>
        <v>240.2772221160655</v>
      </c>
      <c r="AK122" s="266">
        <f t="shared" si="119"/>
        <v>127.03766000988017</v>
      </c>
      <c r="AL122" s="266">
        <f t="shared" si="119"/>
        <v>87.070755737108882</v>
      </c>
      <c r="AM122" s="266">
        <f t="shared" si="119"/>
        <v>60.426152888594679</v>
      </c>
      <c r="AN122" s="266">
        <f t="shared" si="119"/>
        <v>40.442700752209049</v>
      </c>
      <c r="AO122" s="266">
        <f t="shared" si="119"/>
        <v>47.103851464337609</v>
      </c>
      <c r="AQ122" s="31">
        <f t="shared" si="89"/>
        <v>3.143773485701737</v>
      </c>
      <c r="AR122" s="31">
        <f t="shared" si="66"/>
        <v>1.6621535063017103</v>
      </c>
      <c r="AS122" s="158">
        <f t="shared" si="67"/>
        <v>1.1392288076899362</v>
      </c>
      <c r="AT122" s="31">
        <f t="shared" si="68"/>
        <v>0.79061234194875352</v>
      </c>
      <c r="AU122" s="31">
        <f t="shared" si="69"/>
        <v>0.52914999264286666</v>
      </c>
      <c r="AV122" s="31">
        <f t="shared" si="70"/>
        <v>0.61630410907816247</v>
      </c>
    </row>
    <row r="123" spans="1:48">
      <c r="A123" s="10">
        <v>2034</v>
      </c>
      <c r="B123" s="9">
        <f>Fig1_future_Kaya!K48</f>
        <v>1363418.1040746439</v>
      </c>
      <c r="C123" s="30">
        <f>Fig1_future_Kaya!S48</f>
        <v>9.6703097429853759</v>
      </c>
      <c r="D123" s="9">
        <f>Fig1_future_Kaya!AN48</f>
        <v>0.96864834134398448</v>
      </c>
      <c r="E123" s="9">
        <f>Fig1_future_Kaya!AO48</f>
        <v>0.80454666564756883</v>
      </c>
      <c r="F123" s="9">
        <f>Fig1_future_Kaya!AP48</f>
        <v>0.49611826256440045</v>
      </c>
      <c r="H123" s="266">
        <f t="shared" ref="H123:M123" si="120">H55</f>
        <v>293.87097179105825</v>
      </c>
      <c r="I123" s="266">
        <f t="shared" si="120"/>
        <v>168.97580877985848</v>
      </c>
      <c r="J123" s="266">
        <f t="shared" si="120"/>
        <v>124.89516301119976</v>
      </c>
      <c r="K123" s="266">
        <f t="shared" si="120"/>
        <v>95.508065832093919</v>
      </c>
      <c r="L123" s="266">
        <f t="shared" si="120"/>
        <v>73.467742947764563</v>
      </c>
      <c r="M123" s="266">
        <f t="shared" si="120"/>
        <v>80.814517242541029</v>
      </c>
      <c r="N123" s="264"/>
      <c r="O123" s="50">
        <f t="shared" si="85"/>
        <v>3.8745933653759379</v>
      </c>
      <c r="P123" s="50">
        <f t="shared" si="77"/>
        <v>2.2278911850911642</v>
      </c>
      <c r="Q123" s="158">
        <f t="shared" si="78"/>
        <v>1.6467021802847737</v>
      </c>
      <c r="R123" s="50">
        <f t="shared" si="79"/>
        <v>1.2592428437471794</v>
      </c>
      <c r="S123" s="50">
        <f t="shared" si="80"/>
        <v>0.96864834134398448</v>
      </c>
      <c r="T123" s="50">
        <f t="shared" si="81"/>
        <v>1.0655131754783831</v>
      </c>
      <c r="V123" s="267">
        <f t="shared" ref="V123:AA123" si="121">V55</f>
        <v>275.48250589123984</v>
      </c>
      <c r="W123" s="267">
        <f t="shared" si="121"/>
        <v>153.95451647482196</v>
      </c>
      <c r="X123" s="267">
        <f t="shared" si="121"/>
        <v>111.0622849160863</v>
      </c>
      <c r="Y123" s="267">
        <f t="shared" si="121"/>
        <v>82.467463876929145</v>
      </c>
      <c r="Z123" s="267">
        <f t="shared" si="121"/>
        <v>61.021348097561315</v>
      </c>
      <c r="AA123" s="267">
        <f t="shared" si="121"/>
        <v>68.170053357350611</v>
      </c>
      <c r="AC123" s="31">
        <f t="shared" si="87"/>
        <v>3.632147411831621</v>
      </c>
      <c r="AD123" s="31">
        <f t="shared" si="60"/>
        <v>2.029840322327324</v>
      </c>
      <c r="AE123" s="158">
        <f t="shared" si="61"/>
        <v>1.4643201730905142</v>
      </c>
      <c r="AF123" s="31">
        <f t="shared" si="62"/>
        <v>1.0873067402659737</v>
      </c>
      <c r="AG123" s="31">
        <f t="shared" si="63"/>
        <v>0.80454666564756883</v>
      </c>
      <c r="AH123" s="31">
        <f t="shared" si="64"/>
        <v>0.89880002385370406</v>
      </c>
      <c r="AJ123" s="266">
        <f t="shared" ref="AJ123:AO123" si="122">AJ55</f>
        <v>235.17751121630567</v>
      </c>
      <c r="AK123" s="266">
        <f t="shared" si="122"/>
        <v>123.23301587734417</v>
      </c>
      <c r="AL123" s="266">
        <f t="shared" si="122"/>
        <v>83.723193993004827</v>
      </c>
      <c r="AM123" s="266">
        <f t="shared" si="122"/>
        <v>57.383312736778592</v>
      </c>
      <c r="AN123" s="266">
        <f t="shared" si="122"/>
        <v>37.628401794608919</v>
      </c>
      <c r="AO123" s="266">
        <f t="shared" si="122"/>
        <v>44.213372108665489</v>
      </c>
      <c r="AQ123" s="31">
        <f t="shared" si="89"/>
        <v>3.1007391410275016</v>
      </c>
      <c r="AR123" s="31">
        <f t="shared" si="66"/>
        <v>1.6247873098984107</v>
      </c>
      <c r="AS123" s="158">
        <f t="shared" si="67"/>
        <v>1.1038631342057907</v>
      </c>
      <c r="AT123" s="31">
        <f t="shared" si="68"/>
        <v>0.75658035041071059</v>
      </c>
      <c r="AU123" s="31">
        <f t="shared" si="69"/>
        <v>0.49611826256440045</v>
      </c>
      <c r="AV123" s="31">
        <f t="shared" si="70"/>
        <v>0.58293895851317057</v>
      </c>
    </row>
    <row r="124" spans="1:48">
      <c r="A124" s="10">
        <v>2035</v>
      </c>
      <c r="B124" s="9">
        <f>Fig1_future_Kaya!K49</f>
        <v>1401956.2527693955</v>
      </c>
      <c r="C124" s="30">
        <f>Fig1_future_Kaya!S49</f>
        <v>9.4769035481256676</v>
      </c>
      <c r="D124" s="9">
        <f>Fig1_future_Kaya!AN49</f>
        <v>0.97610743390231824</v>
      </c>
      <c r="E124" s="9">
        <f>Fig1_future_Kaya!AO49</f>
        <v>0.78614279322928426</v>
      </c>
      <c r="F124" s="9">
        <f>Fig1_future_Kaya!AP49</f>
        <v>0.46327024193982619</v>
      </c>
      <c r="H124" s="266">
        <f t="shared" ref="H124:M124" si="123">H56</f>
        <v>293.87097179105825</v>
      </c>
      <c r="I124" s="266">
        <f t="shared" si="123"/>
        <v>168.97580877985848</v>
      </c>
      <c r="J124" s="266">
        <f t="shared" si="123"/>
        <v>124.89516301119976</v>
      </c>
      <c r="K124" s="266">
        <f t="shared" si="123"/>
        <v>95.508065832093919</v>
      </c>
      <c r="L124" s="266">
        <f t="shared" si="123"/>
        <v>73.467742947764563</v>
      </c>
      <c r="M124" s="266">
        <f t="shared" si="123"/>
        <v>80.814517242541029</v>
      </c>
      <c r="N124" s="264"/>
      <c r="O124" s="50">
        <f t="shared" si="85"/>
        <v>3.904429735609273</v>
      </c>
      <c r="P124" s="50">
        <f t="shared" si="77"/>
        <v>2.2450470979753319</v>
      </c>
      <c r="Q124" s="158">
        <f t="shared" si="78"/>
        <v>1.6593826376339409</v>
      </c>
      <c r="R124" s="50">
        <f t="shared" si="79"/>
        <v>1.2689396640730135</v>
      </c>
      <c r="S124" s="50">
        <f t="shared" si="80"/>
        <v>0.97610743390231824</v>
      </c>
      <c r="T124" s="50">
        <f t="shared" si="81"/>
        <v>1.0737181772925501</v>
      </c>
      <c r="V124" s="267">
        <f t="shared" ref="V124:AA124" si="124">V56</f>
        <v>273.03680704592864</v>
      </c>
      <c r="W124" s="267">
        <f t="shared" si="124"/>
        <v>151.84553498898902</v>
      </c>
      <c r="X124" s="267">
        <f t="shared" si="124"/>
        <v>109.07214485124565</v>
      </c>
      <c r="Y124" s="267">
        <f t="shared" si="124"/>
        <v>80.556551426083388</v>
      </c>
      <c r="Z124" s="267">
        <f t="shared" si="124"/>
        <v>59.1698563572117</v>
      </c>
      <c r="AA124" s="267">
        <f t="shared" si="124"/>
        <v>66.298754713502277</v>
      </c>
      <c r="AC124" s="31">
        <f t="shared" si="87"/>
        <v>3.6276227687568174</v>
      </c>
      <c r="AD124" s="31">
        <f t="shared" si="60"/>
        <v>2.017450782624548</v>
      </c>
      <c r="AE124" s="158">
        <f t="shared" si="61"/>
        <v>1.449154787519042</v>
      </c>
      <c r="AF124" s="31">
        <f t="shared" si="62"/>
        <v>1.0702907907820376</v>
      </c>
      <c r="AG124" s="31">
        <f t="shared" si="63"/>
        <v>0.78614279322928426</v>
      </c>
      <c r="AH124" s="31">
        <f t="shared" si="64"/>
        <v>0.88085879241353549</v>
      </c>
      <c r="AJ124" s="266">
        <f t="shared" ref="AJ124:AO124" si="125">AJ56</f>
        <v>230.1322148865973</v>
      </c>
      <c r="AK124" s="266">
        <f t="shared" si="125"/>
        <v>119.4827863148596</v>
      </c>
      <c r="AL124" s="266">
        <f t="shared" si="125"/>
        <v>80.430046818952178</v>
      </c>
      <c r="AM124" s="266">
        <f t="shared" si="125"/>
        <v>54.394887155013905</v>
      </c>
      <c r="AN124" s="266">
        <f t="shared" si="125"/>
        <v>34.868517407060196</v>
      </c>
      <c r="AO124" s="266">
        <f t="shared" si="125"/>
        <v>41.377307323044775</v>
      </c>
      <c r="AQ124" s="31">
        <f t="shared" si="89"/>
        <v>3.0575835968028526</v>
      </c>
      <c r="AR124" s="31">
        <f t="shared" si="66"/>
        <v>1.5874726957138041</v>
      </c>
      <c r="AS124" s="158">
        <f t="shared" si="67"/>
        <v>1.0686100247411987</v>
      </c>
      <c r="AT124" s="31">
        <f t="shared" si="68"/>
        <v>0.72270157742612873</v>
      </c>
      <c r="AU124" s="31">
        <f t="shared" si="69"/>
        <v>0.46327024193982613</v>
      </c>
      <c r="AV124" s="31">
        <f t="shared" si="70"/>
        <v>0.54974735376859374</v>
      </c>
    </row>
    <row r="125" spans="1:48">
      <c r="A125" s="10">
        <v>2036</v>
      </c>
      <c r="B125" s="9">
        <f>Fig1_future_Kaya!K50</f>
        <v>1441585.9823918859</v>
      </c>
      <c r="C125" s="30">
        <f>Fig1_future_Kaya!S50</f>
        <v>9.2873654771631546</v>
      </c>
      <c r="D125" s="9">
        <f>Fig1_future_Kaya!AN50</f>
        <v>0.983625512862906</v>
      </c>
      <c r="E125" s="9">
        <f>Fig1_future_Kaya!AO50</f>
        <v>0.74811736257282158</v>
      </c>
      <c r="F125" s="9">
        <f>Fig1_future_Kaya!AP50</f>
        <v>0.43061611683118262</v>
      </c>
      <c r="H125" s="266">
        <f t="shared" ref="H125:M125" si="126">H57</f>
        <v>293.87097179105825</v>
      </c>
      <c r="I125" s="266">
        <f t="shared" si="126"/>
        <v>168.97580877985848</v>
      </c>
      <c r="J125" s="266">
        <f t="shared" si="126"/>
        <v>124.89516301119976</v>
      </c>
      <c r="K125" s="266">
        <f t="shared" si="126"/>
        <v>95.508065832093919</v>
      </c>
      <c r="L125" s="266">
        <f t="shared" si="126"/>
        <v>73.467742947764563</v>
      </c>
      <c r="M125" s="266">
        <f t="shared" si="126"/>
        <v>80.814517242541029</v>
      </c>
      <c r="N125" s="264"/>
      <c r="O125" s="50">
        <f t="shared" si="85"/>
        <v>3.934502051451624</v>
      </c>
      <c r="P125" s="50">
        <f t="shared" si="77"/>
        <v>2.2623386795846834</v>
      </c>
      <c r="Q125" s="158">
        <f t="shared" si="78"/>
        <v>1.6721633718669402</v>
      </c>
      <c r="R125" s="50">
        <f t="shared" si="79"/>
        <v>1.2787131667217777</v>
      </c>
      <c r="S125" s="50">
        <f t="shared" si="80"/>
        <v>0.983625512862906</v>
      </c>
      <c r="T125" s="50">
        <f t="shared" si="81"/>
        <v>1.0819880641491966</v>
      </c>
      <c r="V125" s="267">
        <f t="shared" ref="V125:AA125" si="127">V57</f>
        <v>269.15020240269939</v>
      </c>
      <c r="W125" s="267">
        <f t="shared" si="127"/>
        <v>148.29564770523797</v>
      </c>
      <c r="X125" s="267">
        <f t="shared" si="127"/>
        <v>105.64109898848687</v>
      </c>
      <c r="Y125" s="267">
        <f t="shared" si="127"/>
        <v>77.204733177319468</v>
      </c>
      <c r="Z125" s="267">
        <f t="shared" si="127"/>
        <v>55.877458818943929</v>
      </c>
      <c r="AA125" s="267">
        <f t="shared" si="127"/>
        <v>62.98655027173578</v>
      </c>
      <c r="AC125" s="31">
        <f t="shared" si="87"/>
        <v>3.6035271433851177</v>
      </c>
      <c r="AD125" s="31">
        <f t="shared" si="60"/>
        <v>1.9854616009248167</v>
      </c>
      <c r="AE125" s="158">
        <f t="shared" si="61"/>
        <v>1.4143796447623573</v>
      </c>
      <c r="AF125" s="31">
        <f t="shared" si="62"/>
        <v>1.0336583406540512</v>
      </c>
      <c r="AG125" s="31">
        <f t="shared" si="63"/>
        <v>0.74811736257282146</v>
      </c>
      <c r="AH125" s="31">
        <f t="shared" si="64"/>
        <v>0.84329768859989807</v>
      </c>
      <c r="AJ125" s="266">
        <f t="shared" ref="AJ125:AO125" si="128">AJ57</f>
        <v>225.14133312694031</v>
      </c>
      <c r="AK125" s="266">
        <f t="shared" si="128"/>
        <v>115.78697132242644</v>
      </c>
      <c r="AL125" s="266">
        <f t="shared" si="128"/>
        <v>77.191314214950978</v>
      </c>
      <c r="AM125" s="266">
        <f t="shared" si="128"/>
        <v>51.460876143300638</v>
      </c>
      <c r="AN125" s="266">
        <f t="shared" si="128"/>
        <v>32.163047589562915</v>
      </c>
      <c r="AO125" s="266">
        <f t="shared" si="128"/>
        <v>38.595657107475503</v>
      </c>
      <c r="AQ125" s="31">
        <f t="shared" si="89"/>
        <v>3.014312817818277</v>
      </c>
      <c r="AR125" s="31">
        <f t="shared" si="66"/>
        <v>1.5502180205922564</v>
      </c>
      <c r="AS125" s="158">
        <f t="shared" si="67"/>
        <v>1.0334786803948379</v>
      </c>
      <c r="AT125" s="31">
        <f t="shared" si="68"/>
        <v>0.68898578692989187</v>
      </c>
      <c r="AU125" s="31">
        <f t="shared" si="69"/>
        <v>0.43061611683118262</v>
      </c>
      <c r="AV125" s="31">
        <f t="shared" si="70"/>
        <v>0.51673934019741918</v>
      </c>
    </row>
    <row r="126" spans="1:48">
      <c r="A126" s="10">
        <v>2037</v>
      </c>
      <c r="B126" s="9">
        <f>Fig1_future_Kaya!K51</f>
        <v>1482338.2721290258</v>
      </c>
      <c r="C126" s="30">
        <f>Fig1_future_Kaya!S51</f>
        <v>9.1016181676198915</v>
      </c>
      <c r="D126" s="9">
        <f>Fig1_future_Kaya!AN51</f>
        <v>0.99120305396227404</v>
      </c>
      <c r="E126" s="9">
        <f>Fig1_future_Kaya!AO51</f>
        <v>0.70969582004063725</v>
      </c>
      <c r="F126" s="9">
        <f>Fig1_future_Kaya!AP51</f>
        <v>0.39816626677664563</v>
      </c>
      <c r="H126" s="266">
        <f t="shared" ref="H126:M126" si="129">H58</f>
        <v>293.87097179105825</v>
      </c>
      <c r="I126" s="266">
        <f t="shared" si="129"/>
        <v>168.97580877985848</v>
      </c>
      <c r="J126" s="266">
        <f t="shared" si="129"/>
        <v>124.89516301119976</v>
      </c>
      <c r="K126" s="266">
        <f t="shared" si="129"/>
        <v>95.508065832093919</v>
      </c>
      <c r="L126" s="266">
        <f t="shared" si="129"/>
        <v>73.467742947764563</v>
      </c>
      <c r="M126" s="266">
        <f t="shared" si="129"/>
        <v>80.814517242541029</v>
      </c>
      <c r="N126" s="264"/>
      <c r="O126" s="50">
        <f t="shared" si="85"/>
        <v>3.9648122158490962</v>
      </c>
      <c r="P126" s="50">
        <f t="shared" si="77"/>
        <v>2.2797670241132302</v>
      </c>
      <c r="Q126" s="158">
        <f t="shared" si="78"/>
        <v>1.6850451917358658</v>
      </c>
      <c r="R126" s="50">
        <f t="shared" si="79"/>
        <v>1.2885639701509561</v>
      </c>
      <c r="S126" s="50">
        <f t="shared" si="80"/>
        <v>0.99120305396227404</v>
      </c>
      <c r="T126" s="50">
        <f t="shared" si="81"/>
        <v>1.0903233593585018</v>
      </c>
      <c r="V126" s="267">
        <f t="shared" ref="V126:AA126" si="130">V58</f>
        <v>265.28102783454892</v>
      </c>
      <c r="W126" s="267">
        <f t="shared" si="130"/>
        <v>144.7631904965657</v>
      </c>
      <c r="X126" s="267">
        <f t="shared" si="130"/>
        <v>102.22748320080694</v>
      </c>
      <c r="Y126" s="267">
        <f t="shared" si="130"/>
        <v>73.870345003634412</v>
      </c>
      <c r="Z126" s="267">
        <f t="shared" si="130"/>
        <v>52.602491355755035</v>
      </c>
      <c r="AA126" s="267">
        <f t="shared" si="130"/>
        <v>59.691775905048175</v>
      </c>
      <c r="AC126" s="31">
        <f t="shared" si="87"/>
        <v>3.5790859280216494</v>
      </c>
      <c r="AD126" s="31">
        <f t="shared" si="60"/>
        <v>1.9530982001657422</v>
      </c>
      <c r="AE126" s="158">
        <f t="shared" si="61"/>
        <v>1.3792201785695399</v>
      </c>
      <c r="AF126" s="31">
        <f t="shared" si="62"/>
        <v>0.99663483083873816</v>
      </c>
      <c r="AG126" s="31">
        <f t="shared" si="63"/>
        <v>0.70969582004063725</v>
      </c>
      <c r="AH126" s="31">
        <f t="shared" si="64"/>
        <v>0.80534215697333777</v>
      </c>
      <c r="AJ126" s="266">
        <f t="shared" ref="AJ126:AO126" si="131">AJ58</f>
        <v>220.20486593733472</v>
      </c>
      <c r="AK126" s="266">
        <f t="shared" si="131"/>
        <v>112.1455709000447</v>
      </c>
      <c r="AL126" s="266">
        <f t="shared" si="131"/>
        <v>74.006996181001156</v>
      </c>
      <c r="AM126" s="266">
        <f t="shared" si="131"/>
        <v>48.581279701638792</v>
      </c>
      <c r="AN126" s="266">
        <f t="shared" si="131"/>
        <v>29.511992342117033</v>
      </c>
      <c r="AO126" s="266">
        <f t="shared" si="131"/>
        <v>35.868421461957624</v>
      </c>
      <c r="AQ126" s="31">
        <f t="shared" si="89"/>
        <v>2.9709329136411236</v>
      </c>
      <c r="AR126" s="31">
        <f t="shared" si="66"/>
        <v>1.5130318137512528</v>
      </c>
      <c r="AS126" s="158">
        <f t="shared" si="67"/>
        <v>0.99847848437835718</v>
      </c>
      <c r="AT126" s="31">
        <f t="shared" si="68"/>
        <v>0.65544293146309329</v>
      </c>
      <c r="AU126" s="31">
        <f t="shared" si="69"/>
        <v>0.39816626677664563</v>
      </c>
      <c r="AV126" s="31">
        <f t="shared" si="70"/>
        <v>0.48392515500546157</v>
      </c>
    </row>
    <row r="127" spans="1:48">
      <c r="A127" s="10">
        <v>2038</v>
      </c>
      <c r="B127" s="9">
        <f>Fig1_future_Kaya!K52</f>
        <v>1524244.9819709845</v>
      </c>
      <c r="C127" s="30">
        <f>Fig1_future_Kaya!S52</f>
        <v>8.9195858042674931</v>
      </c>
      <c r="D127" s="9">
        <f>Fig1_future_Kaya!AN52</f>
        <v>0.9988405368279587</v>
      </c>
      <c r="E127" s="9">
        <f>Fig1_future_Kaya!AO52</f>
        <v>0.6708759291249351</v>
      </c>
      <c r="F127" s="9">
        <f>Fig1_future_Kaya!AP52</f>
        <v>0.36593126761522227</v>
      </c>
      <c r="H127" s="266">
        <f t="shared" ref="H127:M127" si="132">H59</f>
        <v>293.87097179105825</v>
      </c>
      <c r="I127" s="266">
        <f t="shared" si="132"/>
        <v>168.97580877985848</v>
      </c>
      <c r="J127" s="266">
        <f t="shared" si="132"/>
        <v>124.89516301119976</v>
      </c>
      <c r="K127" s="266">
        <f t="shared" si="132"/>
        <v>95.508065832093919</v>
      </c>
      <c r="L127" s="266">
        <f t="shared" si="132"/>
        <v>73.467742947764563</v>
      </c>
      <c r="M127" s="266">
        <f t="shared" si="132"/>
        <v>80.814517242541029</v>
      </c>
      <c r="N127" s="264"/>
      <c r="O127" s="50">
        <f t="shared" si="85"/>
        <v>3.9953621473118348</v>
      </c>
      <c r="P127" s="50">
        <f t="shared" si="77"/>
        <v>2.2973332347043045</v>
      </c>
      <c r="Q127" s="158">
        <f t="shared" si="78"/>
        <v>1.6980289126075296</v>
      </c>
      <c r="R127" s="50">
        <f t="shared" si="79"/>
        <v>1.298492697876346</v>
      </c>
      <c r="S127" s="50">
        <f t="shared" si="80"/>
        <v>0.9988405368279587</v>
      </c>
      <c r="T127" s="50">
        <f t="shared" si="81"/>
        <v>1.0987245905107546</v>
      </c>
      <c r="V127" s="267">
        <f t="shared" ref="V127:AA127" si="133">V59</f>
        <v>261.42928334147746</v>
      </c>
      <c r="W127" s="267">
        <f t="shared" si="133"/>
        <v>141.24816336297238</v>
      </c>
      <c r="X127" s="267">
        <f t="shared" si="133"/>
        <v>98.831297488205905</v>
      </c>
      <c r="Y127" s="267">
        <f t="shared" si="133"/>
        <v>70.553386905028248</v>
      </c>
      <c r="Z127" s="267">
        <f t="shared" si="133"/>
        <v>49.344953967645012</v>
      </c>
      <c r="AA127" s="267">
        <f t="shared" si="133"/>
        <v>56.414431613439433</v>
      </c>
      <c r="AC127" s="31">
        <f t="shared" si="87"/>
        <v>3.5542968279427081</v>
      </c>
      <c r="AD127" s="31">
        <f t="shared" si="60"/>
        <v>1.9203583186126365</v>
      </c>
      <c r="AE127" s="158">
        <f t="shared" si="61"/>
        <v>1.343674138849082</v>
      </c>
      <c r="AF127" s="31">
        <f t="shared" si="62"/>
        <v>0.95921801900671233</v>
      </c>
      <c r="AG127" s="31">
        <f t="shared" si="63"/>
        <v>0.6708759291249351</v>
      </c>
      <c r="AH127" s="31">
        <f t="shared" si="64"/>
        <v>0.76698995908552769</v>
      </c>
      <c r="AJ127" s="266">
        <f t="shared" ref="AJ127:AO127" si="134">AJ59</f>
        <v>215.32281331778057</v>
      </c>
      <c r="AK127" s="266">
        <f t="shared" si="134"/>
        <v>108.55858504771437</v>
      </c>
      <c r="AL127" s="266">
        <f t="shared" si="134"/>
        <v>70.877092717102784</v>
      </c>
      <c r="AM127" s="266">
        <f t="shared" si="134"/>
        <v>45.756097830028367</v>
      </c>
      <c r="AN127" s="266">
        <f t="shared" si="134"/>
        <v>26.915351664722579</v>
      </c>
      <c r="AO127" s="266">
        <f t="shared" si="134"/>
        <v>33.195600386491193</v>
      </c>
      <c r="AQ127" s="31">
        <f t="shared" si="89"/>
        <v>2.9274501409217772</v>
      </c>
      <c r="AR127" s="31">
        <f t="shared" si="66"/>
        <v>1.475922779381396</v>
      </c>
      <c r="AS127" s="158">
        <f t="shared" si="67"/>
        <v>0.9636190047200851</v>
      </c>
      <c r="AT127" s="31">
        <f t="shared" si="68"/>
        <v>0.62208315494587751</v>
      </c>
      <c r="AU127" s="31">
        <f t="shared" si="69"/>
        <v>0.36593126761522227</v>
      </c>
      <c r="AV127" s="31">
        <f t="shared" si="70"/>
        <v>0.45131523005877427</v>
      </c>
    </row>
    <row r="128" spans="1:48">
      <c r="A128" s="10">
        <v>2039</v>
      </c>
      <c r="B128" s="9">
        <f>Fig1_future_Kaya!K53</f>
        <v>1567338.8777970658</v>
      </c>
      <c r="C128" s="30">
        <f>Fig1_future_Kaya!S53</f>
        <v>8.7411940881821426</v>
      </c>
      <c r="D128" s="9">
        <f>Fig1_future_Kaya!AN53</f>
        <v>1.0065384450106416</v>
      </c>
      <c r="E128" s="9">
        <f>Fig1_future_Kaya!AO53</f>
        <v>0.63165545581254523</v>
      </c>
      <c r="F128" s="9">
        <f>Fig1_future_Kaya!AP53</f>
        <v>0.33392189434778879</v>
      </c>
      <c r="H128" s="266">
        <f t="shared" ref="H128:M128" si="135">H60</f>
        <v>293.87097179105825</v>
      </c>
      <c r="I128" s="266">
        <f t="shared" si="135"/>
        <v>168.97580877985848</v>
      </c>
      <c r="J128" s="266">
        <f t="shared" si="135"/>
        <v>124.89516301119976</v>
      </c>
      <c r="K128" s="266">
        <f t="shared" si="135"/>
        <v>95.508065832093919</v>
      </c>
      <c r="L128" s="266">
        <f t="shared" si="135"/>
        <v>73.467742947764563</v>
      </c>
      <c r="M128" s="266">
        <f t="shared" si="135"/>
        <v>80.814517242541029</v>
      </c>
      <c r="N128" s="264"/>
      <c r="O128" s="50">
        <f t="shared" si="85"/>
        <v>4.0261537800425664</v>
      </c>
      <c r="P128" s="50">
        <f t="shared" si="77"/>
        <v>2.3150384235244754</v>
      </c>
      <c r="Q128" s="158">
        <f t="shared" si="78"/>
        <v>1.711115356518091</v>
      </c>
      <c r="R128" s="50">
        <f t="shared" si="79"/>
        <v>1.308499978513834</v>
      </c>
      <c r="S128" s="50">
        <f t="shared" si="80"/>
        <v>1.0065384450106416</v>
      </c>
      <c r="T128" s="50">
        <f t="shared" si="81"/>
        <v>1.1071922895117061</v>
      </c>
      <c r="V128" s="267">
        <f t="shared" ref="V128:AA128" si="136">V60</f>
        <v>257.59496892348477</v>
      </c>
      <c r="W128" s="267">
        <f t="shared" si="136"/>
        <v>137.75056630445789</v>
      </c>
      <c r="X128" s="267">
        <f t="shared" si="136"/>
        <v>95.452541850683744</v>
      </c>
      <c r="Y128" s="267">
        <f t="shared" si="136"/>
        <v>67.253858881500932</v>
      </c>
      <c r="Z128" s="267">
        <f t="shared" si="136"/>
        <v>46.104846654613858</v>
      </c>
      <c r="AA128" s="267">
        <f t="shared" si="136"/>
        <v>53.154517396909569</v>
      </c>
      <c r="AC128" s="31">
        <f t="shared" si="87"/>
        <v>3.5291575466957794</v>
      </c>
      <c r="AD128" s="31">
        <f t="shared" si="60"/>
        <v>1.8872396951952797</v>
      </c>
      <c r="AE128" s="158">
        <f t="shared" si="61"/>
        <v>1.3077392770186331</v>
      </c>
      <c r="AF128" s="31">
        <f t="shared" si="62"/>
        <v>0.92140566490086828</v>
      </c>
      <c r="AG128" s="31">
        <f t="shared" si="63"/>
        <v>0.63165545581254501</v>
      </c>
      <c r="AH128" s="31">
        <f t="shared" si="64"/>
        <v>0.72823885884198647</v>
      </c>
      <c r="AJ128" s="266">
        <f t="shared" ref="AJ128:AO128" si="137">AJ60</f>
        <v>210.49517526827788</v>
      </c>
      <c r="AK128" s="266">
        <f t="shared" si="137"/>
        <v>105.02601376543548</v>
      </c>
      <c r="AL128" s="266">
        <f t="shared" si="137"/>
        <v>67.801603823255832</v>
      </c>
      <c r="AM128" s="266">
        <f t="shared" si="137"/>
        <v>42.985330528469376</v>
      </c>
      <c r="AN128" s="266">
        <f t="shared" si="137"/>
        <v>24.373125557379552</v>
      </c>
      <c r="AO128" s="266">
        <f t="shared" si="137"/>
        <v>30.57719388107617</v>
      </c>
      <c r="AQ128" s="31">
        <f t="shared" si="89"/>
        <v>2.8838709057309022</v>
      </c>
      <c r="AR128" s="31">
        <f t="shared" si="66"/>
        <v>1.4388997992804711</v>
      </c>
      <c r="AS128" s="158">
        <f t="shared" si="67"/>
        <v>0.92890999700384869</v>
      </c>
      <c r="AT128" s="31">
        <f t="shared" si="68"/>
        <v>0.5889167954861001</v>
      </c>
      <c r="AU128" s="31">
        <f t="shared" si="69"/>
        <v>0.33392189434778879</v>
      </c>
      <c r="AV128" s="31">
        <f t="shared" si="70"/>
        <v>0.41892019472722603</v>
      </c>
    </row>
    <row r="129" spans="1:48">
      <c r="A129" s="10">
        <v>2040</v>
      </c>
      <c r="B129" s="9">
        <f>Fig1_future_Kaya!K54</f>
        <v>1611653.6571771752</v>
      </c>
      <c r="C129" s="30">
        <f>Fig1_future_Kaya!S54</f>
        <v>8.5663702064184992</v>
      </c>
      <c r="D129" s="9">
        <f>Fig1_future_Kaya!AN54</f>
        <v>1.0142972660165499</v>
      </c>
      <c r="E129" s="9">
        <f>Fig1_future_Kaya!AO54</f>
        <v>0.59203216888129273</v>
      </c>
      <c r="F129" s="9">
        <f>Fig1_future_Kaya!AP54</f>
        <v>0.30214912403490829</v>
      </c>
      <c r="H129" s="266">
        <f t="shared" ref="H129:M129" si="138">H61</f>
        <v>293.87097179105825</v>
      </c>
      <c r="I129" s="266">
        <f t="shared" si="138"/>
        <v>168.97580877985848</v>
      </c>
      <c r="J129" s="266">
        <f t="shared" si="138"/>
        <v>124.89516301119976</v>
      </c>
      <c r="K129" s="266">
        <f t="shared" si="138"/>
        <v>95.508065832093919</v>
      </c>
      <c r="L129" s="266">
        <f t="shared" si="138"/>
        <v>73.467742947764563</v>
      </c>
      <c r="M129" s="266">
        <f t="shared" si="138"/>
        <v>80.814517242541029</v>
      </c>
      <c r="N129" s="264"/>
      <c r="O129" s="50">
        <f t="shared" si="85"/>
        <v>4.0571890640661996</v>
      </c>
      <c r="P129" s="50">
        <f t="shared" si="77"/>
        <v>2.3328837118380648</v>
      </c>
      <c r="Q129" s="158">
        <f t="shared" si="78"/>
        <v>1.7243053522281349</v>
      </c>
      <c r="R129" s="50">
        <f t="shared" si="79"/>
        <v>1.3185864458215149</v>
      </c>
      <c r="S129" s="50">
        <f t="shared" si="80"/>
        <v>1.0142972660165499</v>
      </c>
      <c r="T129" s="50">
        <f t="shared" si="81"/>
        <v>1.115726992618205</v>
      </c>
      <c r="V129" s="267">
        <f t="shared" ref="V129:AA129" si="139">V61</f>
        <v>253.77808458057098</v>
      </c>
      <c r="W129" s="267">
        <f t="shared" si="139"/>
        <v>134.2703993210223</v>
      </c>
      <c r="X129" s="267">
        <f t="shared" si="139"/>
        <v>92.091216288240432</v>
      </c>
      <c r="Y129" s="267">
        <f t="shared" si="139"/>
        <v>63.971760933052501</v>
      </c>
      <c r="Z129" s="267">
        <f t="shared" si="139"/>
        <v>42.882169416661583</v>
      </c>
      <c r="AA129" s="267">
        <f t="shared" si="139"/>
        <v>49.912033255458567</v>
      </c>
      <c r="AC129" s="31">
        <f t="shared" si="87"/>
        <v>3.5036657863302731</v>
      </c>
      <c r="AD129" s="31">
        <f t="shared" si="60"/>
        <v>1.8537400697758506</v>
      </c>
      <c r="AE129" s="158">
        <f t="shared" si="61"/>
        <v>1.2714133462860546</v>
      </c>
      <c r="AF129" s="31">
        <f t="shared" si="62"/>
        <v>0.88319553062619049</v>
      </c>
      <c r="AG129" s="31">
        <f t="shared" si="63"/>
        <v>0.59203216888129284</v>
      </c>
      <c r="AH129" s="31">
        <f t="shared" si="64"/>
        <v>0.68908662279625876</v>
      </c>
      <c r="AJ129" s="266">
        <f t="shared" ref="AJ129:AO129" si="140">AJ61</f>
        <v>205.72195178882657</v>
      </c>
      <c r="AK129" s="266">
        <f t="shared" si="140"/>
        <v>101.54785705320801</v>
      </c>
      <c r="AL129" s="266">
        <f t="shared" si="140"/>
        <v>64.7805294994603</v>
      </c>
      <c r="AM129" s="266">
        <f t="shared" si="140"/>
        <v>40.268977796961792</v>
      </c>
      <c r="AN129" s="266">
        <f t="shared" si="140"/>
        <v>21.885314020087943</v>
      </c>
      <c r="AO129" s="266">
        <f t="shared" si="140"/>
        <v>28.013201945712574</v>
      </c>
      <c r="AQ129" s="31">
        <f t="shared" si="89"/>
        <v>2.8402017659281364</v>
      </c>
      <c r="AR129" s="31">
        <f t="shared" si="66"/>
        <v>1.4019719355219735</v>
      </c>
      <c r="AS129" s="158">
        <f t="shared" si="67"/>
        <v>0.89436140714332824</v>
      </c>
      <c r="AT129" s="31">
        <f t="shared" si="68"/>
        <v>0.55595438822423093</v>
      </c>
      <c r="AU129" s="31">
        <f t="shared" si="69"/>
        <v>0.30214912403490823</v>
      </c>
      <c r="AV129" s="31">
        <f t="shared" si="70"/>
        <v>0.38675087876468267</v>
      </c>
    </row>
    <row r="130" spans="1:48">
      <c r="A130" s="10">
        <v>2041</v>
      </c>
      <c r="B130" s="9">
        <f>Fig1_future_Kaya!K55</f>
        <v>1657223.9759093316</v>
      </c>
      <c r="C130" s="30">
        <f>Fig1_future_Kaya!S55</f>
        <v>8.3950428022901296</v>
      </c>
      <c r="D130" s="9">
        <f>Fig1_future_Kaya!AN55</f>
        <v>1.0221174913401259</v>
      </c>
      <c r="E130" s="9">
        <f>Fig1_future_Kaya!AO55</f>
        <v>0.56565764543667463</v>
      </c>
      <c r="F130" s="9">
        <f>Fig1_future_Kaya!AP55</f>
        <v>0.27062413873186669</v>
      </c>
      <c r="H130" s="266">
        <f t="shared" ref="H130:M130" si="141">H62</f>
        <v>293.87097179105825</v>
      </c>
      <c r="I130" s="266">
        <f t="shared" si="141"/>
        <v>168.97580877985848</v>
      </c>
      <c r="J130" s="266">
        <f t="shared" si="141"/>
        <v>124.89516301119976</v>
      </c>
      <c r="K130" s="266">
        <f t="shared" si="141"/>
        <v>95.508065832093919</v>
      </c>
      <c r="L130" s="266">
        <f t="shared" si="141"/>
        <v>73.467742947764563</v>
      </c>
      <c r="M130" s="266">
        <f t="shared" si="141"/>
        <v>80.814517242541029</v>
      </c>
      <c r="N130" s="264"/>
      <c r="O130" s="50">
        <f t="shared" si="85"/>
        <v>4.0884699653605034</v>
      </c>
      <c r="P130" s="50">
        <f t="shared" si="77"/>
        <v>2.3508702300822892</v>
      </c>
      <c r="Q130" s="158">
        <f t="shared" si="78"/>
        <v>1.737599735278214</v>
      </c>
      <c r="R130" s="50">
        <f t="shared" si="79"/>
        <v>1.3287527387421634</v>
      </c>
      <c r="S130" s="50">
        <f t="shared" si="80"/>
        <v>1.0221174913401259</v>
      </c>
      <c r="T130" s="50">
        <f t="shared" si="81"/>
        <v>1.1243292404741385</v>
      </c>
      <c r="V130" s="267">
        <f t="shared" ref="V130:AA130" si="142">V62</f>
        <v>250.96003828367776</v>
      </c>
      <c r="W130" s="267">
        <f t="shared" si="142"/>
        <v>131.78907038360731</v>
      </c>
      <c r="X130" s="267">
        <f t="shared" si="142"/>
        <v>89.728728771817742</v>
      </c>
      <c r="Y130" s="267">
        <f t="shared" si="142"/>
        <v>61.688501030624693</v>
      </c>
      <c r="Z130" s="267">
        <f t="shared" si="142"/>
        <v>40.658330224729916</v>
      </c>
      <c r="AA130" s="267">
        <f t="shared" si="142"/>
        <v>47.668387160028189</v>
      </c>
      <c r="AC130" s="31">
        <f t="shared" si="87"/>
        <v>3.4914730528677502</v>
      </c>
      <c r="AD130" s="31">
        <f t="shared" si="60"/>
        <v>1.8335109886568073</v>
      </c>
      <c r="AE130" s="158">
        <f t="shared" si="61"/>
        <v>1.2483479071705921</v>
      </c>
      <c r="AF130" s="31">
        <f t="shared" si="62"/>
        <v>0.85823918617978201</v>
      </c>
      <c r="AG130" s="31">
        <f t="shared" si="63"/>
        <v>0.56565764543667463</v>
      </c>
      <c r="AH130" s="31">
        <f t="shared" si="64"/>
        <v>0.66318482568437731</v>
      </c>
      <c r="AJ130" s="266">
        <f t="shared" ref="AJ130:AO130" si="143">AJ62</f>
        <v>201.00314287942666</v>
      </c>
      <c r="AK130" s="266">
        <f t="shared" si="143"/>
        <v>98.124114911031953</v>
      </c>
      <c r="AL130" s="266">
        <f t="shared" si="143"/>
        <v>61.813869745716175</v>
      </c>
      <c r="AM130" s="266">
        <f t="shared" si="143"/>
        <v>37.607039635505643</v>
      </c>
      <c r="AN130" s="266">
        <f t="shared" si="143"/>
        <v>19.451917052847755</v>
      </c>
      <c r="AO130" s="266">
        <f t="shared" si="143"/>
        <v>25.503624580400395</v>
      </c>
      <c r="AQ130" s="31">
        <f t="shared" si="89"/>
        <v>2.7964494335626213</v>
      </c>
      <c r="AR130" s="31">
        <f t="shared" si="66"/>
        <v>1.3651484331585269</v>
      </c>
      <c r="AS130" s="158">
        <f t="shared" si="67"/>
        <v>0.85998337419237625</v>
      </c>
      <c r="AT130" s="31">
        <f t="shared" si="68"/>
        <v>0.52320666821494211</v>
      </c>
      <c r="AU130" s="31">
        <f t="shared" si="69"/>
        <v>0.27062413873186669</v>
      </c>
      <c r="AV130" s="31">
        <f t="shared" si="70"/>
        <v>0.35481831522622537</v>
      </c>
    </row>
    <row r="131" spans="1:48">
      <c r="A131" s="10">
        <v>2042</v>
      </c>
      <c r="B131" s="9">
        <f>Fig1_future_Kaya!K56</f>
        <v>1704085.4753142451</v>
      </c>
      <c r="C131" s="30">
        <f>Fig1_future_Kaya!S56</f>
        <v>8.2271419462443269</v>
      </c>
      <c r="D131" s="9">
        <f>Fig1_future_Kaya!AN56</f>
        <v>1.02999961649697</v>
      </c>
      <c r="E131" s="9">
        <f>Fig1_future_Kaya!AO56</f>
        <v>0.53900868730918261</v>
      </c>
      <c r="F131" s="9">
        <f>Fig1_future_Kaya!AP56</f>
        <v>0.23935832846137078</v>
      </c>
      <c r="H131" s="266">
        <f t="shared" ref="H131:M131" si="144">H63</f>
        <v>293.87097179105825</v>
      </c>
      <c r="I131" s="266">
        <f t="shared" si="144"/>
        <v>168.97580877985848</v>
      </c>
      <c r="J131" s="266">
        <f t="shared" si="144"/>
        <v>124.89516301119976</v>
      </c>
      <c r="K131" s="266">
        <f t="shared" si="144"/>
        <v>95.508065832093919</v>
      </c>
      <c r="L131" s="266">
        <f t="shared" si="144"/>
        <v>73.467742947764563</v>
      </c>
      <c r="M131" s="266">
        <f t="shared" si="144"/>
        <v>80.814517242541029</v>
      </c>
      <c r="N131" s="264"/>
      <c r="O131" s="50">
        <f t="shared" si="85"/>
        <v>4.1199984659878801</v>
      </c>
      <c r="P131" s="50">
        <f t="shared" si="77"/>
        <v>2.368999117943031</v>
      </c>
      <c r="Q131" s="158">
        <f t="shared" si="78"/>
        <v>1.7509993480448489</v>
      </c>
      <c r="R131" s="50">
        <f t="shared" si="79"/>
        <v>1.3389995014460609</v>
      </c>
      <c r="S131" s="50">
        <f t="shared" si="80"/>
        <v>1.02999961649697</v>
      </c>
      <c r="T131" s="50">
        <f t="shared" si="81"/>
        <v>1.1329995781466671</v>
      </c>
      <c r="V131" s="267">
        <f t="shared" ref="V131:AA131" si="145">V63</f>
        <v>248.15387612888384</v>
      </c>
      <c r="W131" s="267">
        <f t="shared" si="145"/>
        <v>129.31962558829156</v>
      </c>
      <c r="X131" s="267">
        <f t="shared" si="145"/>
        <v>87.378125397494301</v>
      </c>
      <c r="Y131" s="267">
        <f t="shared" si="145"/>
        <v>59.417125270296111</v>
      </c>
      <c r="Z131" s="267">
        <f t="shared" si="145"/>
        <v>38.44637517489749</v>
      </c>
      <c r="AA131" s="267">
        <f t="shared" si="145"/>
        <v>45.436625206697045</v>
      </c>
      <c r="AC131" s="31">
        <f t="shared" si="87"/>
        <v>3.4790560726319981</v>
      </c>
      <c r="AD131" s="31">
        <f t="shared" si="60"/>
        <v>1.813029220949069</v>
      </c>
      <c r="AE131" s="158">
        <f t="shared" si="61"/>
        <v>1.2250197438845063</v>
      </c>
      <c r="AF131" s="31">
        <f t="shared" si="62"/>
        <v>0.83301342584146409</v>
      </c>
      <c r="AG131" s="31">
        <f t="shared" si="63"/>
        <v>0.53900868730918261</v>
      </c>
      <c r="AH131" s="31">
        <f t="shared" si="64"/>
        <v>0.63701026681994333</v>
      </c>
      <c r="AJ131" s="266">
        <f t="shared" ref="AJ131:AO131" si="146">AJ63</f>
        <v>196.33874854007823</v>
      </c>
      <c r="AK131" s="266">
        <f t="shared" si="146"/>
        <v>94.75478733890732</v>
      </c>
      <c r="AL131" s="266">
        <f t="shared" si="146"/>
        <v>58.901624562023478</v>
      </c>
      <c r="AM131" s="266">
        <f t="shared" si="146"/>
        <v>34.999516044100901</v>
      </c>
      <c r="AN131" s="266">
        <f t="shared" si="146"/>
        <v>17.07293465565899</v>
      </c>
      <c r="AO131" s="266">
        <f t="shared" si="146"/>
        <v>23.048461785139637</v>
      </c>
      <c r="AQ131" s="31">
        <f t="shared" si="89"/>
        <v>2.7526207773057618</v>
      </c>
      <c r="AR131" s="31">
        <f t="shared" si="66"/>
        <v>1.3284387229606067</v>
      </c>
      <c r="AS131" s="158">
        <f t="shared" si="67"/>
        <v>0.82578623319172872</v>
      </c>
      <c r="AT131" s="31">
        <f t="shared" si="68"/>
        <v>0.49068457334580967</v>
      </c>
      <c r="AU131" s="31">
        <f t="shared" si="69"/>
        <v>0.23935832846137078</v>
      </c>
      <c r="AV131" s="31">
        <f t="shared" si="70"/>
        <v>0.32313374342285056</v>
      </c>
    </row>
    <row r="132" spans="1:48">
      <c r="A132" s="10">
        <v>2043</v>
      </c>
      <c r="B132" s="9">
        <f>Fig1_future_Kaya!K57</f>
        <v>1752274.8103085933</v>
      </c>
      <c r="C132" s="30">
        <f>Fig1_future_Kaya!S57</f>
        <v>8.062599107319441</v>
      </c>
      <c r="D132" s="9">
        <f>Fig1_future_Kaya!AN57</f>
        <v>1.037944141057056</v>
      </c>
      <c r="E132" s="9">
        <f>Fig1_future_Kaya!AO57</f>
        <v>0.51208377499528546</v>
      </c>
      <c r="F132" s="9">
        <f>Fig1_future_Kaya!AP57</f>
        <v>0.20836329422435393</v>
      </c>
      <c r="H132" s="266">
        <f t="shared" ref="H132:M132" si="147">H64</f>
        <v>293.87097179105825</v>
      </c>
      <c r="I132" s="266">
        <f t="shared" si="147"/>
        <v>168.97580877985848</v>
      </c>
      <c r="J132" s="266">
        <f t="shared" si="147"/>
        <v>124.89516301119976</v>
      </c>
      <c r="K132" s="266">
        <f t="shared" si="147"/>
        <v>95.508065832093919</v>
      </c>
      <c r="L132" s="266">
        <f t="shared" si="147"/>
        <v>73.467742947764563</v>
      </c>
      <c r="M132" s="266">
        <f t="shared" si="147"/>
        <v>80.814517242541029</v>
      </c>
      <c r="N132" s="264"/>
      <c r="O132" s="50">
        <f t="shared" si="85"/>
        <v>4.1517765642282241</v>
      </c>
      <c r="P132" s="50">
        <f t="shared" si="77"/>
        <v>2.3872715244312284</v>
      </c>
      <c r="Q132" s="158">
        <f t="shared" si="78"/>
        <v>1.764505039796995</v>
      </c>
      <c r="R132" s="50">
        <f t="shared" si="79"/>
        <v>1.3493273833741724</v>
      </c>
      <c r="S132" s="50">
        <f t="shared" si="80"/>
        <v>1.037944141057056</v>
      </c>
      <c r="T132" s="50">
        <f t="shared" si="81"/>
        <v>1.1417385551627617</v>
      </c>
      <c r="V132" s="267">
        <f t="shared" ref="V132:AA132" si="148">V64</f>
        <v>245.35959811618909</v>
      </c>
      <c r="W132" s="267">
        <f t="shared" si="148"/>
        <v>126.86206493507503</v>
      </c>
      <c r="X132" s="267">
        <f t="shared" si="148"/>
        <v>85.039406165270094</v>
      </c>
      <c r="Y132" s="267">
        <f t="shared" si="148"/>
        <v>57.157633652066764</v>
      </c>
      <c r="Z132" s="267">
        <f t="shared" si="148"/>
        <v>36.246304267164291</v>
      </c>
      <c r="AA132" s="267">
        <f t="shared" si="148"/>
        <v>43.216747395465134</v>
      </c>
      <c r="AC132" s="31">
        <f t="shared" si="87"/>
        <v>3.4664132461219328</v>
      </c>
      <c r="AD132" s="31">
        <f t="shared" si="60"/>
        <v>1.7922932124834994</v>
      </c>
      <c r="AE132" s="158">
        <f t="shared" si="61"/>
        <v>1.2014273182581701</v>
      </c>
      <c r="AF132" s="31">
        <f t="shared" si="62"/>
        <v>0.80751672210795011</v>
      </c>
      <c r="AG132" s="31">
        <f t="shared" si="63"/>
        <v>0.51208377499528546</v>
      </c>
      <c r="AH132" s="31">
        <f t="shared" si="64"/>
        <v>0.61056142403284064</v>
      </c>
      <c r="AJ132" s="266">
        <f t="shared" ref="AJ132:AO132" si="149">AJ64</f>
        <v>191.72876877078122</v>
      </c>
      <c r="AK132" s="266">
        <f t="shared" si="149"/>
        <v>91.439874336834109</v>
      </c>
      <c r="AL132" s="266">
        <f t="shared" si="149"/>
        <v>56.043793948382209</v>
      </c>
      <c r="AM132" s="266">
        <f t="shared" si="149"/>
        <v>32.446407022747593</v>
      </c>
      <c r="AN132" s="266">
        <f t="shared" si="149"/>
        <v>14.748366828521645</v>
      </c>
      <c r="AO132" s="266">
        <f t="shared" si="149"/>
        <v>20.647713559930303</v>
      </c>
      <c r="AQ132" s="31">
        <f t="shared" si="89"/>
        <v>2.7087228249165993</v>
      </c>
      <c r="AR132" s="31">
        <f t="shared" si="66"/>
        <v>1.2918524241909932</v>
      </c>
      <c r="AS132" s="158">
        <f t="shared" si="67"/>
        <v>0.79178051805254446</v>
      </c>
      <c r="AT132" s="31">
        <f t="shared" si="68"/>
        <v>0.45839924729357839</v>
      </c>
      <c r="AU132" s="31">
        <f t="shared" si="69"/>
        <v>0.20836329422435396</v>
      </c>
      <c r="AV132" s="31">
        <f t="shared" si="70"/>
        <v>0.29170861191409558</v>
      </c>
    </row>
    <row r="133" spans="1:48">
      <c r="A133" s="10">
        <v>2044</v>
      </c>
      <c r="B133" s="9">
        <f>Fig1_future_Kaya!K58</f>
        <v>1801829.6782792439</v>
      </c>
      <c r="C133" s="30">
        <f>Fig1_future_Kaya!S58</f>
        <v>7.9013471251730518</v>
      </c>
      <c r="D133" s="9">
        <f>Fig1_future_Kaya!AN58</f>
        <v>1.0459515686782226</v>
      </c>
      <c r="E133" s="9">
        <f>Fig1_future_Kaya!AO58</f>
        <v>0.48488139144659537</v>
      </c>
      <c r="F133" s="9">
        <f>Fig1_future_Kaya!AP58</f>
        <v>0.17765085104934755</v>
      </c>
      <c r="H133" s="266">
        <f t="shared" ref="H133:M133" si="150">H65</f>
        <v>293.87097179105825</v>
      </c>
      <c r="I133" s="266">
        <f t="shared" si="150"/>
        <v>168.97580877985848</v>
      </c>
      <c r="J133" s="266">
        <f t="shared" si="150"/>
        <v>124.89516301119976</v>
      </c>
      <c r="K133" s="266">
        <f t="shared" si="150"/>
        <v>95.508065832093919</v>
      </c>
      <c r="L133" s="266">
        <f t="shared" si="150"/>
        <v>73.467742947764563</v>
      </c>
      <c r="M133" s="266">
        <f t="shared" si="150"/>
        <v>80.814517242541029</v>
      </c>
      <c r="N133" s="264"/>
      <c r="O133" s="50">
        <f t="shared" si="85"/>
        <v>4.1838062747128903</v>
      </c>
      <c r="P133" s="50">
        <f t="shared" si="77"/>
        <v>2.4056886079599118</v>
      </c>
      <c r="Q133" s="158">
        <f t="shared" si="78"/>
        <v>1.7781176667529783</v>
      </c>
      <c r="R133" s="50">
        <f t="shared" si="79"/>
        <v>1.3597370392816892</v>
      </c>
      <c r="S133" s="50">
        <f t="shared" si="80"/>
        <v>1.0459515686782226</v>
      </c>
      <c r="T133" s="50">
        <f t="shared" si="81"/>
        <v>1.1505467255460449</v>
      </c>
      <c r="V133" s="267">
        <f t="shared" ref="V133:AA133" si="151">V65</f>
        <v>242.57720424559363</v>
      </c>
      <c r="W133" s="267">
        <f t="shared" si="151"/>
        <v>124.41638842395774</v>
      </c>
      <c r="X133" s="267">
        <f t="shared" si="151"/>
        <v>82.712571075145092</v>
      </c>
      <c r="Y133" s="267">
        <f t="shared" si="151"/>
        <v>54.91002617593665</v>
      </c>
      <c r="Z133" s="267">
        <f t="shared" si="151"/>
        <v>34.058117501530333</v>
      </c>
      <c r="AA133" s="267">
        <f t="shared" si="151"/>
        <v>41.008753726332451</v>
      </c>
      <c r="AC133" s="31">
        <f t="shared" si="87"/>
        <v>3.4535429717318742</v>
      </c>
      <c r="AD133" s="31">
        <f t="shared" si="60"/>
        <v>1.7713014095702158</v>
      </c>
      <c r="AE133" s="158">
        <f t="shared" si="61"/>
        <v>1.1775690935131602</v>
      </c>
      <c r="AF133" s="31">
        <f t="shared" si="62"/>
        <v>0.78174754947512304</v>
      </c>
      <c r="AG133" s="31">
        <f t="shared" si="63"/>
        <v>0.48488139144659537</v>
      </c>
      <c r="AH133" s="31">
        <f t="shared" si="64"/>
        <v>0.58383677745610474</v>
      </c>
      <c r="AJ133" s="266">
        <f t="shared" ref="AJ133:AO133" si="152">AJ65</f>
        <v>187.17320357153557</v>
      </c>
      <c r="AK133" s="266">
        <f t="shared" si="152"/>
        <v>88.179375904812304</v>
      </c>
      <c r="AL133" s="266">
        <f t="shared" si="152"/>
        <v>53.240377904792354</v>
      </c>
      <c r="AM133" s="266">
        <f t="shared" si="152"/>
        <v>29.947712571445695</v>
      </c>
      <c r="AN133" s="266">
        <f t="shared" si="152"/>
        <v>12.478213571435719</v>
      </c>
      <c r="AO133" s="266">
        <f t="shared" si="152"/>
        <v>18.301379904772389</v>
      </c>
      <c r="AQ133" s="31">
        <f t="shared" si="89"/>
        <v>2.66476276574021</v>
      </c>
      <c r="AR133" s="31">
        <f t="shared" si="66"/>
        <v>1.2553993474153877</v>
      </c>
      <c r="AS133" s="158">
        <f t="shared" si="67"/>
        <v>0.75797696447721552</v>
      </c>
      <c r="AT133" s="31">
        <f t="shared" si="68"/>
        <v>0.42636204251843368</v>
      </c>
      <c r="AU133" s="31">
        <f t="shared" si="69"/>
        <v>0.17765085104934755</v>
      </c>
      <c r="AV133" s="31">
        <f t="shared" si="70"/>
        <v>0.2605545815390431</v>
      </c>
    </row>
    <row r="134" spans="1:48">
      <c r="A134" s="10">
        <v>2045</v>
      </c>
      <c r="B134" s="9">
        <f>Fig1_future_Kaya!K59</f>
        <v>1852788.8487813072</v>
      </c>
      <c r="C134" s="30">
        <f>Fig1_future_Kaya!S59</f>
        <v>7.7433201826695903</v>
      </c>
      <c r="D134" s="9">
        <f>Fig1_future_Kaya!AN59</f>
        <v>1.054022407139944</v>
      </c>
      <c r="E134" s="9">
        <f>Fig1_future_Kaya!AO59</f>
        <v>0.45740002228716209</v>
      </c>
      <c r="F134" s="9">
        <f>Fig1_future_Kaya!AP59</f>
        <v>0.14723303108087271</v>
      </c>
      <c r="H134" s="266">
        <f t="shared" ref="H134:M134" si="153">H66</f>
        <v>293.87097179105825</v>
      </c>
      <c r="I134" s="266">
        <f t="shared" si="153"/>
        <v>168.97580877985848</v>
      </c>
      <c r="J134" s="266">
        <f t="shared" si="153"/>
        <v>124.89516301119976</v>
      </c>
      <c r="K134" s="266">
        <f t="shared" si="153"/>
        <v>95.508065832093919</v>
      </c>
      <c r="L134" s="266">
        <f t="shared" si="153"/>
        <v>73.467742947764563</v>
      </c>
      <c r="M134" s="266">
        <f t="shared" si="153"/>
        <v>80.814517242541029</v>
      </c>
      <c r="N134" s="264"/>
      <c r="O134" s="50">
        <f t="shared" si="85"/>
        <v>4.216089628559776</v>
      </c>
      <c r="P134" s="50">
        <f t="shared" si="77"/>
        <v>2.4242515364218713</v>
      </c>
      <c r="Q134" s="158">
        <f t="shared" si="78"/>
        <v>1.7918380921379049</v>
      </c>
      <c r="R134" s="50">
        <f t="shared" si="79"/>
        <v>1.3702291292819271</v>
      </c>
      <c r="S134" s="50">
        <f t="shared" si="80"/>
        <v>1.054022407139944</v>
      </c>
      <c r="T134" s="50">
        <f t="shared" si="81"/>
        <v>1.1594246478539385</v>
      </c>
      <c r="V134" s="267">
        <f t="shared" ref="V134:AA134" si="154">V66</f>
        <v>239.80669451709736</v>
      </c>
      <c r="W134" s="267">
        <f t="shared" si="154"/>
        <v>121.98259605493969</v>
      </c>
      <c r="X134" s="267">
        <f t="shared" si="154"/>
        <v>80.397620127119353</v>
      </c>
      <c r="Y134" s="267">
        <f t="shared" si="154"/>
        <v>52.674302841905771</v>
      </c>
      <c r="Z134" s="267">
        <f t="shared" si="154"/>
        <v>31.881814877995602</v>
      </c>
      <c r="AA134" s="267">
        <f t="shared" si="154"/>
        <v>38.812644199299001</v>
      </c>
      <c r="AC134" s="31">
        <f t="shared" si="87"/>
        <v>3.440443645899089</v>
      </c>
      <c r="AD134" s="31">
        <f t="shared" si="60"/>
        <v>1.7500522591856635</v>
      </c>
      <c r="AE134" s="158">
        <f t="shared" si="61"/>
        <v>1.1534435344632785</v>
      </c>
      <c r="AF134" s="31">
        <f t="shared" si="62"/>
        <v>0.75570438464835465</v>
      </c>
      <c r="AG134" s="31">
        <f t="shared" si="63"/>
        <v>0.45740002228716209</v>
      </c>
      <c r="AH134" s="31">
        <f t="shared" si="64"/>
        <v>0.55683480974089317</v>
      </c>
      <c r="AJ134" s="266">
        <f t="shared" ref="AJ134:AO134" si="155">AJ66</f>
        <v>182.6720529423414</v>
      </c>
      <c r="AK134" s="266">
        <f t="shared" si="155"/>
        <v>84.973292042841933</v>
      </c>
      <c r="AL134" s="266">
        <f t="shared" si="155"/>
        <v>50.491376431253926</v>
      </c>
      <c r="AM134" s="266">
        <f t="shared" si="155"/>
        <v>27.503432690195222</v>
      </c>
      <c r="AN134" s="266">
        <f t="shared" si="155"/>
        <v>10.262474884401216</v>
      </c>
      <c r="AO134" s="266">
        <f t="shared" si="155"/>
        <v>16.009460819665897</v>
      </c>
      <c r="AQ134" s="31">
        <f t="shared" si="89"/>
        <v>2.620747953239531</v>
      </c>
      <c r="AR134" s="31">
        <f t="shared" si="66"/>
        <v>1.2190894973496245</v>
      </c>
      <c r="AS134" s="158">
        <f t="shared" si="67"/>
        <v>0.72438651291789302</v>
      </c>
      <c r="AT134" s="31">
        <f t="shared" si="68"/>
        <v>0.39458452329673838</v>
      </c>
      <c r="AU134" s="31">
        <f t="shared" si="69"/>
        <v>0.14723303108087274</v>
      </c>
      <c r="AV134" s="31">
        <f t="shared" si="70"/>
        <v>0.22968352848616147</v>
      </c>
    </row>
    <row r="135" spans="1:48">
      <c r="A135" s="10">
        <v>2046</v>
      </c>
      <c r="B135" s="9">
        <f>Fig1_future_Kaya!K60</f>
        <v>1905192.1940835619</v>
      </c>
      <c r="C135" s="30">
        <f>Fig1_future_Kaya!S60</f>
        <v>7.5884537790161986</v>
      </c>
      <c r="D135" s="9">
        <f>Fig1_future_Kaya!AN60</f>
        <v>1.0621571683773825</v>
      </c>
      <c r="E135" s="9">
        <f>Fig1_future_Kaya!AO60</f>
        <v>0.43763142405408334</v>
      </c>
      <c r="F135" s="9">
        <f>Fig1_future_Kaya!AP60</f>
        <v>0.11712208670731901</v>
      </c>
      <c r="H135" s="266">
        <f t="shared" ref="H135:M135" si="156">H67</f>
        <v>293.87097179105825</v>
      </c>
      <c r="I135" s="266">
        <f t="shared" si="156"/>
        <v>168.97580877985848</v>
      </c>
      <c r="J135" s="266">
        <f t="shared" si="156"/>
        <v>124.89516301119976</v>
      </c>
      <c r="K135" s="266">
        <f t="shared" si="156"/>
        <v>95.508065832093919</v>
      </c>
      <c r="L135" s="266">
        <f t="shared" si="156"/>
        <v>73.467742947764563</v>
      </c>
      <c r="M135" s="266">
        <f t="shared" si="156"/>
        <v>80.814517242541029</v>
      </c>
      <c r="N135" s="264"/>
      <c r="O135" s="50">
        <f t="shared" si="85"/>
        <v>4.24862867350953</v>
      </c>
      <c r="P135" s="50">
        <f t="shared" si="77"/>
        <v>2.4429614872679797</v>
      </c>
      <c r="Q135" s="158">
        <f t="shared" si="78"/>
        <v>1.8056671862415503</v>
      </c>
      <c r="R135" s="50">
        <f t="shared" si="79"/>
        <v>1.3808043188905972</v>
      </c>
      <c r="S135" s="50">
        <f t="shared" si="80"/>
        <v>1.0621571683773825</v>
      </c>
      <c r="T135" s="50">
        <f t="shared" si="81"/>
        <v>1.1683728852151207</v>
      </c>
      <c r="V135" s="267">
        <f t="shared" ref="V135:AA135" si="157">V67</f>
        <v>237.60095072412471</v>
      </c>
      <c r="W135" s="267">
        <f t="shared" si="157"/>
        <v>120.11356962144524</v>
      </c>
      <c r="X135" s="267">
        <f t="shared" si="157"/>
        <v>78.647435114617195</v>
      </c>
      <c r="Y135" s="267">
        <f t="shared" si="157"/>
        <v>51.003345443398487</v>
      </c>
      <c r="Z135" s="267">
        <f t="shared" si="157"/>
        <v>30.270278189984467</v>
      </c>
      <c r="AA135" s="267">
        <f t="shared" si="157"/>
        <v>37.181300607789154</v>
      </c>
      <c r="AC135" s="31">
        <f t="shared" si="87"/>
        <v>3.4351069312738329</v>
      </c>
      <c r="AD135" s="31">
        <f t="shared" si="60"/>
        <v>1.7365374771826412</v>
      </c>
      <c r="AE135" s="158">
        <f t="shared" si="61"/>
        <v>1.1370423757386916</v>
      </c>
      <c r="AF135" s="31">
        <f t="shared" si="62"/>
        <v>0.73737897477605818</v>
      </c>
      <c r="AG135" s="31">
        <f t="shared" si="63"/>
        <v>0.43763142405408328</v>
      </c>
      <c r="AH135" s="31">
        <f t="shared" si="64"/>
        <v>0.53754727429474169</v>
      </c>
      <c r="AJ135" s="266">
        <f t="shared" ref="AJ135:AO135" si="158">AJ67</f>
        <v>178.22531688319862</v>
      </c>
      <c r="AK135" s="266">
        <f t="shared" si="158"/>
        <v>81.821622750923012</v>
      </c>
      <c r="AL135" s="266">
        <f t="shared" si="158"/>
        <v>47.796789527766919</v>
      </c>
      <c r="AM135" s="266">
        <f t="shared" si="158"/>
        <v>25.113567378996173</v>
      </c>
      <c r="AN135" s="266">
        <f t="shared" si="158"/>
        <v>8.1011507674181349</v>
      </c>
      <c r="AO135" s="266">
        <f t="shared" si="158"/>
        <v>13.771956304610825</v>
      </c>
      <c r="AQ135" s="31">
        <f t="shared" si="89"/>
        <v>2.5766859075610129</v>
      </c>
      <c r="AR135" s="31">
        <f t="shared" si="66"/>
        <v>1.1829330757439196</v>
      </c>
      <c r="AS135" s="158">
        <f t="shared" si="67"/>
        <v>0.691020311573181</v>
      </c>
      <c r="AT135" s="31">
        <f t="shared" si="68"/>
        <v>0.36307846879268824</v>
      </c>
      <c r="AU135" s="31">
        <f t="shared" si="69"/>
        <v>0.11712208670731901</v>
      </c>
      <c r="AV135" s="31">
        <f t="shared" si="70"/>
        <v>0.19910754740244224</v>
      </c>
    </row>
    <row r="136" spans="1:48">
      <c r="A136" s="10">
        <v>2047</v>
      </c>
      <c r="B136" s="9">
        <f>Fig1_future_Kaya!K61</f>
        <v>1959080.7205854594</v>
      </c>
      <c r="C136" s="30">
        <f>Fig1_future_Kaya!S61</f>
        <v>7.4366847034358745</v>
      </c>
      <c r="D136" s="9">
        <f>Fig1_future_Kaya!AN61</f>
        <v>1.07035636851572</v>
      </c>
      <c r="E136" s="9">
        <f>Fig1_future_Kaya!AO61</f>
        <v>0.41765805569978753</v>
      </c>
      <c r="F136" s="9">
        <f>Fig1_future_Kaya!AP61</f>
        <v>8.7330493728776812E-2</v>
      </c>
      <c r="H136" s="266">
        <f t="shared" ref="H136:M136" si="159">H68</f>
        <v>293.87097179105825</v>
      </c>
      <c r="I136" s="266">
        <f t="shared" si="159"/>
        <v>168.97580877985848</v>
      </c>
      <c r="J136" s="266">
        <f t="shared" si="159"/>
        <v>124.89516301119976</v>
      </c>
      <c r="K136" s="266">
        <f t="shared" si="159"/>
        <v>95.508065832093919</v>
      </c>
      <c r="L136" s="266">
        <f t="shared" si="159"/>
        <v>73.467742947764563</v>
      </c>
      <c r="M136" s="266">
        <f t="shared" si="159"/>
        <v>80.814517242541029</v>
      </c>
      <c r="N136" s="264"/>
      <c r="O136" s="50">
        <f t="shared" si="85"/>
        <v>4.2814254740628801</v>
      </c>
      <c r="P136" s="50">
        <f t="shared" si="77"/>
        <v>2.461819647586156</v>
      </c>
      <c r="Q136" s="158">
        <f t="shared" si="78"/>
        <v>1.8196058264767239</v>
      </c>
      <c r="R136" s="50">
        <f t="shared" si="79"/>
        <v>1.3914632790704358</v>
      </c>
      <c r="S136" s="50">
        <f t="shared" si="80"/>
        <v>1.07035636851572</v>
      </c>
      <c r="T136" s="50">
        <f t="shared" si="81"/>
        <v>1.1773920053672922</v>
      </c>
      <c r="V136" s="267">
        <f t="shared" ref="V136:AA136" si="160">V68</f>
        <v>235.40392196869152</v>
      </c>
      <c r="W136" s="267">
        <f t="shared" si="160"/>
        <v>118.25325822549021</v>
      </c>
      <c r="X136" s="267">
        <f t="shared" si="160"/>
        <v>76.905965139654484</v>
      </c>
      <c r="Y136" s="267">
        <f t="shared" si="160"/>
        <v>49.341103082430635</v>
      </c>
      <c r="Z136" s="267">
        <f t="shared" si="160"/>
        <v>28.667456539512777</v>
      </c>
      <c r="AA136" s="267">
        <f t="shared" si="160"/>
        <v>35.558672053818746</v>
      </c>
      <c r="AC136" s="31">
        <f t="shared" si="87"/>
        <v>3.4296151881501795</v>
      </c>
      <c r="AD136" s="31">
        <f t="shared" si="60"/>
        <v>1.7228394797616235</v>
      </c>
      <c r="AE136" s="158">
        <f t="shared" si="61"/>
        <v>1.1204480532715457</v>
      </c>
      <c r="AF136" s="31">
        <f t="shared" si="62"/>
        <v>0.71885376894482644</v>
      </c>
      <c r="AG136" s="31">
        <f t="shared" si="63"/>
        <v>0.41765805569978753</v>
      </c>
      <c r="AH136" s="31">
        <f t="shared" si="64"/>
        <v>0.51805662678146747</v>
      </c>
      <c r="AJ136" s="266">
        <f t="shared" ref="AJ136:AO136" si="161">AJ68</f>
        <v>173.83299539410729</v>
      </c>
      <c r="AK136" s="266">
        <f t="shared" si="161"/>
        <v>78.724368029055483</v>
      </c>
      <c r="AL136" s="266">
        <f t="shared" si="161"/>
        <v>45.156617194331332</v>
      </c>
      <c r="AM136" s="266">
        <f t="shared" si="161"/>
        <v>22.778116637848548</v>
      </c>
      <c r="AN136" s="266">
        <f t="shared" si="161"/>
        <v>5.9942412204864741</v>
      </c>
      <c r="AO136" s="266">
        <f t="shared" si="161"/>
        <v>11.588866359607175</v>
      </c>
      <c r="AQ136" s="31">
        <f t="shared" si="89"/>
        <v>2.5325843181345205</v>
      </c>
      <c r="AR136" s="31">
        <f t="shared" si="66"/>
        <v>1.1469404843045989</v>
      </c>
      <c r="AS136" s="158">
        <f t="shared" si="67"/>
        <v>0.65788971942345031</v>
      </c>
      <c r="AT136" s="31">
        <f t="shared" si="68"/>
        <v>0.33185587616935108</v>
      </c>
      <c r="AU136" s="31">
        <f t="shared" si="69"/>
        <v>8.7330493728776812E-2</v>
      </c>
      <c r="AV136" s="31">
        <f t="shared" si="70"/>
        <v>0.16883895454230172</v>
      </c>
    </row>
    <row r="137" spans="1:48">
      <c r="A137" s="10">
        <v>2048</v>
      </c>
      <c r="B137" s="9">
        <f>Fig1_future_Kaya!K62</f>
        <v>2014496.6011306217</v>
      </c>
      <c r="C137" s="30">
        <f>Fig1_future_Kaya!S62</f>
        <v>7.2879510093671565</v>
      </c>
      <c r="D137" s="9">
        <f>Fig1_future_Kaya!AN62</f>
        <v>1.0786205279047796</v>
      </c>
      <c r="E137" s="9">
        <f>Fig1_future_Kaya!AO62</f>
        <v>0.39747880931528806</v>
      </c>
      <c r="F137" s="9">
        <f>Fig1_future_Kaya!AP62</f>
        <v>5.7870954565300212E-2</v>
      </c>
      <c r="H137" s="266">
        <f t="shared" ref="H137:M137" si="162">H69</f>
        <v>293.87097179105825</v>
      </c>
      <c r="I137" s="266">
        <f t="shared" si="162"/>
        <v>168.97580877985848</v>
      </c>
      <c r="J137" s="266">
        <f t="shared" si="162"/>
        <v>124.89516301119976</v>
      </c>
      <c r="K137" s="266">
        <f t="shared" si="162"/>
        <v>95.508065832093919</v>
      </c>
      <c r="L137" s="266">
        <f t="shared" si="162"/>
        <v>73.467742947764563</v>
      </c>
      <c r="M137" s="266">
        <f t="shared" si="162"/>
        <v>80.814517242541029</v>
      </c>
      <c r="N137" s="264"/>
      <c r="O137" s="50">
        <f t="shared" si="85"/>
        <v>4.3144821116191183</v>
      </c>
      <c r="P137" s="50">
        <f t="shared" si="77"/>
        <v>2.4808272141809931</v>
      </c>
      <c r="Q137" s="158">
        <f t="shared" si="78"/>
        <v>1.8336548974381257</v>
      </c>
      <c r="R137" s="50">
        <f t="shared" si="79"/>
        <v>1.4022066862762135</v>
      </c>
      <c r="S137" s="50">
        <f t="shared" si="80"/>
        <v>1.0786205279047796</v>
      </c>
      <c r="T137" s="50">
        <f t="shared" si="81"/>
        <v>1.1864825806952579</v>
      </c>
      <c r="V137" s="267">
        <f t="shared" ref="V137:AA137" si="163">V69</f>
        <v>233.21560825079771</v>
      </c>
      <c r="W137" s="267">
        <f t="shared" si="163"/>
        <v>116.40166186707464</v>
      </c>
      <c r="X137" s="267">
        <f t="shared" si="163"/>
        <v>75.173210202231189</v>
      </c>
      <c r="Y137" s="267">
        <f t="shared" si="163"/>
        <v>47.687575759002229</v>
      </c>
      <c r="Z137" s="267">
        <f t="shared" si="163"/>
        <v>27.073349926580519</v>
      </c>
      <c r="AA137" s="267">
        <f t="shared" si="163"/>
        <v>33.94475853738777</v>
      </c>
      <c r="AC137" s="31">
        <f t="shared" si="87"/>
        <v>3.4239672051169743</v>
      </c>
      <c r="AD137" s="31">
        <f t="shared" si="60"/>
        <v>1.7089571141626854</v>
      </c>
      <c r="AE137" s="158">
        <f t="shared" si="61"/>
        <v>1.1036594350023481</v>
      </c>
      <c r="AF137" s="31">
        <f t="shared" si="62"/>
        <v>0.70012764889545653</v>
      </c>
      <c r="AG137" s="31">
        <f t="shared" si="63"/>
        <v>0.39747880931528806</v>
      </c>
      <c r="AH137" s="31">
        <f t="shared" si="64"/>
        <v>0.49836175584201109</v>
      </c>
      <c r="AJ137" s="266">
        <f t="shared" ref="AJ137:AO137" si="164">AJ69</f>
        <v>169.49508847506735</v>
      </c>
      <c r="AK137" s="266">
        <f t="shared" si="164"/>
        <v>75.681527877239375</v>
      </c>
      <c r="AL137" s="266">
        <f t="shared" si="164"/>
        <v>42.570859430947159</v>
      </c>
      <c r="AM137" s="266">
        <f t="shared" si="164"/>
        <v>20.497080466752337</v>
      </c>
      <c r="AN137" s="266">
        <f t="shared" si="164"/>
        <v>3.9417462436062336</v>
      </c>
      <c r="AO137" s="266">
        <f t="shared" si="164"/>
        <v>9.460190984654945</v>
      </c>
      <c r="AQ137" s="31">
        <f t="shared" si="89"/>
        <v>2.4884510463078988</v>
      </c>
      <c r="AR137" s="31">
        <f t="shared" si="66"/>
        <v>1.1111223276537594</v>
      </c>
      <c r="AS137" s="158">
        <f t="shared" si="67"/>
        <v>0.62500630930523993</v>
      </c>
      <c r="AT137" s="31">
        <f t="shared" si="68"/>
        <v>0.30092896373955996</v>
      </c>
      <c r="AU137" s="31">
        <f t="shared" si="69"/>
        <v>5.7870954565300212E-2</v>
      </c>
      <c r="AV137" s="31">
        <f t="shared" si="70"/>
        <v>0.13889029095672029</v>
      </c>
    </row>
    <row r="138" spans="1:48">
      <c r="A138" s="10">
        <v>2049</v>
      </c>
      <c r="B138" s="9">
        <f>Fig1_future_Kaya!K63</f>
        <v>2071483.2082424473</v>
      </c>
      <c r="C138" s="30">
        <f>Fig1_future_Kaya!S63</f>
        <v>7.1421919891798131</v>
      </c>
      <c r="D138" s="9">
        <f>Fig1_future_Kaya!AN63</f>
        <v>1.0869501711539342</v>
      </c>
      <c r="E138" s="9">
        <f>Fig1_future_Kaya!AO63</f>
        <v>0.3770925794179551</v>
      </c>
      <c r="F138" s="9">
        <f>Fig1_future_Kaya!AP63</f>
        <v>2.8756401506078243E-2</v>
      </c>
      <c r="H138" s="266">
        <f t="shared" ref="H138:M138" si="165">H70</f>
        <v>293.87097179105825</v>
      </c>
      <c r="I138" s="266">
        <f t="shared" si="165"/>
        <v>168.97580877985848</v>
      </c>
      <c r="J138" s="266">
        <f t="shared" si="165"/>
        <v>124.89516301119976</v>
      </c>
      <c r="K138" s="266">
        <f t="shared" si="165"/>
        <v>95.508065832093919</v>
      </c>
      <c r="L138" s="266">
        <f t="shared" si="165"/>
        <v>73.467742947764563</v>
      </c>
      <c r="M138" s="266">
        <f t="shared" si="165"/>
        <v>80.814517242541029</v>
      </c>
      <c r="N138" s="264"/>
      <c r="O138" s="50">
        <f t="shared" si="85"/>
        <v>4.3478006846157369</v>
      </c>
      <c r="P138" s="50">
        <f t="shared" si="77"/>
        <v>2.4999853936540486</v>
      </c>
      <c r="Q138" s="158">
        <f t="shared" si="78"/>
        <v>1.8478152909616883</v>
      </c>
      <c r="R138" s="50">
        <f t="shared" si="79"/>
        <v>1.4130352225001144</v>
      </c>
      <c r="S138" s="50">
        <f t="shared" si="80"/>
        <v>1.0869501711539342</v>
      </c>
      <c r="T138" s="50">
        <f t="shared" si="81"/>
        <v>1.195645188269328</v>
      </c>
      <c r="V138" s="267">
        <f t="shared" ref="V138:AA138" si="166">V70</f>
        <v>231.03600957044338</v>
      </c>
      <c r="W138" s="267">
        <f t="shared" si="166"/>
        <v>114.55878054619848</v>
      </c>
      <c r="X138" s="267">
        <f t="shared" si="166"/>
        <v>73.449170302347355</v>
      </c>
      <c r="Y138" s="267">
        <f t="shared" si="166"/>
        <v>46.042763473113254</v>
      </c>
      <c r="Z138" s="267">
        <f t="shared" si="166"/>
        <v>25.4879583511877</v>
      </c>
      <c r="AA138" s="267">
        <f t="shared" si="166"/>
        <v>32.339560058496232</v>
      </c>
      <c r="AC138" s="31">
        <f t="shared" si="87"/>
        <v>3.4181617682724323</v>
      </c>
      <c r="AD138" s="31">
        <f t="shared" si="60"/>
        <v>1.6948892279215615</v>
      </c>
      <c r="AE138" s="158">
        <f t="shared" si="61"/>
        <v>1.0866753901506665</v>
      </c>
      <c r="AF138" s="31">
        <f t="shared" si="62"/>
        <v>0.68119949830340265</v>
      </c>
      <c r="AG138" s="31">
        <f t="shared" si="63"/>
        <v>0.3770925794179551</v>
      </c>
      <c r="AH138" s="31">
        <f t="shared" si="64"/>
        <v>0.47846155237977117</v>
      </c>
      <c r="AJ138" s="266">
        <f t="shared" ref="AJ138:AO138" si="167">AJ70</f>
        <v>165.21159612607883</v>
      </c>
      <c r="AK138" s="266">
        <f t="shared" si="167"/>
        <v>72.693102295474688</v>
      </c>
      <c r="AL138" s="266">
        <f t="shared" si="167"/>
        <v>40.039516237614414</v>
      </c>
      <c r="AM138" s="266">
        <f t="shared" si="167"/>
        <v>18.270458865707546</v>
      </c>
      <c r="AN138" s="266">
        <f t="shared" si="167"/>
        <v>1.9436658367774151</v>
      </c>
      <c r="AO138" s="266">
        <f t="shared" si="167"/>
        <v>7.385930179754137</v>
      </c>
      <c r="AQ138" s="31">
        <f t="shared" si="89"/>
        <v>2.444294128016629</v>
      </c>
      <c r="AR138" s="31">
        <f t="shared" si="66"/>
        <v>1.075489416327317</v>
      </c>
      <c r="AS138" s="158">
        <f t="shared" si="67"/>
        <v>0.59238187102520679</v>
      </c>
      <c r="AT138" s="31">
        <f t="shared" si="68"/>
        <v>0.27031017415713321</v>
      </c>
      <c r="AU138" s="31">
        <f t="shared" si="69"/>
        <v>2.8756401506078243E-2</v>
      </c>
      <c r="AV138" s="31">
        <f t="shared" si="70"/>
        <v>0.10927432572309673</v>
      </c>
    </row>
    <row r="139" spans="1:48">
      <c r="A139" s="10">
        <v>2050</v>
      </c>
      <c r="B139" s="9">
        <f>Fig1_future_Kaya!K64</f>
        <v>2130085.14830817</v>
      </c>
      <c r="C139" s="30">
        <f>Fig1_future_Kaya!S64</f>
        <v>6.9993481493962166</v>
      </c>
      <c r="D139" s="9">
        <f>Fig1_future_Kaya!AN64</f>
        <v>1.0953458271673011</v>
      </c>
      <c r="E139" s="9">
        <f>Fig1_future_Kaya!AO64</f>
        <v>0.35649826312316368</v>
      </c>
      <c r="F139" s="9">
        <f>Fig1_future_Kaya!AP64</f>
        <v>0</v>
      </c>
      <c r="H139" s="266">
        <f t="shared" ref="H139:M139" si="168">H71</f>
        <v>293.87097179105825</v>
      </c>
      <c r="I139" s="266">
        <f t="shared" si="168"/>
        <v>168.97580877985848</v>
      </c>
      <c r="J139" s="266">
        <f t="shared" si="168"/>
        <v>124.89516301119976</v>
      </c>
      <c r="K139" s="266">
        <f t="shared" si="168"/>
        <v>95.508065832093919</v>
      </c>
      <c r="L139" s="266">
        <f t="shared" si="168"/>
        <v>73.467742947764563</v>
      </c>
      <c r="M139" s="266">
        <f t="shared" si="168"/>
        <v>80.814517242541029</v>
      </c>
      <c r="N139" s="264"/>
      <c r="O139" s="50">
        <f t="shared" si="85"/>
        <v>4.3813833086692044</v>
      </c>
      <c r="P139" s="50">
        <f t="shared" si="77"/>
        <v>2.5192954024847927</v>
      </c>
      <c r="Q139" s="158">
        <f t="shared" si="78"/>
        <v>1.862087906184412</v>
      </c>
      <c r="R139" s="50">
        <f t="shared" si="79"/>
        <v>1.4239495753174913</v>
      </c>
      <c r="S139" s="50">
        <f t="shared" si="80"/>
        <v>1.0953458271673011</v>
      </c>
      <c r="T139" s="50">
        <f t="shared" si="81"/>
        <v>1.2048804098840316</v>
      </c>
      <c r="V139" s="267">
        <f t="shared" ref="V139:AA139" si="169">V71</f>
        <v>228.86512592762847</v>
      </c>
      <c r="W139" s="267">
        <f t="shared" si="169"/>
        <v>112.72461426286178</v>
      </c>
      <c r="X139" s="267">
        <f t="shared" si="169"/>
        <v>71.733845440002966</v>
      </c>
      <c r="Y139" s="267">
        <f t="shared" si="169"/>
        <v>44.406666224763725</v>
      </c>
      <c r="Z139" s="267">
        <f t="shared" si="169"/>
        <v>23.91128181333432</v>
      </c>
      <c r="AA139" s="267">
        <f t="shared" si="169"/>
        <v>30.743076617144133</v>
      </c>
      <c r="AC139" s="31">
        <f t="shared" si="87"/>
        <v>3.4121976613217098</v>
      </c>
      <c r="AD139" s="31">
        <f t="shared" si="60"/>
        <v>1.6806346690092</v>
      </c>
      <c r="AE139" s="158">
        <f t="shared" si="61"/>
        <v>1.0694947893694913</v>
      </c>
      <c r="AF139" s="31">
        <f t="shared" si="62"/>
        <v>0.66206820294301816</v>
      </c>
      <c r="AG139" s="31">
        <f t="shared" si="63"/>
        <v>0.35649826312316368</v>
      </c>
      <c r="AH139" s="31">
        <f t="shared" si="64"/>
        <v>0.45835490972978205</v>
      </c>
      <c r="AJ139" s="266">
        <f t="shared" ref="AJ139:AO139" si="170">AJ71</f>
        <v>160.98251834714171</v>
      </c>
      <c r="AK139" s="266">
        <f t="shared" si="170"/>
        <v>69.759091283761393</v>
      </c>
      <c r="AL139" s="266">
        <f t="shared" si="170"/>
        <v>37.562587614333069</v>
      </c>
      <c r="AM139" s="266">
        <f t="shared" si="170"/>
        <v>16.098251834714162</v>
      </c>
      <c r="AN139" s="266">
        <f t="shared" si="170"/>
        <v>0</v>
      </c>
      <c r="AO139" s="266">
        <f t="shared" si="170"/>
        <v>5.3660839449047311</v>
      </c>
      <c r="AQ139" s="31">
        <f>($B139*$C139*AJ139)/10^9</f>
        <v>2.4001217764889904</v>
      </c>
      <c r="AR139" s="31">
        <f t="shared" si="66"/>
        <v>1.0400527698118955</v>
      </c>
      <c r="AS139" s="158">
        <f t="shared" si="67"/>
        <v>0.56002841451409779</v>
      </c>
      <c r="AT139" s="31">
        <f t="shared" si="68"/>
        <v>0.2400121776488989</v>
      </c>
      <c r="AU139" s="31">
        <f t="shared" si="69"/>
        <v>0</v>
      </c>
      <c r="AV139" s="31">
        <f>($B139*$C139*AO139)/10^9</f>
        <v>8.0004059216299786E-2</v>
      </c>
    </row>
    <row r="142" spans="1:48" ht="16" customHeight="1">
      <c r="B142" s="338" t="s">
        <v>198</v>
      </c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8"/>
      <c r="N142" s="338"/>
      <c r="O142" s="338"/>
      <c r="P142" s="338"/>
      <c r="Q142" s="338"/>
      <c r="R142" s="338"/>
      <c r="S142" s="338"/>
      <c r="T142" s="338"/>
      <c r="U142" s="338"/>
      <c r="V142" s="338"/>
      <c r="W142" s="338"/>
      <c r="X142" s="338"/>
      <c r="Y142" s="338"/>
      <c r="Z142" s="338"/>
      <c r="AA142" s="338"/>
      <c r="AB142" s="338"/>
      <c r="AC142" s="338"/>
      <c r="AD142" s="338"/>
      <c r="AE142" s="338"/>
      <c r="AF142" s="338"/>
      <c r="AG142" s="338"/>
      <c r="AH142" s="338"/>
      <c r="AI142" s="338"/>
      <c r="AJ142" s="338"/>
      <c r="AK142" s="338"/>
      <c r="AL142" s="338"/>
      <c r="AM142" s="338"/>
      <c r="AN142" s="338"/>
      <c r="AO142" s="338"/>
      <c r="AP142" s="338"/>
      <c r="AQ142" s="338"/>
      <c r="AR142" s="338"/>
      <c r="AS142" s="338"/>
      <c r="AT142" s="338"/>
      <c r="AU142" s="338"/>
      <c r="AV142" s="338"/>
    </row>
    <row r="143" spans="1:48" ht="16" customHeight="1"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338"/>
      <c r="Z143" s="338"/>
      <c r="AA143" s="338"/>
      <c r="AB143" s="338"/>
      <c r="AC143" s="338"/>
      <c r="AD143" s="338"/>
      <c r="AE143" s="338"/>
      <c r="AF143" s="338"/>
      <c r="AG143" s="338"/>
      <c r="AH143" s="338"/>
      <c r="AI143" s="338"/>
      <c r="AJ143" s="338"/>
      <c r="AK143" s="338"/>
      <c r="AL143" s="338"/>
      <c r="AM143" s="338"/>
      <c r="AN143" s="338"/>
      <c r="AO143" s="338"/>
      <c r="AP143" s="338"/>
      <c r="AQ143" s="338"/>
      <c r="AR143" s="338"/>
      <c r="AS143" s="338"/>
      <c r="AT143" s="338"/>
      <c r="AU143" s="338"/>
      <c r="AV143" s="338"/>
    </row>
    <row r="144" spans="1:48">
      <c r="B144" t="s">
        <v>421</v>
      </c>
      <c r="C144" t="s">
        <v>287</v>
      </c>
      <c r="D144" s="330" t="s">
        <v>423</v>
      </c>
      <c r="E144" s="330"/>
      <c r="F144" s="330"/>
      <c r="H144" s="339" t="s">
        <v>199</v>
      </c>
      <c r="I144" s="339"/>
      <c r="J144" s="339"/>
      <c r="K144" s="339"/>
      <c r="L144" s="339"/>
      <c r="M144" s="339"/>
      <c r="N144" s="246"/>
      <c r="O144" s="339" t="s">
        <v>199</v>
      </c>
      <c r="P144" s="339"/>
      <c r="Q144" s="339"/>
      <c r="R144" s="339"/>
      <c r="S144" s="339"/>
      <c r="T144" s="339"/>
      <c r="U144" s="246"/>
      <c r="V144" s="340" t="s">
        <v>200</v>
      </c>
      <c r="W144" s="340"/>
      <c r="X144" s="340"/>
      <c r="Y144" s="340"/>
      <c r="Z144" s="340"/>
      <c r="AA144" s="340"/>
      <c r="AB144" s="87"/>
      <c r="AC144" s="340" t="s">
        <v>200</v>
      </c>
      <c r="AD144" s="340"/>
      <c r="AE144" s="340"/>
      <c r="AF144" s="340"/>
      <c r="AG144" s="340"/>
      <c r="AH144" s="340"/>
      <c r="AJ144" s="333" t="s">
        <v>201</v>
      </c>
      <c r="AK144" s="333"/>
      <c r="AL144" s="333"/>
      <c r="AM144" s="333"/>
      <c r="AN144" s="333"/>
      <c r="AO144" s="333"/>
      <c r="AQ144" s="333" t="s">
        <v>201</v>
      </c>
      <c r="AR144" s="333"/>
      <c r="AS144" s="333"/>
      <c r="AT144" s="333"/>
      <c r="AU144" s="333"/>
      <c r="AV144" s="333"/>
    </row>
    <row r="145" spans="1:48">
      <c r="B145" t="str">
        <f>B77</f>
        <v>(million ton-km equivalent)</v>
      </c>
      <c r="C145" t="str">
        <f>C77</f>
        <v>MJ/ton-km-eq</v>
      </c>
      <c r="D145" s="330" t="s">
        <v>424</v>
      </c>
      <c r="E145" s="330"/>
      <c r="F145" s="330"/>
      <c r="H145" s="334" t="str">
        <f>H9</f>
        <v>g CO2 eq / MJ</v>
      </c>
      <c r="I145" s="334"/>
      <c r="J145" s="334"/>
      <c r="K145" s="334"/>
      <c r="L145" s="334"/>
      <c r="M145" s="334"/>
      <c r="N145" s="246"/>
      <c r="O145" s="335" t="s">
        <v>422</v>
      </c>
      <c r="P145" s="335"/>
      <c r="Q145" s="335"/>
      <c r="R145" s="335"/>
      <c r="S145" s="335"/>
      <c r="T145" s="335"/>
      <c r="U145" s="263"/>
      <c r="V145" s="334" t="str">
        <f>H145</f>
        <v>g CO2 eq / MJ</v>
      </c>
      <c r="W145" s="334"/>
      <c r="X145" s="334"/>
      <c r="Y145" s="334"/>
      <c r="Z145" s="334"/>
      <c r="AA145" s="334"/>
      <c r="AB145" s="87"/>
      <c r="AC145" s="335" t="s">
        <v>422</v>
      </c>
      <c r="AD145" s="335"/>
      <c r="AE145" s="335"/>
      <c r="AF145" s="335"/>
      <c r="AG145" s="335"/>
      <c r="AH145" s="335"/>
      <c r="AJ145" s="334" t="str">
        <f>V145</f>
        <v>g CO2 eq / MJ</v>
      </c>
      <c r="AK145" s="334"/>
      <c r="AL145" s="334"/>
      <c r="AM145" s="334"/>
      <c r="AN145" s="334"/>
      <c r="AO145" s="334"/>
      <c r="AQ145" s="335" t="s">
        <v>422</v>
      </c>
      <c r="AR145" s="335"/>
      <c r="AS145" s="335"/>
      <c r="AT145" s="335"/>
      <c r="AU145" s="335"/>
      <c r="AV145" s="335"/>
    </row>
    <row r="146" spans="1:48">
      <c r="A146" s="114"/>
      <c r="B146" s="93"/>
      <c r="C146" s="93"/>
      <c r="D146" s="271" t="s">
        <v>121</v>
      </c>
      <c r="E146" s="272" t="s">
        <v>189</v>
      </c>
      <c r="F146" s="273" t="s">
        <v>126</v>
      </c>
      <c r="G146" s="93"/>
      <c r="H146" s="114" t="s">
        <v>181</v>
      </c>
      <c r="I146" s="114" t="s">
        <v>182</v>
      </c>
      <c r="J146" s="114" t="s">
        <v>183</v>
      </c>
      <c r="K146" s="114" t="s">
        <v>184</v>
      </c>
      <c r="L146" s="114" t="s">
        <v>185</v>
      </c>
      <c r="M146" s="114" t="s">
        <v>186</v>
      </c>
      <c r="N146" s="114"/>
      <c r="O146" s="114" t="s">
        <v>181</v>
      </c>
      <c r="P146" s="114" t="s">
        <v>182</v>
      </c>
      <c r="Q146" s="79" t="s">
        <v>183</v>
      </c>
      <c r="R146" s="114" t="s">
        <v>184</v>
      </c>
      <c r="S146" s="114" t="s">
        <v>185</v>
      </c>
      <c r="T146" s="114" t="s">
        <v>186</v>
      </c>
      <c r="U146" s="114"/>
      <c r="V146" s="114" t="s">
        <v>181</v>
      </c>
      <c r="W146" s="114" t="s">
        <v>182</v>
      </c>
      <c r="X146" s="114" t="s">
        <v>183</v>
      </c>
      <c r="Y146" s="114" t="s">
        <v>184</v>
      </c>
      <c r="Z146" s="114" t="s">
        <v>185</v>
      </c>
      <c r="AA146" s="114" t="s">
        <v>186</v>
      </c>
      <c r="AB146" s="93"/>
      <c r="AC146" s="114" t="s">
        <v>181</v>
      </c>
      <c r="AD146" s="114" t="s">
        <v>182</v>
      </c>
      <c r="AE146" s="79" t="s">
        <v>183</v>
      </c>
      <c r="AF146" s="114" t="s">
        <v>184</v>
      </c>
      <c r="AG146" s="114" t="s">
        <v>185</v>
      </c>
      <c r="AH146" s="114" t="s">
        <v>186</v>
      </c>
      <c r="AI146" s="93"/>
      <c r="AJ146" s="114" t="s">
        <v>181</v>
      </c>
      <c r="AK146" s="114" t="s">
        <v>182</v>
      </c>
      <c r="AL146" s="114" t="s">
        <v>183</v>
      </c>
      <c r="AM146" s="114" t="s">
        <v>184</v>
      </c>
      <c r="AN146" s="114" t="s">
        <v>185</v>
      </c>
      <c r="AO146" s="114" t="s">
        <v>186</v>
      </c>
      <c r="AQ146" s="114" t="s">
        <v>181</v>
      </c>
      <c r="AR146" s="114" t="s">
        <v>182</v>
      </c>
      <c r="AS146" s="79" t="s">
        <v>183</v>
      </c>
      <c r="AT146" s="114" t="s">
        <v>184</v>
      </c>
      <c r="AU146" s="114" t="s">
        <v>185</v>
      </c>
      <c r="AV146" s="114" t="s">
        <v>186</v>
      </c>
    </row>
    <row r="147" spans="1:48">
      <c r="A147" s="10">
        <v>1990</v>
      </c>
      <c r="B147" s="9">
        <f>Fig1_future_Kaya!L4</f>
        <v>232884.90035010839</v>
      </c>
      <c r="C147" s="30">
        <f>Fig1_future_Kaya!T4</f>
        <v>31.634770408101428</v>
      </c>
      <c r="D147" s="9">
        <f>Fig1_future_Kaya!AR4</f>
        <v>0.54269778000000002</v>
      </c>
      <c r="E147" s="9">
        <f>Fig1_future_Kaya!AS4</f>
        <v>0.54269778000000002</v>
      </c>
      <c r="F147" s="9">
        <f>Fig1_future_Kaya!AT4</f>
        <v>0.54269778000000002</v>
      </c>
      <c r="G147" s="9"/>
      <c r="H147" s="266">
        <f>H$43</f>
        <v>293.87097179105825</v>
      </c>
      <c r="I147" s="266">
        <f t="shared" ref="I147:M162" si="171">I$43</f>
        <v>168.97580877985848</v>
      </c>
      <c r="J147" s="266">
        <f t="shared" si="171"/>
        <v>124.89516301119976</v>
      </c>
      <c r="K147" s="266">
        <f t="shared" si="171"/>
        <v>95.508065832093919</v>
      </c>
      <c r="L147" s="266">
        <f t="shared" si="171"/>
        <v>73.467742947764563</v>
      </c>
      <c r="M147" s="266">
        <f t="shared" si="171"/>
        <v>80.814517242541029</v>
      </c>
      <c r="O147" s="50">
        <f>$D147*B$4</f>
        <v>2.1707911200000001</v>
      </c>
      <c r="P147" s="50">
        <f t="shared" ref="P147:P178" si="172">$D147*C$4</f>
        <v>1.2482048939999999</v>
      </c>
      <c r="Q147" s="158">
        <f t="shared" ref="Q147:Q178" si="173">$D147*D$4</f>
        <v>0.92258622599999995</v>
      </c>
      <c r="R147" s="50">
        <f t="shared" ref="R147:R178" si="174">$D147*E$4</f>
        <v>0.7055071140000001</v>
      </c>
      <c r="S147" s="50">
        <f t="shared" ref="S147:S178" si="175">$D147*F$4</f>
        <v>0.54269778000000002</v>
      </c>
      <c r="T147" s="50">
        <f t="shared" ref="T147:T178" si="176">$D147*G$4</f>
        <v>0.59696755800000012</v>
      </c>
      <c r="V147" s="266">
        <f>V$43</f>
        <v>293.87097179105825</v>
      </c>
      <c r="W147" s="266">
        <f t="shared" ref="W147:AA162" si="177">W$43</f>
        <v>168.97580877985848</v>
      </c>
      <c r="X147" s="266">
        <f t="shared" si="177"/>
        <v>124.89516301119976</v>
      </c>
      <c r="Y147" s="266">
        <f t="shared" si="177"/>
        <v>95.508065832093919</v>
      </c>
      <c r="Z147" s="266">
        <f t="shared" si="177"/>
        <v>73.467742947764563</v>
      </c>
      <c r="AA147" s="266">
        <f t="shared" si="177"/>
        <v>80.814517242541029</v>
      </c>
      <c r="AC147" s="31">
        <f t="shared" ref="AC147:AC178" si="178">($B147*$C147*V147)/10^9</f>
        <v>2.1650239596939462</v>
      </c>
      <c r="AD147" s="31">
        <f t="shared" ref="AD147:AD207" si="179">($B147*$C147*W147)/10^9</f>
        <v>1.2448887768240191</v>
      </c>
      <c r="AE147" s="158">
        <f t="shared" ref="AE147:AE207" si="180">($B147*$C147*X147)/10^9</f>
        <v>0.92013518286992724</v>
      </c>
      <c r="AF147" s="31">
        <f t="shared" ref="AF147:AF207" si="181">($B147*$C147*Y147)/10^9</f>
        <v>0.70363278690053244</v>
      </c>
      <c r="AG147" s="31">
        <f t="shared" ref="AG147:AG207" si="182">($B147*$C147*Z147)/10^9</f>
        <v>0.54125598992348656</v>
      </c>
      <c r="AH147" s="31">
        <f t="shared" ref="AH147:AH207" si="183">($B147*$C147*AA147)/10^9</f>
        <v>0.59538158891583537</v>
      </c>
      <c r="AJ147" s="266">
        <f>AJ$43</f>
        <v>293.87097179105825</v>
      </c>
      <c r="AK147" s="266">
        <f t="shared" ref="AK147:AO162" si="184">AK$43</f>
        <v>168.97580877985848</v>
      </c>
      <c r="AL147" s="266">
        <f t="shared" si="184"/>
        <v>124.89516301119976</v>
      </c>
      <c r="AM147" s="266">
        <f t="shared" si="184"/>
        <v>95.508065832093919</v>
      </c>
      <c r="AN147" s="266">
        <f t="shared" si="184"/>
        <v>73.467742947764563</v>
      </c>
      <c r="AO147" s="266">
        <f>AO$43</f>
        <v>80.814517242541029</v>
      </c>
      <c r="AQ147" s="31">
        <f>($B147*$C147*AJ147)/10^9</f>
        <v>2.1650239596939462</v>
      </c>
      <c r="AR147" s="31">
        <f t="shared" ref="AR147:AR207" si="185">($B147*$C147*AK147)/10^9</f>
        <v>1.2448887768240191</v>
      </c>
      <c r="AS147" s="158">
        <f t="shared" ref="AS147:AS206" si="186">($B147*$C147*AL147)/10^9</f>
        <v>0.92013518286992724</v>
      </c>
      <c r="AT147" s="31">
        <f t="shared" ref="AT147:AT207" si="187">($B147*$C147*AM147)/10^9</f>
        <v>0.70363278690053244</v>
      </c>
      <c r="AU147" s="31">
        <f t="shared" ref="AU147:AU207" si="188">($B147*$C147*AN147)/10^9</f>
        <v>0.54125598992348656</v>
      </c>
      <c r="AV147" s="31">
        <f t="shared" ref="AV147:AV206" si="189">($B147*$C147*AO147)/10^9</f>
        <v>0.59538158891583537</v>
      </c>
    </row>
    <row r="148" spans="1:48">
      <c r="A148" s="10">
        <v>1991</v>
      </c>
      <c r="B148" s="9">
        <f>Fig1_future_Kaya!L5</f>
        <v>228843.30008095471</v>
      </c>
      <c r="C148" s="30">
        <f>Fig1_future_Kaya!T5</f>
        <v>31.140677300670895</v>
      </c>
      <c r="D148" s="9">
        <f>Fig1_future_Kaya!AR5</f>
        <v>0.52562075600000002</v>
      </c>
      <c r="E148" s="9">
        <f>Fig1_future_Kaya!AS5</f>
        <v>0.52562075600000002</v>
      </c>
      <c r="F148" s="9">
        <f>Fig1_future_Kaya!AT5</f>
        <v>0.52562075600000002</v>
      </c>
      <c r="G148" s="9"/>
      <c r="H148" s="266">
        <f t="shared" ref="H148:M178" si="190">H$43</f>
        <v>293.87097179105825</v>
      </c>
      <c r="I148" s="266">
        <f t="shared" si="171"/>
        <v>168.97580877985848</v>
      </c>
      <c r="J148" s="266">
        <f t="shared" si="171"/>
        <v>124.89516301119976</v>
      </c>
      <c r="K148" s="266">
        <f t="shared" si="171"/>
        <v>95.508065832093919</v>
      </c>
      <c r="L148" s="266">
        <f t="shared" si="171"/>
        <v>73.467742947764563</v>
      </c>
      <c r="M148" s="266">
        <f t="shared" si="171"/>
        <v>80.814517242541029</v>
      </c>
      <c r="O148" s="50">
        <f t="shared" ref="O148:O178" si="191">$D148*B$4</f>
        <v>2.1024830240000001</v>
      </c>
      <c r="P148" s="50">
        <f t="shared" si="172"/>
        <v>1.2089277387999999</v>
      </c>
      <c r="Q148" s="158">
        <f t="shared" si="173"/>
        <v>0.89355528520000005</v>
      </c>
      <c r="R148" s="50">
        <f t="shared" si="174"/>
        <v>0.68330698280000002</v>
      </c>
      <c r="S148" s="50">
        <f t="shared" si="175"/>
        <v>0.52562075600000002</v>
      </c>
      <c r="T148" s="50">
        <f t="shared" si="176"/>
        <v>0.57818283160000006</v>
      </c>
      <c r="V148" s="266">
        <f t="shared" ref="V148:AA178" si="192">V$43</f>
        <v>293.87097179105825</v>
      </c>
      <c r="W148" s="266">
        <f t="shared" si="177"/>
        <v>168.97580877985848</v>
      </c>
      <c r="X148" s="266">
        <f t="shared" si="177"/>
        <v>124.89516301119976</v>
      </c>
      <c r="Y148" s="266">
        <f t="shared" si="177"/>
        <v>95.508065832093919</v>
      </c>
      <c r="Z148" s="266">
        <f t="shared" si="177"/>
        <v>73.467742947764563</v>
      </c>
      <c r="AA148" s="266">
        <f t="shared" si="177"/>
        <v>80.814517242541029</v>
      </c>
      <c r="AC148" s="31">
        <f t="shared" si="178"/>
        <v>2.0942230976231815</v>
      </c>
      <c r="AD148" s="31">
        <f t="shared" si="179"/>
        <v>1.2041782811333293</v>
      </c>
      <c r="AE148" s="158">
        <f t="shared" si="180"/>
        <v>0.89004481648985212</v>
      </c>
      <c r="AF148" s="31">
        <f t="shared" si="181"/>
        <v>0.68062250672753377</v>
      </c>
      <c r="AG148" s="31">
        <f t="shared" si="182"/>
        <v>0.52355577440579537</v>
      </c>
      <c r="AH148" s="31">
        <f t="shared" si="183"/>
        <v>0.57591135184637499</v>
      </c>
      <c r="AJ148" s="266">
        <f t="shared" ref="AJ148:AO178" si="193">AJ$43</f>
        <v>293.87097179105825</v>
      </c>
      <c r="AK148" s="266">
        <f t="shared" si="184"/>
        <v>168.97580877985848</v>
      </c>
      <c r="AL148" s="266">
        <f t="shared" si="184"/>
        <v>124.89516301119976</v>
      </c>
      <c r="AM148" s="266">
        <f t="shared" si="184"/>
        <v>95.508065832093919</v>
      </c>
      <c r="AN148" s="266">
        <f t="shared" si="184"/>
        <v>73.467742947764563</v>
      </c>
      <c r="AO148" s="266">
        <f t="shared" si="184"/>
        <v>80.814517242541029</v>
      </c>
      <c r="AQ148" s="31">
        <f t="shared" ref="AQ148:AQ178" si="194">($B148*$C148*AJ148)/10^9</f>
        <v>2.0942230976231815</v>
      </c>
      <c r="AR148" s="31">
        <f t="shared" si="185"/>
        <v>1.2041782811333293</v>
      </c>
      <c r="AS148" s="158">
        <f t="shared" si="186"/>
        <v>0.89004481648985212</v>
      </c>
      <c r="AT148" s="31">
        <f t="shared" si="187"/>
        <v>0.68062250672753377</v>
      </c>
      <c r="AU148" s="31">
        <f t="shared" si="188"/>
        <v>0.52355577440579537</v>
      </c>
      <c r="AV148" s="31">
        <f t="shared" si="189"/>
        <v>0.57591135184637499</v>
      </c>
    </row>
    <row r="149" spans="1:48">
      <c r="A149" s="10">
        <v>1992</v>
      </c>
      <c r="B149" s="9">
        <f>Fig1_future_Kaya!L6</f>
        <v>240647.1997384947</v>
      </c>
      <c r="C149" s="30">
        <f>Fig1_future_Kaya!T6</f>
        <v>29.698064240754807</v>
      </c>
      <c r="D149" s="9">
        <f>Fig1_future_Kaya!AR6</f>
        <v>0.52916584599999994</v>
      </c>
      <c r="E149" s="9">
        <f>Fig1_future_Kaya!AS6</f>
        <v>0.52916584599999994</v>
      </c>
      <c r="F149" s="9">
        <f>Fig1_future_Kaya!AT6</f>
        <v>0.52916584599999994</v>
      </c>
      <c r="G149" s="9"/>
      <c r="H149" s="266">
        <f t="shared" si="190"/>
        <v>293.87097179105825</v>
      </c>
      <c r="I149" s="266">
        <f t="shared" si="171"/>
        <v>168.97580877985848</v>
      </c>
      <c r="J149" s="266">
        <f t="shared" si="171"/>
        <v>124.89516301119976</v>
      </c>
      <c r="K149" s="266">
        <f t="shared" si="171"/>
        <v>95.508065832093919</v>
      </c>
      <c r="L149" s="266">
        <f t="shared" si="171"/>
        <v>73.467742947764563</v>
      </c>
      <c r="M149" s="266">
        <f t="shared" si="171"/>
        <v>80.814517242541029</v>
      </c>
      <c r="O149" s="50">
        <f t="shared" si="191"/>
        <v>2.1166633839999998</v>
      </c>
      <c r="P149" s="50">
        <f t="shared" si="172"/>
        <v>1.2170814457999997</v>
      </c>
      <c r="Q149" s="158">
        <f t="shared" si="173"/>
        <v>0.89958193819999988</v>
      </c>
      <c r="R149" s="50">
        <f t="shared" si="174"/>
        <v>0.68791559979999994</v>
      </c>
      <c r="S149" s="50">
        <f t="shared" si="175"/>
        <v>0.52916584599999994</v>
      </c>
      <c r="T149" s="50">
        <f t="shared" si="176"/>
        <v>0.58208243059999998</v>
      </c>
      <c r="V149" s="266">
        <f t="shared" si="192"/>
        <v>293.87097179105825</v>
      </c>
      <c r="W149" s="266">
        <f t="shared" si="177"/>
        <v>168.97580877985848</v>
      </c>
      <c r="X149" s="266">
        <f t="shared" si="177"/>
        <v>124.89516301119976</v>
      </c>
      <c r="Y149" s="266">
        <f t="shared" si="177"/>
        <v>95.508065832093919</v>
      </c>
      <c r="Z149" s="266">
        <f t="shared" si="177"/>
        <v>73.467742947764563</v>
      </c>
      <c r="AA149" s="266">
        <f t="shared" si="177"/>
        <v>80.814517242541029</v>
      </c>
      <c r="AC149" s="31">
        <f t="shared" si="178"/>
        <v>2.10022413004826</v>
      </c>
      <c r="AD149" s="31">
        <f t="shared" si="179"/>
        <v>1.2076288747777493</v>
      </c>
      <c r="AE149" s="158">
        <f t="shared" si="180"/>
        <v>0.89259525527051042</v>
      </c>
      <c r="AF149" s="31">
        <f t="shared" si="181"/>
        <v>0.68257284226568438</v>
      </c>
      <c r="AG149" s="31">
        <f t="shared" si="182"/>
        <v>0.52505603251206501</v>
      </c>
      <c r="AH149" s="31">
        <f t="shared" si="183"/>
        <v>0.57756163576327157</v>
      </c>
      <c r="AJ149" s="266">
        <f t="shared" si="193"/>
        <v>293.87097179105825</v>
      </c>
      <c r="AK149" s="266">
        <f t="shared" si="184"/>
        <v>168.97580877985848</v>
      </c>
      <c r="AL149" s="266">
        <f t="shared" si="184"/>
        <v>124.89516301119976</v>
      </c>
      <c r="AM149" s="266">
        <f t="shared" si="184"/>
        <v>95.508065832093919</v>
      </c>
      <c r="AN149" s="266">
        <f t="shared" si="184"/>
        <v>73.467742947764563</v>
      </c>
      <c r="AO149" s="266">
        <f t="shared" si="184"/>
        <v>80.814517242541029</v>
      </c>
      <c r="AQ149" s="31">
        <f t="shared" si="194"/>
        <v>2.10022413004826</v>
      </c>
      <c r="AR149" s="31">
        <f t="shared" si="185"/>
        <v>1.2076288747777493</v>
      </c>
      <c r="AS149" s="158">
        <f t="shared" si="186"/>
        <v>0.89259525527051042</v>
      </c>
      <c r="AT149" s="31">
        <f t="shared" si="187"/>
        <v>0.68257284226568438</v>
      </c>
      <c r="AU149" s="31">
        <f t="shared" si="188"/>
        <v>0.52505603251206501</v>
      </c>
      <c r="AV149" s="31">
        <f t="shared" si="189"/>
        <v>0.57756163576327157</v>
      </c>
    </row>
    <row r="150" spans="1:48">
      <c r="A150" s="10">
        <v>1993</v>
      </c>
      <c r="B150" s="9">
        <f>Fig1_future_Kaya!L7</f>
        <v>249952.6001899917</v>
      </c>
      <c r="C150" s="30">
        <f>Fig1_future_Kaya!T7</f>
        <v>28.869366882617065</v>
      </c>
      <c r="D150" s="9">
        <f>Fig1_future_Kaya!AR7</f>
        <v>0.53363175399999996</v>
      </c>
      <c r="E150" s="9">
        <f>Fig1_future_Kaya!AS7</f>
        <v>0.53363175399999996</v>
      </c>
      <c r="F150" s="9">
        <f>Fig1_future_Kaya!AT7</f>
        <v>0.53363175399999996</v>
      </c>
      <c r="G150" s="9"/>
      <c r="H150" s="266">
        <f t="shared" si="190"/>
        <v>293.87097179105825</v>
      </c>
      <c r="I150" s="266">
        <f t="shared" si="171"/>
        <v>168.97580877985848</v>
      </c>
      <c r="J150" s="266">
        <f t="shared" si="171"/>
        <v>124.89516301119976</v>
      </c>
      <c r="K150" s="266">
        <f t="shared" si="171"/>
        <v>95.508065832093919</v>
      </c>
      <c r="L150" s="266">
        <f t="shared" si="171"/>
        <v>73.467742947764563</v>
      </c>
      <c r="M150" s="266">
        <f t="shared" si="171"/>
        <v>80.814517242541029</v>
      </c>
      <c r="O150" s="50">
        <f t="shared" si="191"/>
        <v>2.1345270159999998</v>
      </c>
      <c r="P150" s="50">
        <f t="shared" si="172"/>
        <v>1.2273530341999999</v>
      </c>
      <c r="Q150" s="158">
        <f t="shared" si="173"/>
        <v>0.90717398179999986</v>
      </c>
      <c r="R150" s="50">
        <f t="shared" si="174"/>
        <v>0.69372128020000001</v>
      </c>
      <c r="S150" s="50">
        <f t="shared" si="175"/>
        <v>0.53363175399999996</v>
      </c>
      <c r="T150" s="50">
        <f t="shared" si="176"/>
        <v>0.58699492939999998</v>
      </c>
      <c r="V150" s="266">
        <f t="shared" si="192"/>
        <v>293.87097179105825</v>
      </c>
      <c r="W150" s="266">
        <f t="shared" si="177"/>
        <v>168.97580877985848</v>
      </c>
      <c r="X150" s="266">
        <f t="shared" si="177"/>
        <v>124.89516301119976</v>
      </c>
      <c r="Y150" s="266">
        <f t="shared" si="177"/>
        <v>95.508065832093919</v>
      </c>
      <c r="Z150" s="266">
        <f t="shared" si="177"/>
        <v>73.467742947764563</v>
      </c>
      <c r="AA150" s="266">
        <f t="shared" si="177"/>
        <v>80.814517242541029</v>
      </c>
      <c r="AC150" s="31">
        <f t="shared" si="178"/>
        <v>2.1205650914227849</v>
      </c>
      <c r="AD150" s="31">
        <f t="shared" si="179"/>
        <v>1.2193249275681015</v>
      </c>
      <c r="AE150" s="158">
        <f t="shared" si="180"/>
        <v>0.90124016385468364</v>
      </c>
      <c r="AF150" s="31">
        <f t="shared" si="181"/>
        <v>0.68918365471240506</v>
      </c>
      <c r="AG150" s="31">
        <f t="shared" si="182"/>
        <v>0.53014127285569623</v>
      </c>
      <c r="AH150" s="31">
        <f t="shared" si="183"/>
        <v>0.58315540014126599</v>
      </c>
      <c r="AJ150" s="266">
        <f t="shared" si="193"/>
        <v>293.87097179105825</v>
      </c>
      <c r="AK150" s="266">
        <f t="shared" si="184"/>
        <v>168.97580877985848</v>
      </c>
      <c r="AL150" s="266">
        <f t="shared" si="184"/>
        <v>124.89516301119976</v>
      </c>
      <c r="AM150" s="266">
        <f t="shared" si="184"/>
        <v>95.508065832093919</v>
      </c>
      <c r="AN150" s="266">
        <f t="shared" si="184"/>
        <v>73.467742947764563</v>
      </c>
      <c r="AO150" s="266">
        <f t="shared" si="184"/>
        <v>80.814517242541029</v>
      </c>
      <c r="AQ150" s="31">
        <f t="shared" si="194"/>
        <v>2.1205650914227849</v>
      </c>
      <c r="AR150" s="31">
        <f t="shared" si="185"/>
        <v>1.2193249275681015</v>
      </c>
      <c r="AS150" s="158">
        <f t="shared" si="186"/>
        <v>0.90124016385468364</v>
      </c>
      <c r="AT150" s="31">
        <f t="shared" si="187"/>
        <v>0.68918365471240506</v>
      </c>
      <c r="AU150" s="31">
        <f t="shared" si="188"/>
        <v>0.53014127285569623</v>
      </c>
      <c r="AV150" s="31">
        <f t="shared" si="189"/>
        <v>0.58315540014126599</v>
      </c>
    </row>
    <row r="151" spans="1:48">
      <c r="A151" s="10">
        <v>1994</v>
      </c>
      <c r="B151" s="9">
        <f>Fig1_future_Kaya!L8</f>
        <v>274769.30033116811</v>
      </c>
      <c r="C151" s="30">
        <f>Fig1_future_Kaya!T8</f>
        <v>27.454390835884784</v>
      </c>
      <c r="D151" s="9">
        <f>Fig1_future_Kaya!AR8</f>
        <v>0.55670766700000018</v>
      </c>
      <c r="E151" s="9">
        <f>Fig1_future_Kaya!AS8</f>
        <v>0.55670766700000018</v>
      </c>
      <c r="F151" s="9">
        <f>Fig1_future_Kaya!AT8</f>
        <v>0.55670766700000018</v>
      </c>
      <c r="G151" s="9"/>
      <c r="H151" s="266">
        <f t="shared" si="190"/>
        <v>293.87097179105825</v>
      </c>
      <c r="I151" s="266">
        <f t="shared" si="171"/>
        <v>168.97580877985848</v>
      </c>
      <c r="J151" s="266">
        <f t="shared" si="171"/>
        <v>124.89516301119976</v>
      </c>
      <c r="K151" s="266">
        <f t="shared" si="171"/>
        <v>95.508065832093919</v>
      </c>
      <c r="L151" s="266">
        <f t="shared" si="171"/>
        <v>73.467742947764563</v>
      </c>
      <c r="M151" s="266">
        <f t="shared" si="171"/>
        <v>80.814517242541029</v>
      </c>
      <c r="O151" s="50">
        <f t="shared" si="191"/>
        <v>2.2268306680000007</v>
      </c>
      <c r="P151" s="50">
        <f t="shared" si="172"/>
        <v>1.2804276341000003</v>
      </c>
      <c r="Q151" s="158">
        <f t="shared" si="173"/>
        <v>0.94640303390000025</v>
      </c>
      <c r="R151" s="50">
        <f t="shared" si="174"/>
        <v>0.72371996710000031</v>
      </c>
      <c r="S151" s="50">
        <f t="shared" si="175"/>
        <v>0.55670766700000018</v>
      </c>
      <c r="T151" s="50">
        <f t="shared" si="176"/>
        <v>0.61237843370000022</v>
      </c>
      <c r="V151" s="266">
        <f t="shared" si="192"/>
        <v>293.87097179105825</v>
      </c>
      <c r="W151" s="266">
        <f t="shared" si="177"/>
        <v>168.97580877985848</v>
      </c>
      <c r="X151" s="266">
        <f t="shared" si="177"/>
        <v>124.89516301119976</v>
      </c>
      <c r="Y151" s="266">
        <f t="shared" si="177"/>
        <v>95.508065832093919</v>
      </c>
      <c r="Z151" s="266">
        <f t="shared" si="177"/>
        <v>73.467742947764563</v>
      </c>
      <c r="AA151" s="266">
        <f t="shared" si="177"/>
        <v>80.814517242541029</v>
      </c>
      <c r="AC151" s="31">
        <f t="shared" si="178"/>
        <v>2.2168520454695702</v>
      </c>
      <c r="AD151" s="31">
        <f t="shared" si="179"/>
        <v>1.2746899261450029</v>
      </c>
      <c r="AE151" s="158">
        <f t="shared" si="180"/>
        <v>0.94216211932456728</v>
      </c>
      <c r="AF151" s="31">
        <f t="shared" si="181"/>
        <v>0.72047691477761022</v>
      </c>
      <c r="AG151" s="31">
        <f t="shared" si="182"/>
        <v>0.55421301136739254</v>
      </c>
      <c r="AH151" s="31">
        <f t="shared" si="183"/>
        <v>0.60963431250413191</v>
      </c>
      <c r="AJ151" s="266">
        <f t="shared" si="193"/>
        <v>293.87097179105825</v>
      </c>
      <c r="AK151" s="266">
        <f t="shared" si="184"/>
        <v>168.97580877985848</v>
      </c>
      <c r="AL151" s="266">
        <f t="shared" si="184"/>
        <v>124.89516301119976</v>
      </c>
      <c r="AM151" s="266">
        <f t="shared" si="184"/>
        <v>95.508065832093919</v>
      </c>
      <c r="AN151" s="266">
        <f t="shared" si="184"/>
        <v>73.467742947764563</v>
      </c>
      <c r="AO151" s="266">
        <f t="shared" si="184"/>
        <v>80.814517242541029</v>
      </c>
      <c r="AQ151" s="31">
        <f t="shared" si="194"/>
        <v>2.2168520454695702</v>
      </c>
      <c r="AR151" s="31">
        <f t="shared" si="185"/>
        <v>1.2746899261450029</v>
      </c>
      <c r="AS151" s="158">
        <f t="shared" si="186"/>
        <v>0.94216211932456728</v>
      </c>
      <c r="AT151" s="31">
        <f t="shared" si="187"/>
        <v>0.72047691477761022</v>
      </c>
      <c r="AU151" s="31">
        <f t="shared" si="188"/>
        <v>0.55421301136739254</v>
      </c>
      <c r="AV151" s="31">
        <f t="shared" si="189"/>
        <v>0.60963431250413191</v>
      </c>
    </row>
    <row r="152" spans="1:48">
      <c r="A152" s="10">
        <v>1995</v>
      </c>
      <c r="B152" s="9">
        <f>Fig1_future_Kaya!L9</f>
        <v>293095.20039783453</v>
      </c>
      <c r="C152" s="30">
        <f>Fig1_future_Kaya!T9</f>
        <v>26.383617122651792</v>
      </c>
      <c r="D152" s="9">
        <f>Fig1_future_Kaya!AR9</f>
        <v>0.57076552599999997</v>
      </c>
      <c r="E152" s="9">
        <f>Fig1_future_Kaya!AS9</f>
        <v>0.57076552599999997</v>
      </c>
      <c r="F152" s="9">
        <f>Fig1_future_Kaya!AT9</f>
        <v>0.57076552599999997</v>
      </c>
      <c r="G152" s="9"/>
      <c r="H152" s="266">
        <f t="shared" si="190"/>
        <v>293.87097179105825</v>
      </c>
      <c r="I152" s="266">
        <f t="shared" si="171"/>
        <v>168.97580877985848</v>
      </c>
      <c r="J152" s="266">
        <f t="shared" si="171"/>
        <v>124.89516301119976</v>
      </c>
      <c r="K152" s="266">
        <f t="shared" si="171"/>
        <v>95.508065832093919</v>
      </c>
      <c r="L152" s="266">
        <f t="shared" si="171"/>
        <v>73.467742947764563</v>
      </c>
      <c r="M152" s="266">
        <f t="shared" si="171"/>
        <v>80.814517242541029</v>
      </c>
      <c r="O152" s="50">
        <f t="shared" si="191"/>
        <v>2.2830621039999999</v>
      </c>
      <c r="P152" s="50">
        <f t="shared" si="172"/>
        <v>1.3127607097999998</v>
      </c>
      <c r="Q152" s="158">
        <f t="shared" si="173"/>
        <v>0.97030139419999994</v>
      </c>
      <c r="R152" s="50">
        <f t="shared" si="174"/>
        <v>0.74199518379999996</v>
      </c>
      <c r="S152" s="50">
        <f t="shared" si="175"/>
        <v>0.57076552599999997</v>
      </c>
      <c r="T152" s="50">
        <f t="shared" si="176"/>
        <v>0.62784207859999996</v>
      </c>
      <c r="V152" s="266">
        <f t="shared" si="192"/>
        <v>293.87097179105825</v>
      </c>
      <c r="W152" s="266">
        <f t="shared" si="177"/>
        <v>168.97580877985848</v>
      </c>
      <c r="X152" s="266">
        <f t="shared" si="177"/>
        <v>124.89516301119976</v>
      </c>
      <c r="Y152" s="266">
        <f t="shared" si="177"/>
        <v>95.508065832093919</v>
      </c>
      <c r="Z152" s="266">
        <f t="shared" si="177"/>
        <v>73.467742947764563</v>
      </c>
      <c r="AA152" s="266">
        <f t="shared" si="177"/>
        <v>80.814517242541029</v>
      </c>
      <c r="AC152" s="31">
        <f t="shared" si="178"/>
        <v>2.272478231321394</v>
      </c>
      <c r="AD152" s="31">
        <f t="shared" si="179"/>
        <v>1.3066749830098014</v>
      </c>
      <c r="AE152" s="158">
        <f t="shared" si="180"/>
        <v>0.96580324831159248</v>
      </c>
      <c r="AF152" s="31">
        <f t="shared" si="181"/>
        <v>0.73855542517945294</v>
      </c>
      <c r="AG152" s="31">
        <f t="shared" si="182"/>
        <v>0.56811955783034851</v>
      </c>
      <c r="AH152" s="31">
        <f t="shared" si="183"/>
        <v>0.62493151361338339</v>
      </c>
      <c r="AJ152" s="266">
        <f t="shared" si="193"/>
        <v>293.87097179105825</v>
      </c>
      <c r="AK152" s="266">
        <f t="shared" si="184"/>
        <v>168.97580877985848</v>
      </c>
      <c r="AL152" s="266">
        <f t="shared" si="184"/>
        <v>124.89516301119976</v>
      </c>
      <c r="AM152" s="266">
        <f t="shared" si="184"/>
        <v>95.508065832093919</v>
      </c>
      <c r="AN152" s="266">
        <f t="shared" si="184"/>
        <v>73.467742947764563</v>
      </c>
      <c r="AO152" s="266">
        <f t="shared" si="184"/>
        <v>80.814517242541029</v>
      </c>
      <c r="AQ152" s="31">
        <f t="shared" si="194"/>
        <v>2.272478231321394</v>
      </c>
      <c r="AR152" s="31">
        <f t="shared" si="185"/>
        <v>1.3066749830098014</v>
      </c>
      <c r="AS152" s="158">
        <f t="shared" si="186"/>
        <v>0.96580324831159248</v>
      </c>
      <c r="AT152" s="31">
        <f t="shared" si="187"/>
        <v>0.73855542517945294</v>
      </c>
      <c r="AU152" s="31">
        <f t="shared" si="188"/>
        <v>0.56811955783034851</v>
      </c>
      <c r="AV152" s="31">
        <f t="shared" si="189"/>
        <v>0.62493151361338339</v>
      </c>
    </row>
    <row r="153" spans="1:48">
      <c r="A153" s="10">
        <v>1996</v>
      </c>
      <c r="B153" s="9">
        <f>Fig1_future_Kaya!L10</f>
        <v>317053.5999806</v>
      </c>
      <c r="C153" s="30">
        <f>Fig1_future_Kaya!T10</f>
        <v>25.424930964761749</v>
      </c>
      <c r="D153" s="9">
        <f>Fig1_future_Kaya!AR10</f>
        <v>0.59712128200000014</v>
      </c>
      <c r="E153" s="9">
        <f>Fig1_future_Kaya!AS10</f>
        <v>0.59712128200000014</v>
      </c>
      <c r="F153" s="9">
        <f>Fig1_future_Kaya!AT10</f>
        <v>0.59712128200000014</v>
      </c>
      <c r="G153" s="9"/>
      <c r="H153" s="266">
        <f t="shared" si="190"/>
        <v>293.87097179105825</v>
      </c>
      <c r="I153" s="266">
        <f t="shared" si="171"/>
        <v>168.97580877985848</v>
      </c>
      <c r="J153" s="266">
        <f t="shared" si="171"/>
        <v>124.89516301119976</v>
      </c>
      <c r="K153" s="266">
        <f t="shared" si="171"/>
        <v>95.508065832093919</v>
      </c>
      <c r="L153" s="266">
        <f t="shared" si="171"/>
        <v>73.467742947764563</v>
      </c>
      <c r="M153" s="266">
        <f t="shared" si="171"/>
        <v>80.814517242541029</v>
      </c>
      <c r="O153" s="50">
        <f t="shared" si="191"/>
        <v>2.3884851280000006</v>
      </c>
      <c r="P153" s="50">
        <f t="shared" si="172"/>
        <v>1.3733789486000003</v>
      </c>
      <c r="Q153" s="158">
        <f t="shared" si="173"/>
        <v>1.0151061794000003</v>
      </c>
      <c r="R153" s="50">
        <f t="shared" si="174"/>
        <v>0.77625766660000017</v>
      </c>
      <c r="S153" s="50">
        <f t="shared" si="175"/>
        <v>0.59712128200000014</v>
      </c>
      <c r="T153" s="50">
        <f t="shared" si="176"/>
        <v>0.65683341020000019</v>
      </c>
      <c r="V153" s="266">
        <f t="shared" si="192"/>
        <v>293.87097179105825</v>
      </c>
      <c r="W153" s="266">
        <f t="shared" si="177"/>
        <v>168.97580877985848</v>
      </c>
      <c r="X153" s="266">
        <f t="shared" si="177"/>
        <v>124.89516301119976</v>
      </c>
      <c r="Y153" s="266">
        <f t="shared" si="177"/>
        <v>95.508065832093919</v>
      </c>
      <c r="Z153" s="266">
        <f t="shared" si="177"/>
        <v>73.467742947764563</v>
      </c>
      <c r="AA153" s="266">
        <f t="shared" si="177"/>
        <v>80.814517242541029</v>
      </c>
      <c r="AC153" s="31">
        <f t="shared" si="178"/>
        <v>2.3689132672468078</v>
      </c>
      <c r="AD153" s="31">
        <f t="shared" si="179"/>
        <v>1.3621251286669145</v>
      </c>
      <c r="AE153" s="158">
        <f t="shared" si="180"/>
        <v>1.0067881385798934</v>
      </c>
      <c r="AF153" s="31">
        <f t="shared" si="181"/>
        <v>0.76989681185521242</v>
      </c>
      <c r="AG153" s="31">
        <f t="shared" si="182"/>
        <v>0.59222831681170196</v>
      </c>
      <c r="AH153" s="31">
        <f t="shared" si="183"/>
        <v>0.65145114849287222</v>
      </c>
      <c r="AJ153" s="266">
        <f t="shared" si="193"/>
        <v>293.87097179105825</v>
      </c>
      <c r="AK153" s="266">
        <f t="shared" si="184"/>
        <v>168.97580877985848</v>
      </c>
      <c r="AL153" s="266">
        <f t="shared" si="184"/>
        <v>124.89516301119976</v>
      </c>
      <c r="AM153" s="266">
        <f t="shared" si="184"/>
        <v>95.508065832093919</v>
      </c>
      <c r="AN153" s="266">
        <f t="shared" si="184"/>
        <v>73.467742947764563</v>
      </c>
      <c r="AO153" s="266">
        <f t="shared" si="184"/>
        <v>80.814517242541029</v>
      </c>
      <c r="AQ153" s="31">
        <f t="shared" si="194"/>
        <v>2.3689132672468078</v>
      </c>
      <c r="AR153" s="31">
        <f t="shared" si="185"/>
        <v>1.3621251286669145</v>
      </c>
      <c r="AS153" s="158">
        <f t="shared" si="186"/>
        <v>1.0067881385798934</v>
      </c>
      <c r="AT153" s="31">
        <f t="shared" si="187"/>
        <v>0.76989681185521242</v>
      </c>
      <c r="AU153" s="31">
        <f t="shared" si="188"/>
        <v>0.59222831681170196</v>
      </c>
      <c r="AV153" s="31">
        <f t="shared" si="189"/>
        <v>0.65145114849287222</v>
      </c>
    </row>
    <row r="154" spans="1:48">
      <c r="A154" s="10">
        <v>1997</v>
      </c>
      <c r="B154" s="9">
        <f>Fig1_future_Kaya!L11</f>
        <v>341799.10121963196</v>
      </c>
      <c r="C154" s="30">
        <f>Fig1_future_Kaya!T11</f>
        <v>24.392367383519211</v>
      </c>
      <c r="D154" s="9">
        <f>Fig1_future_Kaya!AR11</f>
        <v>0.6162284830000001</v>
      </c>
      <c r="E154" s="9">
        <f>Fig1_future_Kaya!AS11</f>
        <v>0.6162284830000001</v>
      </c>
      <c r="F154" s="9">
        <f>Fig1_future_Kaya!AT11</f>
        <v>0.6162284830000001</v>
      </c>
      <c r="G154" s="9"/>
      <c r="H154" s="266">
        <f t="shared" si="190"/>
        <v>293.87097179105825</v>
      </c>
      <c r="I154" s="266">
        <f t="shared" si="171"/>
        <v>168.97580877985848</v>
      </c>
      <c r="J154" s="266">
        <f t="shared" si="171"/>
        <v>124.89516301119976</v>
      </c>
      <c r="K154" s="266">
        <f t="shared" si="171"/>
        <v>95.508065832093919</v>
      </c>
      <c r="L154" s="266">
        <f t="shared" si="171"/>
        <v>73.467742947764563</v>
      </c>
      <c r="M154" s="266">
        <f t="shared" si="171"/>
        <v>80.814517242541029</v>
      </c>
      <c r="O154" s="50">
        <f t="shared" si="191"/>
        <v>2.4649139320000004</v>
      </c>
      <c r="P154" s="50">
        <f t="shared" si="172"/>
        <v>1.4173255109</v>
      </c>
      <c r="Q154" s="158">
        <f t="shared" si="173"/>
        <v>1.0475884211000002</v>
      </c>
      <c r="R154" s="50">
        <f t="shared" si="174"/>
        <v>0.80109702790000015</v>
      </c>
      <c r="S154" s="50">
        <f t="shared" si="175"/>
        <v>0.6162284830000001</v>
      </c>
      <c r="T154" s="50">
        <f t="shared" si="176"/>
        <v>0.67785133130000019</v>
      </c>
      <c r="V154" s="266">
        <f t="shared" si="192"/>
        <v>293.87097179105825</v>
      </c>
      <c r="W154" s="266">
        <f t="shared" si="177"/>
        <v>168.97580877985848</v>
      </c>
      <c r="X154" s="266">
        <f t="shared" si="177"/>
        <v>124.89516301119976</v>
      </c>
      <c r="Y154" s="266">
        <f t="shared" si="177"/>
        <v>95.508065832093919</v>
      </c>
      <c r="Z154" s="266">
        <f t="shared" si="177"/>
        <v>73.467742947764563</v>
      </c>
      <c r="AA154" s="266">
        <f t="shared" si="177"/>
        <v>80.814517242541029</v>
      </c>
      <c r="AC154" s="31">
        <f t="shared" si="178"/>
        <v>2.4500872935028064</v>
      </c>
      <c r="AD154" s="31">
        <f t="shared" si="179"/>
        <v>1.4088001937641135</v>
      </c>
      <c r="AE154" s="158">
        <f t="shared" si="180"/>
        <v>1.0412870997386925</v>
      </c>
      <c r="AF154" s="31">
        <f t="shared" si="181"/>
        <v>0.79627837038841187</v>
      </c>
      <c r="AG154" s="31">
        <f t="shared" si="182"/>
        <v>0.6125218233757016</v>
      </c>
      <c r="AH154" s="31">
        <f t="shared" si="183"/>
        <v>0.67377400571327173</v>
      </c>
      <c r="AJ154" s="266">
        <f t="shared" si="193"/>
        <v>293.87097179105825</v>
      </c>
      <c r="AK154" s="266">
        <f t="shared" si="184"/>
        <v>168.97580877985848</v>
      </c>
      <c r="AL154" s="266">
        <f t="shared" si="184"/>
        <v>124.89516301119976</v>
      </c>
      <c r="AM154" s="266">
        <f t="shared" si="184"/>
        <v>95.508065832093919</v>
      </c>
      <c r="AN154" s="266">
        <f t="shared" si="184"/>
        <v>73.467742947764563</v>
      </c>
      <c r="AO154" s="266">
        <f t="shared" si="184"/>
        <v>80.814517242541029</v>
      </c>
      <c r="AQ154" s="31">
        <f t="shared" si="194"/>
        <v>2.4500872935028064</v>
      </c>
      <c r="AR154" s="31">
        <f t="shared" si="185"/>
        <v>1.4088001937641135</v>
      </c>
      <c r="AS154" s="158">
        <f t="shared" si="186"/>
        <v>1.0412870997386925</v>
      </c>
      <c r="AT154" s="31">
        <f t="shared" si="187"/>
        <v>0.79627837038841187</v>
      </c>
      <c r="AU154" s="31">
        <f t="shared" si="188"/>
        <v>0.6125218233757016</v>
      </c>
      <c r="AV154" s="31">
        <f t="shared" si="189"/>
        <v>0.67377400571327173</v>
      </c>
    </row>
    <row r="155" spans="1:48">
      <c r="A155" s="10">
        <v>1998</v>
      </c>
      <c r="B155" s="9">
        <f>Fig1_future_Kaya!L12</f>
        <v>349018.27430563699</v>
      </c>
      <c r="C155" s="30">
        <f>Fig1_future_Kaya!T12</f>
        <v>24.424560202110836</v>
      </c>
      <c r="D155" s="9">
        <f>Fig1_future_Kaya!AR12</f>
        <v>0.62800909199999999</v>
      </c>
      <c r="E155" s="9">
        <f>Fig1_future_Kaya!AS12</f>
        <v>0.62800909199999999</v>
      </c>
      <c r="F155" s="9">
        <f>Fig1_future_Kaya!AT12</f>
        <v>0.62800909199999999</v>
      </c>
      <c r="G155" s="9"/>
      <c r="H155" s="266">
        <f t="shared" si="190"/>
        <v>293.87097179105825</v>
      </c>
      <c r="I155" s="266">
        <f t="shared" si="171"/>
        <v>168.97580877985848</v>
      </c>
      <c r="J155" s="266">
        <f t="shared" si="171"/>
        <v>124.89516301119976</v>
      </c>
      <c r="K155" s="266">
        <f t="shared" si="171"/>
        <v>95.508065832093919</v>
      </c>
      <c r="L155" s="266">
        <f t="shared" si="171"/>
        <v>73.467742947764563</v>
      </c>
      <c r="M155" s="266">
        <f t="shared" si="171"/>
        <v>80.814517242541029</v>
      </c>
      <c r="O155" s="50">
        <f t="shared" si="191"/>
        <v>2.512036368</v>
      </c>
      <c r="P155" s="50">
        <f t="shared" si="172"/>
        <v>1.4444209116</v>
      </c>
      <c r="Q155" s="158">
        <f t="shared" si="173"/>
        <v>1.0676154564</v>
      </c>
      <c r="R155" s="50">
        <f t="shared" si="174"/>
        <v>0.81641181959999998</v>
      </c>
      <c r="S155" s="50">
        <f t="shared" si="175"/>
        <v>0.62800909199999999</v>
      </c>
      <c r="T155" s="50">
        <f t="shared" si="176"/>
        <v>0.69081000120000002</v>
      </c>
      <c r="V155" s="266">
        <f t="shared" si="192"/>
        <v>293.87097179105825</v>
      </c>
      <c r="W155" s="266">
        <f t="shared" si="177"/>
        <v>168.97580877985848</v>
      </c>
      <c r="X155" s="266">
        <f t="shared" si="177"/>
        <v>124.89516301119976</v>
      </c>
      <c r="Y155" s="266">
        <f t="shared" si="177"/>
        <v>95.508065832093919</v>
      </c>
      <c r="Z155" s="266">
        <f t="shared" si="177"/>
        <v>73.467742947764563</v>
      </c>
      <c r="AA155" s="266">
        <f t="shared" si="177"/>
        <v>80.814517242541029</v>
      </c>
      <c r="AC155" s="31">
        <f t="shared" si="178"/>
        <v>2.5051377324365602</v>
      </c>
      <c r="AD155" s="31">
        <f t="shared" si="179"/>
        <v>1.4404541961510222</v>
      </c>
      <c r="AE155" s="158">
        <f t="shared" si="180"/>
        <v>1.0646835362855382</v>
      </c>
      <c r="AF155" s="31">
        <f t="shared" si="181"/>
        <v>0.81416976304188204</v>
      </c>
      <c r="AG155" s="31">
        <f t="shared" si="182"/>
        <v>0.62628443310914006</v>
      </c>
      <c r="AH155" s="31">
        <f t="shared" si="183"/>
        <v>0.68891287642005417</v>
      </c>
      <c r="AJ155" s="266">
        <f t="shared" si="193"/>
        <v>293.87097179105825</v>
      </c>
      <c r="AK155" s="266">
        <f t="shared" si="184"/>
        <v>168.97580877985848</v>
      </c>
      <c r="AL155" s="266">
        <f t="shared" si="184"/>
        <v>124.89516301119976</v>
      </c>
      <c r="AM155" s="266">
        <f t="shared" si="184"/>
        <v>95.508065832093919</v>
      </c>
      <c r="AN155" s="266">
        <f t="shared" si="184"/>
        <v>73.467742947764563</v>
      </c>
      <c r="AO155" s="266">
        <f t="shared" si="184"/>
        <v>80.814517242541029</v>
      </c>
      <c r="AQ155" s="31">
        <f t="shared" si="194"/>
        <v>2.5051377324365602</v>
      </c>
      <c r="AR155" s="31">
        <f t="shared" si="185"/>
        <v>1.4404541961510222</v>
      </c>
      <c r="AS155" s="158">
        <f t="shared" si="186"/>
        <v>1.0646835362855382</v>
      </c>
      <c r="AT155" s="31">
        <f t="shared" si="187"/>
        <v>0.81416976304188204</v>
      </c>
      <c r="AU155" s="31">
        <f t="shared" si="188"/>
        <v>0.62628443310914006</v>
      </c>
      <c r="AV155" s="31">
        <f t="shared" si="189"/>
        <v>0.68891287642005417</v>
      </c>
    </row>
    <row r="156" spans="1:48">
      <c r="A156" s="10">
        <v>1999</v>
      </c>
      <c r="B156" s="9">
        <f>Fig1_future_Kaya!L13</f>
        <v>372383.61824587302</v>
      </c>
      <c r="C156" s="30">
        <f>Fig1_future_Kaya!T13</f>
        <v>23.685610716757044</v>
      </c>
      <c r="D156" s="9">
        <f>Fig1_future_Kaya!AR13</f>
        <v>0.64914668200000003</v>
      </c>
      <c r="E156" s="9">
        <f>Fig1_future_Kaya!AS13</f>
        <v>0.64914668200000003</v>
      </c>
      <c r="F156" s="9">
        <f>Fig1_future_Kaya!AT13</f>
        <v>0.64914668200000003</v>
      </c>
      <c r="G156" s="9"/>
      <c r="H156" s="266">
        <f t="shared" si="190"/>
        <v>293.87097179105825</v>
      </c>
      <c r="I156" s="266">
        <f t="shared" si="171"/>
        <v>168.97580877985848</v>
      </c>
      <c r="J156" s="266">
        <f t="shared" si="171"/>
        <v>124.89516301119976</v>
      </c>
      <c r="K156" s="266">
        <f t="shared" si="171"/>
        <v>95.508065832093919</v>
      </c>
      <c r="L156" s="266">
        <f t="shared" si="171"/>
        <v>73.467742947764563</v>
      </c>
      <c r="M156" s="266">
        <f t="shared" si="171"/>
        <v>80.814517242541029</v>
      </c>
      <c r="O156" s="50">
        <f t="shared" si="191"/>
        <v>2.5965867280000001</v>
      </c>
      <c r="P156" s="50">
        <f t="shared" si="172"/>
        <v>1.4930373686</v>
      </c>
      <c r="Q156" s="158">
        <f t="shared" si="173"/>
        <v>1.1035493594000001</v>
      </c>
      <c r="R156" s="50">
        <f t="shared" si="174"/>
        <v>0.84389068660000011</v>
      </c>
      <c r="S156" s="50">
        <f t="shared" si="175"/>
        <v>0.64914668200000003</v>
      </c>
      <c r="T156" s="50">
        <f t="shared" si="176"/>
        <v>0.71406135020000006</v>
      </c>
      <c r="V156" s="266">
        <f t="shared" si="192"/>
        <v>293.87097179105825</v>
      </c>
      <c r="W156" s="266">
        <f t="shared" si="177"/>
        <v>168.97580877985848</v>
      </c>
      <c r="X156" s="266">
        <f t="shared" si="177"/>
        <v>124.89516301119976</v>
      </c>
      <c r="Y156" s="266">
        <f t="shared" si="177"/>
        <v>95.508065832093919</v>
      </c>
      <c r="Z156" s="266">
        <f t="shared" si="177"/>
        <v>73.467742947764563</v>
      </c>
      <c r="AA156" s="266">
        <f t="shared" si="177"/>
        <v>80.814517242541029</v>
      </c>
      <c r="AC156" s="31">
        <f t="shared" si="178"/>
        <v>2.5919811791886591</v>
      </c>
      <c r="AD156" s="31">
        <f t="shared" si="179"/>
        <v>1.490389178033479</v>
      </c>
      <c r="AE156" s="158">
        <f t="shared" si="180"/>
        <v>1.1015920011551803</v>
      </c>
      <c r="AF156" s="31">
        <f t="shared" si="181"/>
        <v>0.84239388323631403</v>
      </c>
      <c r="AG156" s="31">
        <f t="shared" si="182"/>
        <v>0.64799529479716478</v>
      </c>
      <c r="AH156" s="31">
        <f t="shared" si="183"/>
        <v>0.71279482427688134</v>
      </c>
      <c r="AJ156" s="266">
        <f t="shared" si="193"/>
        <v>293.87097179105825</v>
      </c>
      <c r="AK156" s="266">
        <f t="shared" si="184"/>
        <v>168.97580877985848</v>
      </c>
      <c r="AL156" s="266">
        <f t="shared" si="184"/>
        <v>124.89516301119976</v>
      </c>
      <c r="AM156" s="266">
        <f t="shared" si="184"/>
        <v>95.508065832093919</v>
      </c>
      <c r="AN156" s="266">
        <f t="shared" si="184"/>
        <v>73.467742947764563</v>
      </c>
      <c r="AO156" s="266">
        <f t="shared" si="184"/>
        <v>80.814517242541029</v>
      </c>
      <c r="AQ156" s="31">
        <f t="shared" si="194"/>
        <v>2.5919811791886591</v>
      </c>
      <c r="AR156" s="31">
        <f t="shared" si="185"/>
        <v>1.490389178033479</v>
      </c>
      <c r="AS156" s="158">
        <f t="shared" si="186"/>
        <v>1.1015920011551803</v>
      </c>
      <c r="AT156" s="31">
        <f t="shared" si="187"/>
        <v>0.84239388323631403</v>
      </c>
      <c r="AU156" s="31">
        <f t="shared" si="188"/>
        <v>0.64799529479716478</v>
      </c>
      <c r="AV156" s="31">
        <f t="shared" si="189"/>
        <v>0.71279482427688134</v>
      </c>
    </row>
    <row r="157" spans="1:48">
      <c r="A157" s="10">
        <v>2000</v>
      </c>
      <c r="B157" s="9">
        <f>Fig1_future_Kaya!L14</f>
        <v>399903.21100000001</v>
      </c>
      <c r="C157" s="30">
        <f>Fig1_future_Kaya!T14</f>
        <v>22.819143580846905</v>
      </c>
      <c r="D157" s="9">
        <f>Fig1_future_Kaya!AR14</f>
        <v>0.67477179700000012</v>
      </c>
      <c r="E157" s="9">
        <f>Fig1_future_Kaya!AS14</f>
        <v>0.67477179700000012</v>
      </c>
      <c r="F157" s="9">
        <f>Fig1_future_Kaya!AT14</f>
        <v>0.67477179700000012</v>
      </c>
      <c r="G157" s="9"/>
      <c r="H157" s="266">
        <f t="shared" si="190"/>
        <v>293.87097179105825</v>
      </c>
      <c r="I157" s="266">
        <f t="shared" si="171"/>
        <v>168.97580877985848</v>
      </c>
      <c r="J157" s="266">
        <f t="shared" si="171"/>
        <v>124.89516301119976</v>
      </c>
      <c r="K157" s="266">
        <f t="shared" si="171"/>
        <v>95.508065832093919</v>
      </c>
      <c r="L157" s="266">
        <f t="shared" si="171"/>
        <v>73.467742947764563</v>
      </c>
      <c r="M157" s="266">
        <f t="shared" si="171"/>
        <v>80.814517242541029</v>
      </c>
      <c r="O157" s="50">
        <f t="shared" si="191"/>
        <v>2.6990871880000005</v>
      </c>
      <c r="P157" s="50">
        <f t="shared" si="172"/>
        <v>1.5519751331000002</v>
      </c>
      <c r="Q157" s="158">
        <f t="shared" si="173"/>
        <v>1.1471120549000002</v>
      </c>
      <c r="R157" s="50">
        <f t="shared" si="174"/>
        <v>0.87720333610000023</v>
      </c>
      <c r="S157" s="50">
        <f t="shared" si="175"/>
        <v>0.67477179700000012</v>
      </c>
      <c r="T157" s="50">
        <f t="shared" si="176"/>
        <v>0.74224897670000023</v>
      </c>
      <c r="V157" s="266">
        <f t="shared" si="192"/>
        <v>293.87097179105825</v>
      </c>
      <c r="W157" s="266">
        <f t="shared" si="177"/>
        <v>168.97580877985848</v>
      </c>
      <c r="X157" s="266">
        <f t="shared" si="177"/>
        <v>124.89516301119976</v>
      </c>
      <c r="Y157" s="266">
        <f t="shared" si="177"/>
        <v>95.508065832093919</v>
      </c>
      <c r="Z157" s="266">
        <f t="shared" si="177"/>
        <v>73.467742947764563</v>
      </c>
      <c r="AA157" s="266">
        <f t="shared" si="177"/>
        <v>80.814517242541029</v>
      </c>
      <c r="AC157" s="31">
        <f t="shared" si="178"/>
        <v>2.6817045040205145</v>
      </c>
      <c r="AD157" s="31">
        <f t="shared" si="179"/>
        <v>1.5419800898117957</v>
      </c>
      <c r="AE157" s="158">
        <f t="shared" si="180"/>
        <v>1.1397244142087186</v>
      </c>
      <c r="AF157" s="31">
        <f t="shared" si="181"/>
        <v>0.87155396380666705</v>
      </c>
      <c r="AG157" s="31">
        <f t="shared" si="182"/>
        <v>0.67042612600512863</v>
      </c>
      <c r="AH157" s="31">
        <f t="shared" si="183"/>
        <v>0.73746873860564155</v>
      </c>
      <c r="AJ157" s="266">
        <f t="shared" si="193"/>
        <v>293.87097179105825</v>
      </c>
      <c r="AK157" s="266">
        <f t="shared" si="184"/>
        <v>168.97580877985848</v>
      </c>
      <c r="AL157" s="266">
        <f t="shared" si="184"/>
        <v>124.89516301119976</v>
      </c>
      <c r="AM157" s="266">
        <f t="shared" si="184"/>
        <v>95.508065832093919</v>
      </c>
      <c r="AN157" s="266">
        <f t="shared" si="184"/>
        <v>73.467742947764563</v>
      </c>
      <c r="AO157" s="266">
        <f t="shared" si="184"/>
        <v>80.814517242541029</v>
      </c>
      <c r="AQ157" s="31">
        <f t="shared" si="194"/>
        <v>2.6817045040205145</v>
      </c>
      <c r="AR157" s="31">
        <f t="shared" si="185"/>
        <v>1.5419800898117957</v>
      </c>
      <c r="AS157" s="158">
        <f t="shared" si="186"/>
        <v>1.1397244142087186</v>
      </c>
      <c r="AT157" s="31">
        <f t="shared" si="187"/>
        <v>0.87155396380666705</v>
      </c>
      <c r="AU157" s="31">
        <f t="shared" si="188"/>
        <v>0.67042612600512863</v>
      </c>
      <c r="AV157" s="31">
        <f t="shared" si="189"/>
        <v>0.73746873860564155</v>
      </c>
    </row>
    <row r="158" spans="1:48">
      <c r="A158" s="10">
        <v>2001</v>
      </c>
      <c r="B158" s="9">
        <f>Fig1_future_Kaya!L15</f>
        <v>384334.83500009502</v>
      </c>
      <c r="C158" s="30">
        <f>Fig1_future_Kaya!T15</f>
        <v>23.260773823128829</v>
      </c>
      <c r="D158" s="9">
        <f>Fig1_future_Kaya!AR15</f>
        <v>0.65939666399999997</v>
      </c>
      <c r="E158" s="9">
        <f>Fig1_future_Kaya!AS15</f>
        <v>0.65939666399999997</v>
      </c>
      <c r="F158" s="9">
        <f>Fig1_future_Kaya!AT15</f>
        <v>0.65939666399999997</v>
      </c>
      <c r="G158" s="9"/>
      <c r="H158" s="266">
        <f t="shared" si="190"/>
        <v>293.87097179105825</v>
      </c>
      <c r="I158" s="266">
        <f t="shared" si="171"/>
        <v>168.97580877985848</v>
      </c>
      <c r="J158" s="266">
        <f t="shared" si="171"/>
        <v>124.89516301119976</v>
      </c>
      <c r="K158" s="266">
        <f t="shared" si="171"/>
        <v>95.508065832093919</v>
      </c>
      <c r="L158" s="266">
        <f t="shared" si="171"/>
        <v>73.467742947764563</v>
      </c>
      <c r="M158" s="266">
        <f t="shared" si="171"/>
        <v>80.814517242541029</v>
      </c>
      <c r="O158" s="50">
        <f t="shared" si="191"/>
        <v>2.6375866559999999</v>
      </c>
      <c r="P158" s="50">
        <f t="shared" si="172"/>
        <v>1.5166123271999998</v>
      </c>
      <c r="Q158" s="158">
        <f t="shared" si="173"/>
        <v>1.1209743287999998</v>
      </c>
      <c r="R158" s="50">
        <f t="shared" si="174"/>
        <v>0.85721566319999998</v>
      </c>
      <c r="S158" s="50">
        <f t="shared" si="175"/>
        <v>0.65939666399999997</v>
      </c>
      <c r="T158" s="50">
        <f t="shared" si="176"/>
        <v>0.72533633040000001</v>
      </c>
      <c r="V158" s="266">
        <f t="shared" si="192"/>
        <v>293.87097179105825</v>
      </c>
      <c r="W158" s="266">
        <f t="shared" si="177"/>
        <v>168.97580877985848</v>
      </c>
      <c r="X158" s="266">
        <f t="shared" si="177"/>
        <v>124.89516301119976</v>
      </c>
      <c r="Y158" s="266">
        <f t="shared" si="177"/>
        <v>95.508065832093919</v>
      </c>
      <c r="Z158" s="266">
        <f t="shared" si="177"/>
        <v>73.467742947764563</v>
      </c>
      <c r="AA158" s="266">
        <f t="shared" si="177"/>
        <v>80.814517242541029</v>
      </c>
      <c r="AC158" s="31">
        <f t="shared" si="178"/>
        <v>2.6271846441731239</v>
      </c>
      <c r="AD158" s="31">
        <f t="shared" si="179"/>
        <v>1.5106311703995459</v>
      </c>
      <c r="AE158" s="158">
        <f t="shared" si="180"/>
        <v>1.1165534737735774</v>
      </c>
      <c r="AF158" s="31">
        <f t="shared" si="181"/>
        <v>0.85383500935626511</v>
      </c>
      <c r="AG158" s="31">
        <f t="shared" si="182"/>
        <v>0.65679616104328098</v>
      </c>
      <c r="AH158" s="31">
        <f t="shared" si="183"/>
        <v>0.72247577714760913</v>
      </c>
      <c r="AJ158" s="266">
        <f t="shared" si="193"/>
        <v>293.87097179105825</v>
      </c>
      <c r="AK158" s="266">
        <f t="shared" si="184"/>
        <v>168.97580877985848</v>
      </c>
      <c r="AL158" s="266">
        <f t="shared" si="184"/>
        <v>124.89516301119976</v>
      </c>
      <c r="AM158" s="266">
        <f t="shared" si="184"/>
        <v>95.508065832093919</v>
      </c>
      <c r="AN158" s="266">
        <f t="shared" si="184"/>
        <v>73.467742947764563</v>
      </c>
      <c r="AO158" s="266">
        <f t="shared" si="184"/>
        <v>80.814517242541029</v>
      </c>
      <c r="AQ158" s="31">
        <f t="shared" si="194"/>
        <v>2.6271846441731239</v>
      </c>
      <c r="AR158" s="31">
        <f t="shared" si="185"/>
        <v>1.5106311703995459</v>
      </c>
      <c r="AS158" s="158">
        <f t="shared" si="186"/>
        <v>1.1165534737735774</v>
      </c>
      <c r="AT158" s="31">
        <f t="shared" si="187"/>
        <v>0.85383500935626511</v>
      </c>
      <c r="AU158" s="31">
        <f t="shared" si="188"/>
        <v>0.65679616104328098</v>
      </c>
      <c r="AV158" s="31">
        <f t="shared" si="189"/>
        <v>0.72247577714760913</v>
      </c>
    </row>
    <row r="159" spans="1:48">
      <c r="A159" s="10">
        <v>2002</v>
      </c>
      <c r="B159" s="9">
        <f>Fig1_future_Kaya!L16</f>
        <v>393788.67300000001</v>
      </c>
      <c r="C159" s="30">
        <f>Fig1_future_Kaya!T16</f>
        <v>22.886139708106437</v>
      </c>
      <c r="D159" s="9">
        <f>Fig1_future_Kaya!AR16</f>
        <v>0.665410422</v>
      </c>
      <c r="E159" s="9">
        <f>Fig1_future_Kaya!AS16</f>
        <v>0.665410422</v>
      </c>
      <c r="F159" s="9">
        <f>Fig1_future_Kaya!AT16</f>
        <v>0.665410422</v>
      </c>
      <c r="G159" s="9"/>
      <c r="H159" s="266">
        <f t="shared" si="190"/>
        <v>293.87097179105825</v>
      </c>
      <c r="I159" s="266">
        <f t="shared" si="171"/>
        <v>168.97580877985848</v>
      </c>
      <c r="J159" s="266">
        <f t="shared" si="171"/>
        <v>124.89516301119976</v>
      </c>
      <c r="K159" s="266">
        <f t="shared" si="171"/>
        <v>95.508065832093919</v>
      </c>
      <c r="L159" s="266">
        <f t="shared" si="171"/>
        <v>73.467742947764563</v>
      </c>
      <c r="M159" s="266">
        <f t="shared" si="171"/>
        <v>80.814517242541029</v>
      </c>
      <c r="O159" s="50">
        <f t="shared" si="191"/>
        <v>2.661641688</v>
      </c>
      <c r="P159" s="50">
        <f t="shared" si="172"/>
        <v>1.5304439705999999</v>
      </c>
      <c r="Q159" s="158">
        <f t="shared" si="173"/>
        <v>1.1311977174000001</v>
      </c>
      <c r="R159" s="50">
        <f t="shared" si="174"/>
        <v>0.86503354860000004</v>
      </c>
      <c r="S159" s="50">
        <f t="shared" si="175"/>
        <v>0.665410422</v>
      </c>
      <c r="T159" s="50">
        <f t="shared" si="176"/>
        <v>0.73195146420000001</v>
      </c>
      <c r="V159" s="266">
        <f t="shared" si="192"/>
        <v>293.87097179105825</v>
      </c>
      <c r="W159" s="266">
        <f t="shared" si="177"/>
        <v>168.97580877985848</v>
      </c>
      <c r="X159" s="266">
        <f t="shared" si="177"/>
        <v>124.89516301119976</v>
      </c>
      <c r="Y159" s="266">
        <f t="shared" si="177"/>
        <v>95.508065832093919</v>
      </c>
      <c r="Z159" s="266">
        <f t="shared" si="177"/>
        <v>73.467742947764563</v>
      </c>
      <c r="AA159" s="266">
        <f t="shared" si="177"/>
        <v>80.814517242541029</v>
      </c>
      <c r="AC159" s="31">
        <f t="shared" si="178"/>
        <v>2.6484541189487851</v>
      </c>
      <c r="AD159" s="31">
        <f t="shared" si="179"/>
        <v>1.5228611183955514</v>
      </c>
      <c r="AE159" s="158">
        <f t="shared" si="180"/>
        <v>1.125593000553234</v>
      </c>
      <c r="AF159" s="31">
        <f t="shared" si="181"/>
        <v>0.8607475886583551</v>
      </c>
      <c r="AG159" s="31">
        <f t="shared" si="182"/>
        <v>0.66211352973719628</v>
      </c>
      <c r="AH159" s="31">
        <f t="shared" si="183"/>
        <v>0.728324882710916</v>
      </c>
      <c r="AJ159" s="266">
        <f t="shared" si="193"/>
        <v>293.87097179105825</v>
      </c>
      <c r="AK159" s="266">
        <f t="shared" si="184"/>
        <v>168.97580877985848</v>
      </c>
      <c r="AL159" s="266">
        <f t="shared" si="184"/>
        <v>124.89516301119976</v>
      </c>
      <c r="AM159" s="266">
        <f t="shared" si="184"/>
        <v>95.508065832093919</v>
      </c>
      <c r="AN159" s="266">
        <f t="shared" si="184"/>
        <v>73.467742947764563</v>
      </c>
      <c r="AO159" s="266">
        <f t="shared" si="184"/>
        <v>80.814517242541029</v>
      </c>
      <c r="AQ159" s="31">
        <f t="shared" si="194"/>
        <v>2.6484541189487851</v>
      </c>
      <c r="AR159" s="31">
        <f t="shared" si="185"/>
        <v>1.5228611183955514</v>
      </c>
      <c r="AS159" s="158">
        <f t="shared" si="186"/>
        <v>1.125593000553234</v>
      </c>
      <c r="AT159" s="31">
        <f t="shared" si="187"/>
        <v>0.8607475886583551</v>
      </c>
      <c r="AU159" s="31">
        <f t="shared" si="188"/>
        <v>0.66211352973719628</v>
      </c>
      <c r="AV159" s="31">
        <f t="shared" si="189"/>
        <v>0.728324882710916</v>
      </c>
    </row>
    <row r="160" spans="1:48">
      <c r="A160" s="10">
        <v>2003</v>
      </c>
      <c r="B160" s="9">
        <f>Fig1_future_Kaya!L17</f>
        <v>410151.19900000002</v>
      </c>
      <c r="C160" s="30">
        <f>Fig1_future_Kaya!T17</f>
        <v>21.848733076497489</v>
      </c>
      <c r="D160" s="9">
        <f>Fig1_future_Kaya!AR17</f>
        <v>0.66125329600000005</v>
      </c>
      <c r="E160" s="9">
        <f>Fig1_future_Kaya!AS17</f>
        <v>0.66125329600000005</v>
      </c>
      <c r="F160" s="9">
        <f>Fig1_future_Kaya!AT17</f>
        <v>0.66125329600000005</v>
      </c>
      <c r="G160" s="9"/>
      <c r="H160" s="266">
        <f t="shared" si="190"/>
        <v>293.87097179105825</v>
      </c>
      <c r="I160" s="266">
        <f t="shared" si="171"/>
        <v>168.97580877985848</v>
      </c>
      <c r="J160" s="266">
        <f t="shared" si="171"/>
        <v>124.89516301119976</v>
      </c>
      <c r="K160" s="266">
        <f t="shared" si="171"/>
        <v>95.508065832093919</v>
      </c>
      <c r="L160" s="266">
        <f t="shared" si="171"/>
        <v>73.467742947764563</v>
      </c>
      <c r="M160" s="266">
        <f t="shared" si="171"/>
        <v>80.814517242541029</v>
      </c>
      <c r="O160" s="50">
        <f t="shared" si="191"/>
        <v>2.6450131840000002</v>
      </c>
      <c r="P160" s="50">
        <f t="shared" si="172"/>
        <v>1.5208825807999999</v>
      </c>
      <c r="Q160" s="158">
        <f t="shared" si="173"/>
        <v>1.1241306032</v>
      </c>
      <c r="R160" s="50">
        <f t="shared" si="174"/>
        <v>0.85962928480000012</v>
      </c>
      <c r="S160" s="50">
        <f t="shared" si="175"/>
        <v>0.66125329600000005</v>
      </c>
      <c r="T160" s="50">
        <f t="shared" si="176"/>
        <v>0.72737862560000011</v>
      </c>
      <c r="V160" s="266">
        <f t="shared" si="192"/>
        <v>293.87097179105825</v>
      </c>
      <c r="W160" s="266">
        <f t="shared" si="177"/>
        <v>168.97580877985848</v>
      </c>
      <c r="X160" s="266">
        <f t="shared" si="177"/>
        <v>124.89516301119976</v>
      </c>
      <c r="Y160" s="266">
        <f t="shared" si="177"/>
        <v>95.508065832093919</v>
      </c>
      <c r="Z160" s="266">
        <f t="shared" si="177"/>
        <v>73.467742947764563</v>
      </c>
      <c r="AA160" s="266">
        <f t="shared" si="177"/>
        <v>80.814517242541029</v>
      </c>
      <c r="AC160" s="31">
        <f t="shared" si="178"/>
        <v>2.6334612575460765</v>
      </c>
      <c r="AD160" s="31">
        <f t="shared" si="179"/>
        <v>1.5142402230889938</v>
      </c>
      <c r="AE160" s="158">
        <f t="shared" si="180"/>
        <v>1.1192210344570825</v>
      </c>
      <c r="AF160" s="31">
        <f t="shared" si="181"/>
        <v>0.85587490870247473</v>
      </c>
      <c r="AG160" s="31">
        <f t="shared" si="182"/>
        <v>0.65836531438651913</v>
      </c>
      <c r="AH160" s="31">
        <f t="shared" si="183"/>
        <v>0.72420184582517111</v>
      </c>
      <c r="AJ160" s="266">
        <f t="shared" si="193"/>
        <v>293.87097179105825</v>
      </c>
      <c r="AK160" s="266">
        <f t="shared" si="184"/>
        <v>168.97580877985848</v>
      </c>
      <c r="AL160" s="266">
        <f t="shared" si="184"/>
        <v>124.89516301119976</v>
      </c>
      <c r="AM160" s="266">
        <f t="shared" si="184"/>
        <v>95.508065832093919</v>
      </c>
      <c r="AN160" s="266">
        <f t="shared" si="184"/>
        <v>73.467742947764563</v>
      </c>
      <c r="AO160" s="266">
        <f t="shared" si="184"/>
        <v>80.814517242541029</v>
      </c>
      <c r="AQ160" s="31">
        <f t="shared" si="194"/>
        <v>2.6334612575460765</v>
      </c>
      <c r="AR160" s="31">
        <f t="shared" si="185"/>
        <v>1.5142402230889938</v>
      </c>
      <c r="AS160" s="158">
        <f t="shared" si="186"/>
        <v>1.1192210344570825</v>
      </c>
      <c r="AT160" s="31">
        <f t="shared" si="187"/>
        <v>0.85587490870247473</v>
      </c>
      <c r="AU160" s="31">
        <f t="shared" si="188"/>
        <v>0.65836531438651913</v>
      </c>
      <c r="AV160" s="31">
        <f t="shared" si="189"/>
        <v>0.72420184582517111</v>
      </c>
    </row>
    <row r="161" spans="1:48">
      <c r="A161" s="10">
        <v>2004</v>
      </c>
      <c r="B161" s="9">
        <f>Fig1_future_Kaya!L18</f>
        <v>462087.94</v>
      </c>
      <c r="C161" s="30">
        <f>Fig1_future_Kaya!T18</f>
        <v>20.631340903864153</v>
      </c>
      <c r="D161" s="9">
        <f>Fig1_future_Kaya!AR18</f>
        <v>0.70393088600000009</v>
      </c>
      <c r="E161" s="9">
        <f>Fig1_future_Kaya!AS18</f>
        <v>0.70393088600000009</v>
      </c>
      <c r="F161" s="9">
        <f>Fig1_future_Kaya!AT18</f>
        <v>0.70393088600000009</v>
      </c>
      <c r="G161" s="9"/>
      <c r="H161" s="266">
        <f t="shared" si="190"/>
        <v>293.87097179105825</v>
      </c>
      <c r="I161" s="266">
        <f t="shared" si="171"/>
        <v>168.97580877985848</v>
      </c>
      <c r="J161" s="266">
        <f t="shared" si="171"/>
        <v>124.89516301119976</v>
      </c>
      <c r="K161" s="266">
        <f t="shared" si="171"/>
        <v>95.508065832093919</v>
      </c>
      <c r="L161" s="266">
        <f t="shared" si="171"/>
        <v>73.467742947764563</v>
      </c>
      <c r="M161" s="266">
        <f t="shared" si="171"/>
        <v>80.814517242541029</v>
      </c>
      <c r="O161" s="50">
        <f t="shared" si="191"/>
        <v>2.8157235440000004</v>
      </c>
      <c r="P161" s="50">
        <f t="shared" si="172"/>
        <v>1.6190410378</v>
      </c>
      <c r="Q161" s="158">
        <f t="shared" si="173"/>
        <v>1.1966825062000002</v>
      </c>
      <c r="R161" s="50">
        <f t="shared" si="174"/>
        <v>0.9151101518000001</v>
      </c>
      <c r="S161" s="50">
        <f t="shared" si="175"/>
        <v>0.70393088600000009</v>
      </c>
      <c r="T161" s="50">
        <f t="shared" si="176"/>
        <v>0.77432397460000013</v>
      </c>
      <c r="V161" s="266">
        <f t="shared" si="192"/>
        <v>293.87097179105825</v>
      </c>
      <c r="W161" s="266">
        <f t="shared" si="177"/>
        <v>168.97580877985848</v>
      </c>
      <c r="X161" s="266">
        <f t="shared" si="177"/>
        <v>124.89516301119976</v>
      </c>
      <c r="Y161" s="266">
        <f t="shared" si="177"/>
        <v>95.508065832093919</v>
      </c>
      <c r="Z161" s="266">
        <f t="shared" si="177"/>
        <v>73.467742947764563</v>
      </c>
      <c r="AA161" s="266">
        <f t="shared" si="177"/>
        <v>80.814517242541029</v>
      </c>
      <c r="AC161" s="31">
        <f t="shared" si="178"/>
        <v>2.8016170927728159</v>
      </c>
      <c r="AD161" s="31">
        <f t="shared" si="179"/>
        <v>1.6109298283443689</v>
      </c>
      <c r="AE161" s="158">
        <f t="shared" si="180"/>
        <v>1.1906872644284465</v>
      </c>
      <c r="AF161" s="31">
        <f t="shared" si="181"/>
        <v>0.91052555515116484</v>
      </c>
      <c r="AG161" s="31">
        <f t="shared" si="182"/>
        <v>0.70040427319320397</v>
      </c>
      <c r="AH161" s="31">
        <f t="shared" si="183"/>
        <v>0.77044470051252434</v>
      </c>
      <c r="AJ161" s="266">
        <f t="shared" si="193"/>
        <v>293.87097179105825</v>
      </c>
      <c r="AK161" s="266">
        <f t="shared" si="184"/>
        <v>168.97580877985848</v>
      </c>
      <c r="AL161" s="266">
        <f t="shared" si="184"/>
        <v>124.89516301119976</v>
      </c>
      <c r="AM161" s="266">
        <f t="shared" si="184"/>
        <v>95.508065832093919</v>
      </c>
      <c r="AN161" s="266">
        <f t="shared" si="184"/>
        <v>73.467742947764563</v>
      </c>
      <c r="AO161" s="266">
        <f t="shared" si="184"/>
        <v>80.814517242541029</v>
      </c>
      <c r="AQ161" s="31">
        <f t="shared" si="194"/>
        <v>2.8016170927728159</v>
      </c>
      <c r="AR161" s="31">
        <f t="shared" si="185"/>
        <v>1.6109298283443689</v>
      </c>
      <c r="AS161" s="158">
        <f t="shared" si="186"/>
        <v>1.1906872644284465</v>
      </c>
      <c r="AT161" s="31">
        <f t="shared" si="187"/>
        <v>0.91052555515116484</v>
      </c>
      <c r="AU161" s="31">
        <f t="shared" si="188"/>
        <v>0.70040427319320397</v>
      </c>
      <c r="AV161" s="31">
        <f t="shared" si="189"/>
        <v>0.77044470051252434</v>
      </c>
    </row>
    <row r="162" spans="1:48">
      <c r="A162" s="10">
        <v>2005</v>
      </c>
      <c r="B162" s="9">
        <f>Fig1_future_Kaya!L19</f>
        <v>490665.603</v>
      </c>
      <c r="C162" s="30">
        <f>Fig1_future_Kaya!T19</f>
        <v>20.284318316323407</v>
      </c>
      <c r="D162" s="9">
        <f>Fig1_future_Kaya!AR19</f>
        <v>0.73205280799999994</v>
      </c>
      <c r="E162" s="9">
        <f>Fig1_future_Kaya!AS19</f>
        <v>0.73205280799999994</v>
      </c>
      <c r="F162" s="9">
        <f>Fig1_future_Kaya!AT19</f>
        <v>0.73205280799999994</v>
      </c>
      <c r="G162" s="9"/>
      <c r="H162" s="266">
        <f t="shared" si="190"/>
        <v>293.87097179105825</v>
      </c>
      <c r="I162" s="266">
        <f t="shared" si="171"/>
        <v>168.97580877985848</v>
      </c>
      <c r="J162" s="266">
        <f t="shared" si="171"/>
        <v>124.89516301119976</v>
      </c>
      <c r="K162" s="266">
        <f t="shared" si="171"/>
        <v>95.508065832093919</v>
      </c>
      <c r="L162" s="266">
        <f t="shared" si="171"/>
        <v>73.467742947764563</v>
      </c>
      <c r="M162" s="266">
        <f t="shared" si="171"/>
        <v>80.814517242541029</v>
      </c>
      <c r="O162" s="50">
        <f t="shared" si="191"/>
        <v>2.9282112319999998</v>
      </c>
      <c r="P162" s="50">
        <f t="shared" si="172"/>
        <v>1.6837214583999998</v>
      </c>
      <c r="Q162" s="158">
        <f t="shared" si="173"/>
        <v>1.2444897735999998</v>
      </c>
      <c r="R162" s="50">
        <f t="shared" si="174"/>
        <v>0.95166865039999993</v>
      </c>
      <c r="S162" s="50">
        <f t="shared" si="175"/>
        <v>0.73205280799999994</v>
      </c>
      <c r="T162" s="50">
        <f t="shared" si="176"/>
        <v>0.80525808880000005</v>
      </c>
      <c r="V162" s="266">
        <f t="shared" si="192"/>
        <v>293.87097179105825</v>
      </c>
      <c r="W162" s="266">
        <f t="shared" si="177"/>
        <v>168.97580877985848</v>
      </c>
      <c r="X162" s="266">
        <f t="shared" si="177"/>
        <v>124.89516301119976</v>
      </c>
      <c r="Y162" s="266">
        <f t="shared" si="177"/>
        <v>95.508065832093919</v>
      </c>
      <c r="Z162" s="266">
        <f t="shared" si="177"/>
        <v>73.467742947764563</v>
      </c>
      <c r="AA162" s="266">
        <f t="shared" si="177"/>
        <v>80.814517242541029</v>
      </c>
      <c r="AC162" s="31">
        <f t="shared" si="178"/>
        <v>2.9248440855807738</v>
      </c>
      <c r="AD162" s="31">
        <f t="shared" si="179"/>
        <v>1.6817853492089447</v>
      </c>
      <c r="AE162" s="158">
        <f t="shared" si="180"/>
        <v>1.2430587363718288</v>
      </c>
      <c r="AF162" s="31">
        <f t="shared" si="181"/>
        <v>0.95057432781375129</v>
      </c>
      <c r="AG162" s="31">
        <f t="shared" si="182"/>
        <v>0.73121102139519345</v>
      </c>
      <c r="AH162" s="31">
        <f t="shared" si="183"/>
        <v>0.80433212353471284</v>
      </c>
      <c r="AJ162" s="266">
        <f t="shared" si="193"/>
        <v>293.87097179105825</v>
      </c>
      <c r="AK162" s="266">
        <f t="shared" si="184"/>
        <v>168.97580877985848</v>
      </c>
      <c r="AL162" s="266">
        <f t="shared" si="184"/>
        <v>124.89516301119976</v>
      </c>
      <c r="AM162" s="266">
        <f t="shared" si="184"/>
        <v>95.508065832093919</v>
      </c>
      <c r="AN162" s="266">
        <f t="shared" si="184"/>
        <v>73.467742947764563</v>
      </c>
      <c r="AO162" s="266">
        <f t="shared" si="184"/>
        <v>80.814517242541029</v>
      </c>
      <c r="AQ162" s="31">
        <f t="shared" si="194"/>
        <v>2.9248440855807738</v>
      </c>
      <c r="AR162" s="31">
        <f t="shared" si="185"/>
        <v>1.6817853492089447</v>
      </c>
      <c r="AS162" s="158">
        <f t="shared" si="186"/>
        <v>1.2430587363718288</v>
      </c>
      <c r="AT162" s="31">
        <f t="shared" si="187"/>
        <v>0.95057432781375129</v>
      </c>
      <c r="AU162" s="31">
        <f t="shared" si="188"/>
        <v>0.73121102139519345</v>
      </c>
      <c r="AV162" s="31">
        <f t="shared" si="189"/>
        <v>0.80433212353471284</v>
      </c>
    </row>
    <row r="163" spans="1:48">
      <c r="A163" s="10">
        <v>2006</v>
      </c>
      <c r="B163" s="9">
        <f>Fig1_future_Kaya!L20</f>
        <v>520142.60399999999</v>
      </c>
      <c r="C163" s="30">
        <f>Fig1_future_Kaya!T20</f>
        <v>19.352307452012091</v>
      </c>
      <c r="D163" s="9">
        <f>Fig1_future_Kaya!AR20</f>
        <v>0.74087568299999995</v>
      </c>
      <c r="E163" s="9">
        <f>Fig1_future_Kaya!AS20</f>
        <v>0.74087568299999995</v>
      </c>
      <c r="F163" s="9">
        <f>Fig1_future_Kaya!AT20</f>
        <v>0.74087568299999995</v>
      </c>
      <c r="G163" s="9"/>
      <c r="H163" s="266">
        <f t="shared" si="190"/>
        <v>293.87097179105825</v>
      </c>
      <c r="I163" s="266">
        <f t="shared" si="190"/>
        <v>168.97580877985848</v>
      </c>
      <c r="J163" s="266">
        <f t="shared" si="190"/>
        <v>124.89516301119976</v>
      </c>
      <c r="K163" s="266">
        <f t="shared" si="190"/>
        <v>95.508065832093919</v>
      </c>
      <c r="L163" s="266">
        <f t="shared" si="190"/>
        <v>73.467742947764563</v>
      </c>
      <c r="M163" s="266">
        <f t="shared" si="190"/>
        <v>80.814517242541029</v>
      </c>
      <c r="O163" s="50">
        <f t="shared" si="191"/>
        <v>2.9635027319999998</v>
      </c>
      <c r="P163" s="50">
        <f t="shared" si="172"/>
        <v>1.7040140708999998</v>
      </c>
      <c r="Q163" s="158">
        <f t="shared" si="173"/>
        <v>1.2594886610999998</v>
      </c>
      <c r="R163" s="50">
        <f t="shared" si="174"/>
        <v>0.96313838789999995</v>
      </c>
      <c r="S163" s="50">
        <f t="shared" si="175"/>
        <v>0.74087568299999995</v>
      </c>
      <c r="T163" s="50">
        <f t="shared" si="176"/>
        <v>0.81496325130000002</v>
      </c>
      <c r="V163" s="266">
        <f t="shared" si="192"/>
        <v>293.87097179105825</v>
      </c>
      <c r="W163" s="266">
        <f t="shared" si="192"/>
        <v>168.97580877985848</v>
      </c>
      <c r="X163" s="266">
        <f t="shared" si="192"/>
        <v>124.89516301119976</v>
      </c>
      <c r="Y163" s="266">
        <f t="shared" si="192"/>
        <v>95.508065832093919</v>
      </c>
      <c r="Z163" s="266">
        <f t="shared" si="192"/>
        <v>73.467742947764563</v>
      </c>
      <c r="AA163" s="266">
        <f t="shared" si="192"/>
        <v>80.814517242541029</v>
      </c>
      <c r="AC163" s="31">
        <f t="shared" si="178"/>
        <v>2.958093327163092</v>
      </c>
      <c r="AD163" s="31">
        <f t="shared" si="179"/>
        <v>1.7009036631187777</v>
      </c>
      <c r="AE163" s="158">
        <f t="shared" si="180"/>
        <v>1.2571896640443141</v>
      </c>
      <c r="AF163" s="31">
        <f t="shared" si="181"/>
        <v>0.96138033132800482</v>
      </c>
      <c r="AG163" s="31">
        <f t="shared" si="182"/>
        <v>0.73952333179077301</v>
      </c>
      <c r="AH163" s="31">
        <f t="shared" si="183"/>
        <v>0.81347566496985046</v>
      </c>
      <c r="AJ163" s="266">
        <f t="shared" si="193"/>
        <v>293.87097179105825</v>
      </c>
      <c r="AK163" s="266">
        <f t="shared" si="193"/>
        <v>168.97580877985848</v>
      </c>
      <c r="AL163" s="266">
        <f t="shared" si="193"/>
        <v>124.89516301119976</v>
      </c>
      <c r="AM163" s="266">
        <f t="shared" si="193"/>
        <v>95.508065832093919</v>
      </c>
      <c r="AN163" s="266">
        <f t="shared" si="193"/>
        <v>73.467742947764563</v>
      </c>
      <c r="AO163" s="266">
        <f t="shared" si="193"/>
        <v>80.814517242541029</v>
      </c>
      <c r="AQ163" s="31">
        <f t="shared" si="194"/>
        <v>2.958093327163092</v>
      </c>
      <c r="AR163" s="31">
        <f t="shared" si="185"/>
        <v>1.7009036631187777</v>
      </c>
      <c r="AS163" s="158">
        <f t="shared" si="186"/>
        <v>1.2571896640443141</v>
      </c>
      <c r="AT163" s="31">
        <f t="shared" si="187"/>
        <v>0.96138033132800482</v>
      </c>
      <c r="AU163" s="31">
        <f t="shared" si="188"/>
        <v>0.73952333179077301</v>
      </c>
      <c r="AV163" s="31">
        <f t="shared" si="189"/>
        <v>0.81347566496985046</v>
      </c>
    </row>
    <row r="164" spans="1:48">
      <c r="A164" s="10">
        <v>2007</v>
      </c>
      <c r="B164" s="9">
        <f>Fig1_future_Kaya!L21</f>
        <v>555537.946</v>
      </c>
      <c r="C164" s="30">
        <f>Fig1_future_Kaya!T21</f>
        <v>18.610761903543839</v>
      </c>
      <c r="D164" s="9">
        <f>Fig1_future_Kaya!AR21</f>
        <v>0.75977471099999994</v>
      </c>
      <c r="E164" s="9">
        <f>Fig1_future_Kaya!AS21</f>
        <v>0.75977471099999994</v>
      </c>
      <c r="F164" s="9">
        <f>Fig1_future_Kaya!AT21</f>
        <v>0.75977471099999994</v>
      </c>
      <c r="G164" s="9"/>
      <c r="H164" s="266">
        <f t="shared" si="190"/>
        <v>293.87097179105825</v>
      </c>
      <c r="I164" s="266">
        <f t="shared" si="190"/>
        <v>168.97580877985848</v>
      </c>
      <c r="J164" s="266">
        <f t="shared" si="190"/>
        <v>124.89516301119976</v>
      </c>
      <c r="K164" s="266">
        <f t="shared" si="190"/>
        <v>95.508065832093919</v>
      </c>
      <c r="L164" s="266">
        <f t="shared" si="190"/>
        <v>73.467742947764563</v>
      </c>
      <c r="M164" s="266">
        <f t="shared" si="190"/>
        <v>80.814517242541029</v>
      </c>
      <c r="O164" s="50">
        <f t="shared" si="191"/>
        <v>3.0390988439999997</v>
      </c>
      <c r="P164" s="50">
        <f t="shared" si="172"/>
        <v>1.7474818352999997</v>
      </c>
      <c r="Q164" s="158">
        <f t="shared" si="173"/>
        <v>1.2916170086999998</v>
      </c>
      <c r="R164" s="50">
        <f t="shared" si="174"/>
        <v>0.98770712429999996</v>
      </c>
      <c r="S164" s="50">
        <f t="shared" si="175"/>
        <v>0.75977471099999994</v>
      </c>
      <c r="T164" s="50">
        <f t="shared" si="176"/>
        <v>0.83575218210000002</v>
      </c>
      <c r="V164" s="266">
        <f t="shared" si="192"/>
        <v>293.87097179105825</v>
      </c>
      <c r="W164" s="266">
        <f t="shared" si="192"/>
        <v>168.97580877985848</v>
      </c>
      <c r="X164" s="266">
        <f t="shared" si="192"/>
        <v>124.89516301119976</v>
      </c>
      <c r="Y164" s="266">
        <f t="shared" si="192"/>
        <v>95.508065832093919</v>
      </c>
      <c r="Z164" s="266">
        <f t="shared" si="192"/>
        <v>73.467742947764563</v>
      </c>
      <c r="AA164" s="266">
        <f t="shared" si="192"/>
        <v>80.814517242541029</v>
      </c>
      <c r="AC164" s="31">
        <f t="shared" si="178"/>
        <v>3.0383274051238502</v>
      </c>
      <c r="AD164" s="31">
        <f t="shared" si="179"/>
        <v>1.7470382579462138</v>
      </c>
      <c r="AE164" s="158">
        <f t="shared" si="180"/>
        <v>1.2912891471776364</v>
      </c>
      <c r="AF164" s="31">
        <f t="shared" si="181"/>
        <v>0.98745640666525114</v>
      </c>
      <c r="AG164" s="31">
        <f t="shared" si="182"/>
        <v>0.75958185128096256</v>
      </c>
      <c r="AH164" s="31">
        <f t="shared" si="183"/>
        <v>0.83554003640905894</v>
      </c>
      <c r="AJ164" s="266">
        <f t="shared" si="193"/>
        <v>293.87097179105825</v>
      </c>
      <c r="AK164" s="266">
        <f t="shared" si="193"/>
        <v>168.97580877985848</v>
      </c>
      <c r="AL164" s="266">
        <f t="shared" si="193"/>
        <v>124.89516301119976</v>
      </c>
      <c r="AM164" s="266">
        <f t="shared" si="193"/>
        <v>95.508065832093919</v>
      </c>
      <c r="AN164" s="266">
        <f t="shared" si="193"/>
        <v>73.467742947764563</v>
      </c>
      <c r="AO164" s="266">
        <f t="shared" si="193"/>
        <v>80.814517242541029</v>
      </c>
      <c r="AQ164" s="31">
        <f t="shared" si="194"/>
        <v>3.0383274051238502</v>
      </c>
      <c r="AR164" s="31">
        <f t="shared" si="185"/>
        <v>1.7470382579462138</v>
      </c>
      <c r="AS164" s="158">
        <f t="shared" si="186"/>
        <v>1.2912891471776364</v>
      </c>
      <c r="AT164" s="31">
        <f t="shared" si="187"/>
        <v>0.98745640666525114</v>
      </c>
      <c r="AU164" s="31">
        <f t="shared" si="188"/>
        <v>0.75958185128096256</v>
      </c>
      <c r="AV164" s="31">
        <f t="shared" si="189"/>
        <v>0.83554003640905894</v>
      </c>
    </row>
    <row r="165" spans="1:48">
      <c r="A165" s="10">
        <v>2008</v>
      </c>
      <c r="B165" s="9">
        <f>Fig1_future_Kaya!L22</f>
        <v>561363.87400000007</v>
      </c>
      <c r="C165" s="30">
        <f>Fig1_future_Kaya!T22</f>
        <v>18.193789300259677</v>
      </c>
      <c r="D165" s="9">
        <f>Fig1_future_Kaya!AR22</f>
        <v>0.75256760900000008</v>
      </c>
      <c r="E165" s="9">
        <f>Fig1_future_Kaya!AS22</f>
        <v>0.75256760900000008</v>
      </c>
      <c r="F165" s="9">
        <f>Fig1_future_Kaya!AT22</f>
        <v>0.75256760900000008</v>
      </c>
      <c r="G165" s="9"/>
      <c r="H165" s="266">
        <f t="shared" si="190"/>
        <v>293.87097179105825</v>
      </c>
      <c r="I165" s="266">
        <f t="shared" si="190"/>
        <v>168.97580877985848</v>
      </c>
      <c r="J165" s="266">
        <f t="shared" si="190"/>
        <v>124.89516301119976</v>
      </c>
      <c r="K165" s="266">
        <f t="shared" si="190"/>
        <v>95.508065832093919</v>
      </c>
      <c r="L165" s="266">
        <f t="shared" si="190"/>
        <v>73.467742947764563</v>
      </c>
      <c r="M165" s="266">
        <f t="shared" si="190"/>
        <v>80.814517242541029</v>
      </c>
      <c r="O165" s="50">
        <f t="shared" si="191"/>
        <v>3.0102704360000003</v>
      </c>
      <c r="P165" s="50">
        <f t="shared" si="172"/>
        <v>1.7309055007</v>
      </c>
      <c r="Q165" s="158">
        <f t="shared" si="173"/>
        <v>1.2793649353000001</v>
      </c>
      <c r="R165" s="50">
        <f t="shared" si="174"/>
        <v>0.97833789170000018</v>
      </c>
      <c r="S165" s="50">
        <f t="shared" si="175"/>
        <v>0.75256760900000008</v>
      </c>
      <c r="T165" s="50">
        <f t="shared" si="176"/>
        <v>0.82782436990000019</v>
      </c>
      <c r="V165" s="266">
        <f t="shared" si="192"/>
        <v>293.87097179105825</v>
      </c>
      <c r="W165" s="266">
        <f t="shared" si="192"/>
        <v>168.97580877985848</v>
      </c>
      <c r="X165" s="266">
        <f t="shared" si="192"/>
        <v>124.89516301119976</v>
      </c>
      <c r="Y165" s="266">
        <f t="shared" si="192"/>
        <v>95.508065832093919</v>
      </c>
      <c r="Z165" s="266">
        <f t="shared" si="192"/>
        <v>73.467742947764563</v>
      </c>
      <c r="AA165" s="266">
        <f t="shared" si="192"/>
        <v>80.814517242541029</v>
      </c>
      <c r="AC165" s="31">
        <f t="shared" si="178"/>
        <v>3.0014029885769351</v>
      </c>
      <c r="AD165" s="31">
        <f t="shared" si="179"/>
        <v>1.7258067184317376</v>
      </c>
      <c r="AE165" s="158">
        <f t="shared" si="180"/>
        <v>1.2755962701451975</v>
      </c>
      <c r="AF165" s="31">
        <f t="shared" si="181"/>
        <v>0.97545597128750383</v>
      </c>
      <c r="AG165" s="31">
        <f t="shared" si="182"/>
        <v>0.75035074714423378</v>
      </c>
      <c r="AH165" s="31">
        <f t="shared" si="183"/>
        <v>0.82538582185865728</v>
      </c>
      <c r="AJ165" s="266">
        <f t="shared" si="193"/>
        <v>293.87097179105825</v>
      </c>
      <c r="AK165" s="266">
        <f t="shared" si="193"/>
        <v>168.97580877985848</v>
      </c>
      <c r="AL165" s="266">
        <f t="shared" si="193"/>
        <v>124.89516301119976</v>
      </c>
      <c r="AM165" s="266">
        <f t="shared" si="193"/>
        <v>95.508065832093919</v>
      </c>
      <c r="AN165" s="266">
        <f t="shared" si="193"/>
        <v>73.467742947764563</v>
      </c>
      <c r="AO165" s="266">
        <f t="shared" si="193"/>
        <v>80.814517242541029</v>
      </c>
      <c r="AQ165" s="31">
        <f t="shared" si="194"/>
        <v>3.0014029885769351</v>
      </c>
      <c r="AR165" s="31">
        <f t="shared" si="185"/>
        <v>1.7258067184317376</v>
      </c>
      <c r="AS165" s="158">
        <f t="shared" si="186"/>
        <v>1.2755962701451975</v>
      </c>
      <c r="AT165" s="31">
        <f t="shared" si="187"/>
        <v>0.97545597128750383</v>
      </c>
      <c r="AU165" s="31">
        <f t="shared" si="188"/>
        <v>0.75035074714423378</v>
      </c>
      <c r="AV165" s="31">
        <f t="shared" si="189"/>
        <v>0.82538582185865728</v>
      </c>
    </row>
    <row r="166" spans="1:48">
      <c r="A166" s="10">
        <v>2009</v>
      </c>
      <c r="B166" s="9">
        <f>Fig1_future_Kaya!L23</f>
        <v>579816.34365439601</v>
      </c>
      <c r="C166" s="30">
        <f>Fig1_future_Kaya!T23</f>
        <v>16.72422930113062</v>
      </c>
      <c r="D166" s="9">
        <f>Fig1_future_Kaya!AR23</f>
        <v>0.71209145900000004</v>
      </c>
      <c r="E166" s="9">
        <f>Fig1_future_Kaya!AS23</f>
        <v>0.71209145900000004</v>
      </c>
      <c r="F166" s="9">
        <f>Fig1_future_Kaya!AT23</f>
        <v>0.71209145900000004</v>
      </c>
      <c r="G166" s="9"/>
      <c r="H166" s="266">
        <f t="shared" si="190"/>
        <v>293.87097179105825</v>
      </c>
      <c r="I166" s="266">
        <f t="shared" si="190"/>
        <v>168.97580877985848</v>
      </c>
      <c r="J166" s="266">
        <f t="shared" si="190"/>
        <v>124.89516301119976</v>
      </c>
      <c r="K166" s="266">
        <f t="shared" si="190"/>
        <v>95.508065832093919</v>
      </c>
      <c r="L166" s="266">
        <f t="shared" si="190"/>
        <v>73.467742947764563</v>
      </c>
      <c r="M166" s="266">
        <f t="shared" si="190"/>
        <v>80.814517242541029</v>
      </c>
      <c r="O166" s="50">
        <f t="shared" si="191"/>
        <v>2.8483658360000002</v>
      </c>
      <c r="P166" s="50">
        <f t="shared" si="172"/>
        <v>1.6378103556999999</v>
      </c>
      <c r="Q166" s="158">
        <f t="shared" si="173"/>
        <v>1.2105554803</v>
      </c>
      <c r="R166" s="50">
        <f t="shared" si="174"/>
        <v>0.92571889670000007</v>
      </c>
      <c r="S166" s="50">
        <f t="shared" si="175"/>
        <v>0.71209145900000004</v>
      </c>
      <c r="T166" s="50">
        <f t="shared" si="176"/>
        <v>0.78330060490000009</v>
      </c>
      <c r="V166" s="266">
        <f t="shared" si="192"/>
        <v>293.87097179105825</v>
      </c>
      <c r="W166" s="266">
        <f t="shared" si="192"/>
        <v>168.97580877985848</v>
      </c>
      <c r="X166" s="266">
        <f t="shared" si="192"/>
        <v>124.89516301119976</v>
      </c>
      <c r="Y166" s="266">
        <f t="shared" si="192"/>
        <v>95.508065832093919</v>
      </c>
      <c r="Z166" s="266">
        <f t="shared" si="192"/>
        <v>73.467742947764563</v>
      </c>
      <c r="AA166" s="266">
        <f t="shared" si="192"/>
        <v>80.814517242541029</v>
      </c>
      <c r="AC166" s="31">
        <f t="shared" si="178"/>
        <v>2.8496613720898671</v>
      </c>
      <c r="AD166" s="31">
        <f t="shared" si="179"/>
        <v>1.6385552889516735</v>
      </c>
      <c r="AE166" s="158">
        <f t="shared" si="180"/>
        <v>1.2111060831381935</v>
      </c>
      <c r="AF166" s="31">
        <f t="shared" si="181"/>
        <v>0.92613994592920657</v>
      </c>
      <c r="AG166" s="31">
        <f t="shared" si="182"/>
        <v>0.71241534302246678</v>
      </c>
      <c r="AH166" s="31">
        <f t="shared" si="183"/>
        <v>0.78365687732471356</v>
      </c>
      <c r="AJ166" s="266">
        <f t="shared" si="193"/>
        <v>293.87097179105825</v>
      </c>
      <c r="AK166" s="266">
        <f t="shared" si="193"/>
        <v>168.97580877985848</v>
      </c>
      <c r="AL166" s="266">
        <f t="shared" si="193"/>
        <v>124.89516301119976</v>
      </c>
      <c r="AM166" s="266">
        <f t="shared" si="193"/>
        <v>95.508065832093919</v>
      </c>
      <c r="AN166" s="266">
        <f t="shared" si="193"/>
        <v>73.467742947764563</v>
      </c>
      <c r="AO166" s="266">
        <f t="shared" si="193"/>
        <v>80.814517242541029</v>
      </c>
      <c r="AQ166" s="31">
        <f t="shared" si="194"/>
        <v>2.8496613720898671</v>
      </c>
      <c r="AR166" s="31">
        <f t="shared" si="185"/>
        <v>1.6385552889516735</v>
      </c>
      <c r="AS166" s="158">
        <f t="shared" si="186"/>
        <v>1.2111060831381935</v>
      </c>
      <c r="AT166" s="31">
        <f t="shared" si="187"/>
        <v>0.92613994592920657</v>
      </c>
      <c r="AU166" s="31">
        <f t="shared" si="188"/>
        <v>0.71241534302246678</v>
      </c>
      <c r="AV166" s="31">
        <f t="shared" si="189"/>
        <v>0.78365687732471356</v>
      </c>
    </row>
    <row r="167" spans="1:48">
      <c r="A167" s="10">
        <v>2010</v>
      </c>
      <c r="B167" s="9">
        <f>Fig1_future_Kaya!L24</f>
        <v>625062.68707797001</v>
      </c>
      <c r="C167" s="30">
        <f>Fig1_future_Kaya!T24</f>
        <v>16.355968316974295</v>
      </c>
      <c r="D167" s="9">
        <f>Fig1_future_Kaya!AR24</f>
        <v>0.75039058400000003</v>
      </c>
      <c r="E167" s="9">
        <f>Fig1_future_Kaya!AS24</f>
        <v>0.75039058400000003</v>
      </c>
      <c r="F167" s="9">
        <f>Fig1_future_Kaya!AT24</f>
        <v>0.75039058400000003</v>
      </c>
      <c r="G167" s="9"/>
      <c r="H167" s="266">
        <f t="shared" si="190"/>
        <v>293.87097179105825</v>
      </c>
      <c r="I167" s="266">
        <f t="shared" si="190"/>
        <v>168.97580877985848</v>
      </c>
      <c r="J167" s="266">
        <f t="shared" si="190"/>
        <v>124.89516301119976</v>
      </c>
      <c r="K167" s="266">
        <f t="shared" si="190"/>
        <v>95.508065832093919</v>
      </c>
      <c r="L167" s="266">
        <f t="shared" si="190"/>
        <v>73.467742947764563</v>
      </c>
      <c r="M167" s="266">
        <f t="shared" si="190"/>
        <v>80.814517242541029</v>
      </c>
      <c r="O167" s="50">
        <f t="shared" si="191"/>
        <v>3.0015623360000001</v>
      </c>
      <c r="P167" s="50">
        <f t="shared" si="172"/>
        <v>1.7258983431999999</v>
      </c>
      <c r="Q167" s="158">
        <f t="shared" si="173"/>
        <v>1.2756639928</v>
      </c>
      <c r="R167" s="50">
        <f t="shared" si="174"/>
        <v>0.9755077592000001</v>
      </c>
      <c r="S167" s="50">
        <f t="shared" si="175"/>
        <v>0.75039058400000003</v>
      </c>
      <c r="T167" s="50">
        <f t="shared" si="176"/>
        <v>0.82542964240000005</v>
      </c>
      <c r="V167" s="266">
        <f t="shared" si="192"/>
        <v>293.87097179105825</v>
      </c>
      <c r="W167" s="266">
        <f t="shared" si="192"/>
        <v>168.97580877985848</v>
      </c>
      <c r="X167" s="266">
        <f t="shared" si="192"/>
        <v>124.89516301119976</v>
      </c>
      <c r="Y167" s="266">
        <f t="shared" si="192"/>
        <v>95.508065832093919</v>
      </c>
      <c r="Z167" s="266">
        <f t="shared" si="192"/>
        <v>73.467742947764563</v>
      </c>
      <c r="AA167" s="266">
        <f t="shared" si="192"/>
        <v>80.814517242541029</v>
      </c>
      <c r="AC167" s="31">
        <f t="shared" si="178"/>
        <v>3.0043914981506665</v>
      </c>
      <c r="AD167" s="31">
        <f t="shared" si="179"/>
        <v>1.7275251114366335</v>
      </c>
      <c r="AE167" s="158">
        <f t="shared" si="180"/>
        <v>1.2768663867140333</v>
      </c>
      <c r="AF167" s="31">
        <f t="shared" si="181"/>
        <v>0.9764272368989666</v>
      </c>
      <c r="AG167" s="31">
        <f t="shared" si="182"/>
        <v>0.75109787453766663</v>
      </c>
      <c r="AH167" s="31">
        <f t="shared" si="183"/>
        <v>0.82620766199143347</v>
      </c>
      <c r="AJ167" s="266">
        <f t="shared" si="193"/>
        <v>293.87097179105825</v>
      </c>
      <c r="AK167" s="266">
        <f t="shared" si="193"/>
        <v>168.97580877985848</v>
      </c>
      <c r="AL167" s="266">
        <f t="shared" si="193"/>
        <v>124.89516301119976</v>
      </c>
      <c r="AM167" s="266">
        <f t="shared" si="193"/>
        <v>95.508065832093919</v>
      </c>
      <c r="AN167" s="266">
        <f t="shared" si="193"/>
        <v>73.467742947764563</v>
      </c>
      <c r="AO167" s="266">
        <f t="shared" si="193"/>
        <v>80.814517242541029</v>
      </c>
      <c r="AQ167" s="31">
        <f t="shared" si="194"/>
        <v>3.0043914981506665</v>
      </c>
      <c r="AR167" s="31">
        <f t="shared" si="185"/>
        <v>1.7275251114366335</v>
      </c>
      <c r="AS167" s="158">
        <f t="shared" si="186"/>
        <v>1.2768663867140333</v>
      </c>
      <c r="AT167" s="31">
        <f t="shared" si="187"/>
        <v>0.9764272368989666</v>
      </c>
      <c r="AU167" s="31">
        <f t="shared" si="188"/>
        <v>0.75109787453766663</v>
      </c>
      <c r="AV167" s="31">
        <f t="shared" si="189"/>
        <v>0.82620766199143347</v>
      </c>
    </row>
    <row r="168" spans="1:48">
      <c r="A168" s="10">
        <v>2011</v>
      </c>
      <c r="B168" s="9">
        <f>Fig1_future_Kaya!L25</f>
        <v>655216.83005902299</v>
      </c>
      <c r="C168" s="30">
        <f>Fig1_future_Kaya!T25</f>
        <v>15.974387215917677</v>
      </c>
      <c r="D168" s="9">
        <f>Fig1_future_Kaya!AR25</f>
        <v>0.77119166600000011</v>
      </c>
      <c r="E168" s="9">
        <f>Fig1_future_Kaya!AS25</f>
        <v>0.77119166600000011</v>
      </c>
      <c r="F168" s="9">
        <f>Fig1_future_Kaya!AT25</f>
        <v>0.77119166600000011</v>
      </c>
      <c r="G168" s="9"/>
      <c r="H168" s="266">
        <f t="shared" si="190"/>
        <v>293.87097179105825</v>
      </c>
      <c r="I168" s="266">
        <f t="shared" si="190"/>
        <v>168.97580877985848</v>
      </c>
      <c r="J168" s="266">
        <f t="shared" si="190"/>
        <v>124.89516301119976</v>
      </c>
      <c r="K168" s="266">
        <f t="shared" si="190"/>
        <v>95.508065832093919</v>
      </c>
      <c r="L168" s="266">
        <f t="shared" si="190"/>
        <v>73.467742947764563</v>
      </c>
      <c r="M168" s="266">
        <f t="shared" si="190"/>
        <v>80.814517242541029</v>
      </c>
      <c r="O168" s="50">
        <f t="shared" si="191"/>
        <v>3.0847666640000004</v>
      </c>
      <c r="P168" s="50">
        <f t="shared" si="172"/>
        <v>1.7737408318000001</v>
      </c>
      <c r="Q168" s="158">
        <f t="shared" si="173"/>
        <v>1.3110258322000001</v>
      </c>
      <c r="R168" s="50">
        <f t="shared" si="174"/>
        <v>1.0025491658000001</v>
      </c>
      <c r="S168" s="50">
        <f t="shared" si="175"/>
        <v>0.77119166600000011</v>
      </c>
      <c r="T168" s="50">
        <f t="shared" si="176"/>
        <v>0.84831083260000018</v>
      </c>
      <c r="V168" s="266">
        <f t="shared" si="192"/>
        <v>293.87097179105825</v>
      </c>
      <c r="W168" s="266">
        <f t="shared" si="192"/>
        <v>168.97580877985848</v>
      </c>
      <c r="X168" s="266">
        <f t="shared" si="192"/>
        <v>124.89516301119976</v>
      </c>
      <c r="Y168" s="266">
        <f t="shared" si="192"/>
        <v>95.508065832093919</v>
      </c>
      <c r="Z168" s="266">
        <f t="shared" si="192"/>
        <v>73.467742947764563</v>
      </c>
      <c r="AA168" s="266">
        <f t="shared" si="192"/>
        <v>80.814517242541029</v>
      </c>
      <c r="AC168" s="31">
        <f t="shared" si="178"/>
        <v>3.0758555840793878</v>
      </c>
      <c r="AD168" s="31">
        <f t="shared" si="179"/>
        <v>1.7686169608456477</v>
      </c>
      <c r="AE168" s="158">
        <f t="shared" si="180"/>
        <v>1.3072386232337396</v>
      </c>
      <c r="AF168" s="31">
        <f t="shared" si="181"/>
        <v>0.99965306482580074</v>
      </c>
      <c r="AG168" s="31">
        <f t="shared" si="182"/>
        <v>0.76896389601984694</v>
      </c>
      <c r="AH168" s="31">
        <f t="shared" si="183"/>
        <v>0.84586028562183169</v>
      </c>
      <c r="AJ168" s="266">
        <f t="shared" si="193"/>
        <v>293.87097179105825</v>
      </c>
      <c r="AK168" s="266">
        <f t="shared" si="193"/>
        <v>168.97580877985848</v>
      </c>
      <c r="AL168" s="266">
        <f t="shared" si="193"/>
        <v>124.89516301119976</v>
      </c>
      <c r="AM168" s="266">
        <f t="shared" si="193"/>
        <v>95.508065832093919</v>
      </c>
      <c r="AN168" s="266">
        <f t="shared" si="193"/>
        <v>73.467742947764563</v>
      </c>
      <c r="AO168" s="266">
        <f t="shared" si="193"/>
        <v>80.814517242541029</v>
      </c>
      <c r="AQ168" s="31">
        <f t="shared" si="194"/>
        <v>3.0758555840793878</v>
      </c>
      <c r="AR168" s="31">
        <f t="shared" si="185"/>
        <v>1.7686169608456477</v>
      </c>
      <c r="AS168" s="158">
        <f t="shared" si="186"/>
        <v>1.3072386232337396</v>
      </c>
      <c r="AT168" s="31">
        <f t="shared" si="187"/>
        <v>0.99965306482580074</v>
      </c>
      <c r="AU168" s="31">
        <f t="shared" si="188"/>
        <v>0.76896389601984694</v>
      </c>
      <c r="AV168" s="31">
        <f t="shared" si="189"/>
        <v>0.84586028562183169</v>
      </c>
    </row>
    <row r="169" spans="1:48">
      <c r="A169" s="10">
        <v>2012</v>
      </c>
      <c r="B169" s="9">
        <f>Fig1_future_Kaya!L26</f>
        <v>672489.35224884306</v>
      </c>
      <c r="C169" s="30">
        <f>Fig1_future_Kaya!T26</f>
        <v>15.677884313364491</v>
      </c>
      <c r="D169" s="9">
        <f>Fig1_future_Kaya!AR26</f>
        <v>0.78059377800000007</v>
      </c>
      <c r="E169" s="9">
        <f>Fig1_future_Kaya!AS26</f>
        <v>0.78059377800000007</v>
      </c>
      <c r="F169" s="9">
        <f>Fig1_future_Kaya!AT26</f>
        <v>0.78059377800000007</v>
      </c>
      <c r="G169" s="9"/>
      <c r="H169" s="266">
        <f t="shared" si="190"/>
        <v>293.87097179105825</v>
      </c>
      <c r="I169" s="266">
        <f t="shared" si="190"/>
        <v>168.97580877985848</v>
      </c>
      <c r="J169" s="266">
        <f t="shared" si="190"/>
        <v>124.89516301119976</v>
      </c>
      <c r="K169" s="266">
        <f t="shared" si="190"/>
        <v>95.508065832093919</v>
      </c>
      <c r="L169" s="266">
        <f t="shared" si="190"/>
        <v>73.467742947764563</v>
      </c>
      <c r="M169" s="266">
        <f t="shared" si="190"/>
        <v>80.814517242541029</v>
      </c>
      <c r="O169" s="50">
        <f t="shared" si="191"/>
        <v>3.1223751120000003</v>
      </c>
      <c r="P169" s="50">
        <f t="shared" si="172"/>
        <v>1.7953656894000001</v>
      </c>
      <c r="Q169" s="158">
        <f t="shared" si="173"/>
        <v>1.3270094226</v>
      </c>
      <c r="R169" s="50">
        <f t="shared" si="174"/>
        <v>1.0147719114000002</v>
      </c>
      <c r="S169" s="50">
        <f t="shared" si="175"/>
        <v>0.78059377800000007</v>
      </c>
      <c r="T169" s="50">
        <f t="shared" si="176"/>
        <v>0.85865315580000012</v>
      </c>
      <c r="V169" s="266">
        <f t="shared" si="192"/>
        <v>293.87097179105825</v>
      </c>
      <c r="W169" s="266">
        <f t="shared" si="192"/>
        <v>168.97580877985848</v>
      </c>
      <c r="X169" s="266">
        <f t="shared" si="192"/>
        <v>124.89516301119976</v>
      </c>
      <c r="Y169" s="266">
        <f t="shared" si="192"/>
        <v>95.508065832093919</v>
      </c>
      <c r="Z169" s="266">
        <f t="shared" si="192"/>
        <v>73.467742947764563</v>
      </c>
      <c r="AA169" s="266">
        <f t="shared" si="192"/>
        <v>80.814517242541029</v>
      </c>
      <c r="AC169" s="31">
        <f t="shared" si="178"/>
        <v>3.0983434468216888</v>
      </c>
      <c r="AD169" s="31">
        <f t="shared" si="179"/>
        <v>1.7815474819224708</v>
      </c>
      <c r="AE169" s="158">
        <f t="shared" si="180"/>
        <v>1.3167959648992176</v>
      </c>
      <c r="AF169" s="31">
        <f t="shared" si="181"/>
        <v>1.0069616202170486</v>
      </c>
      <c r="AG169" s="31">
        <f t="shared" si="182"/>
        <v>0.77458586170542221</v>
      </c>
      <c r="AH169" s="31">
        <f t="shared" si="183"/>
        <v>0.85204444787596445</v>
      </c>
      <c r="AJ169" s="266">
        <f t="shared" si="193"/>
        <v>293.87097179105825</v>
      </c>
      <c r="AK169" s="266">
        <f t="shared" si="193"/>
        <v>168.97580877985848</v>
      </c>
      <c r="AL169" s="266">
        <f t="shared" si="193"/>
        <v>124.89516301119976</v>
      </c>
      <c r="AM169" s="266">
        <f t="shared" si="193"/>
        <v>95.508065832093919</v>
      </c>
      <c r="AN169" s="266">
        <f t="shared" si="193"/>
        <v>73.467742947764563</v>
      </c>
      <c r="AO169" s="266">
        <f t="shared" si="193"/>
        <v>80.814517242541029</v>
      </c>
      <c r="AQ169" s="31">
        <f t="shared" si="194"/>
        <v>3.0983434468216888</v>
      </c>
      <c r="AR169" s="31">
        <f t="shared" si="185"/>
        <v>1.7815474819224708</v>
      </c>
      <c r="AS169" s="158">
        <f t="shared" si="186"/>
        <v>1.3167959648992176</v>
      </c>
      <c r="AT169" s="31">
        <f t="shared" si="187"/>
        <v>1.0069616202170486</v>
      </c>
      <c r="AU169" s="31">
        <f t="shared" si="188"/>
        <v>0.77458586170542221</v>
      </c>
      <c r="AV169" s="31">
        <f t="shared" si="189"/>
        <v>0.85204444787596445</v>
      </c>
    </row>
    <row r="170" spans="1:48">
      <c r="A170" s="10">
        <v>2013</v>
      </c>
      <c r="B170" s="9">
        <f>Fig1_future_Kaya!L27</f>
        <v>700590.30781354802</v>
      </c>
      <c r="C170" s="30">
        <f>Fig1_future_Kaya!T27</f>
        <v>15.529631804717662</v>
      </c>
      <c r="D170" s="9">
        <f>Fig1_future_Kaya!AR27</f>
        <v>0.79993577999999999</v>
      </c>
      <c r="E170" s="9">
        <f>Fig1_future_Kaya!AS27</f>
        <v>0.79993577999999999</v>
      </c>
      <c r="F170" s="9">
        <f>Fig1_future_Kaya!AT27</f>
        <v>0.79993577999999999</v>
      </c>
      <c r="G170" s="9"/>
      <c r="H170" s="266">
        <f t="shared" si="190"/>
        <v>293.87097179105825</v>
      </c>
      <c r="I170" s="266">
        <f t="shared" si="190"/>
        <v>168.97580877985848</v>
      </c>
      <c r="J170" s="266">
        <f t="shared" si="190"/>
        <v>124.89516301119976</v>
      </c>
      <c r="K170" s="266">
        <f t="shared" si="190"/>
        <v>95.508065832093919</v>
      </c>
      <c r="L170" s="266">
        <f t="shared" si="190"/>
        <v>73.467742947764563</v>
      </c>
      <c r="M170" s="266">
        <f t="shared" si="190"/>
        <v>80.814517242541029</v>
      </c>
      <c r="O170" s="50">
        <f t="shared" si="191"/>
        <v>3.1997431199999999</v>
      </c>
      <c r="P170" s="50">
        <f t="shared" si="172"/>
        <v>1.8398522939999997</v>
      </c>
      <c r="Q170" s="158">
        <f t="shared" si="173"/>
        <v>1.359890826</v>
      </c>
      <c r="R170" s="50">
        <f t="shared" si="174"/>
        <v>1.039916514</v>
      </c>
      <c r="S170" s="50">
        <f t="shared" si="175"/>
        <v>0.79993577999999999</v>
      </c>
      <c r="T170" s="50">
        <f t="shared" si="176"/>
        <v>0.87992935800000005</v>
      </c>
      <c r="V170" s="266">
        <f t="shared" si="192"/>
        <v>293.87097179105825</v>
      </c>
      <c r="W170" s="266">
        <f t="shared" si="192"/>
        <v>168.97580877985848</v>
      </c>
      <c r="X170" s="266">
        <f t="shared" si="192"/>
        <v>124.89516301119976</v>
      </c>
      <c r="Y170" s="266">
        <f t="shared" si="192"/>
        <v>95.508065832093919</v>
      </c>
      <c r="Z170" s="266">
        <f t="shared" si="192"/>
        <v>73.467742947764563</v>
      </c>
      <c r="AA170" s="266">
        <f t="shared" si="192"/>
        <v>80.814517242541029</v>
      </c>
      <c r="AC170" s="31">
        <f t="shared" si="178"/>
        <v>3.1972895854920478</v>
      </c>
      <c r="AD170" s="31">
        <f t="shared" si="179"/>
        <v>1.8384415116579274</v>
      </c>
      <c r="AE170" s="158">
        <f t="shared" si="180"/>
        <v>1.3588480738341202</v>
      </c>
      <c r="AF170" s="31">
        <f t="shared" si="181"/>
        <v>1.0391191152849155</v>
      </c>
      <c r="AG170" s="31">
        <f t="shared" si="182"/>
        <v>0.79932239637301195</v>
      </c>
      <c r="AH170" s="31">
        <f t="shared" si="183"/>
        <v>0.87925463601031328</v>
      </c>
      <c r="AJ170" s="266">
        <f t="shared" si="193"/>
        <v>293.87097179105825</v>
      </c>
      <c r="AK170" s="266">
        <f t="shared" si="193"/>
        <v>168.97580877985848</v>
      </c>
      <c r="AL170" s="266">
        <f t="shared" si="193"/>
        <v>124.89516301119976</v>
      </c>
      <c r="AM170" s="266">
        <f t="shared" si="193"/>
        <v>95.508065832093919</v>
      </c>
      <c r="AN170" s="266">
        <f t="shared" si="193"/>
        <v>73.467742947764563</v>
      </c>
      <c r="AO170" s="266">
        <f t="shared" si="193"/>
        <v>80.814517242541029</v>
      </c>
      <c r="AQ170" s="31">
        <f t="shared" si="194"/>
        <v>3.1972895854920478</v>
      </c>
      <c r="AR170" s="31">
        <f t="shared" si="185"/>
        <v>1.8384415116579274</v>
      </c>
      <c r="AS170" s="158">
        <f t="shared" si="186"/>
        <v>1.3588480738341202</v>
      </c>
      <c r="AT170" s="31">
        <f t="shared" si="187"/>
        <v>1.0391191152849155</v>
      </c>
      <c r="AU170" s="31">
        <f t="shared" si="188"/>
        <v>0.79932239637301195</v>
      </c>
      <c r="AV170" s="31">
        <f t="shared" si="189"/>
        <v>0.87925463601031328</v>
      </c>
    </row>
    <row r="171" spans="1:48">
      <c r="A171" s="10">
        <v>2014</v>
      </c>
      <c r="B171" s="9">
        <f>Fig1_future_Kaya!L28</f>
        <v>740956.85946141905</v>
      </c>
      <c r="C171" s="30">
        <f>Fig1_future_Kaya!T28</f>
        <v>15.153670387054609</v>
      </c>
      <c r="D171" s="9">
        <f>Fig1_future_Kaya!AR28</f>
        <v>0.82632976600000008</v>
      </c>
      <c r="E171" s="9">
        <f>Fig1_future_Kaya!AS28</f>
        <v>0.82632976600000008</v>
      </c>
      <c r="F171" s="9">
        <f>Fig1_future_Kaya!AT28</f>
        <v>0.82632976600000008</v>
      </c>
      <c r="G171" s="9"/>
      <c r="H171" s="266">
        <f t="shared" si="190"/>
        <v>293.87097179105825</v>
      </c>
      <c r="I171" s="266">
        <f t="shared" si="190"/>
        <v>168.97580877985848</v>
      </c>
      <c r="J171" s="266">
        <f t="shared" si="190"/>
        <v>124.89516301119976</v>
      </c>
      <c r="K171" s="266">
        <f t="shared" si="190"/>
        <v>95.508065832093919</v>
      </c>
      <c r="L171" s="266">
        <f t="shared" si="190"/>
        <v>73.467742947764563</v>
      </c>
      <c r="M171" s="266">
        <f t="shared" si="190"/>
        <v>80.814517242541029</v>
      </c>
      <c r="O171" s="50">
        <f t="shared" si="191"/>
        <v>3.3053190640000003</v>
      </c>
      <c r="P171" s="50">
        <f t="shared" si="172"/>
        <v>1.9005584618</v>
      </c>
      <c r="Q171" s="158">
        <f t="shared" si="173"/>
        <v>1.4047606022000001</v>
      </c>
      <c r="R171" s="50">
        <f t="shared" si="174"/>
        <v>1.0742286958000002</v>
      </c>
      <c r="S171" s="50">
        <f t="shared" si="175"/>
        <v>0.82632976600000008</v>
      </c>
      <c r="T171" s="50">
        <f t="shared" si="176"/>
        <v>0.90896274260000021</v>
      </c>
      <c r="V171" s="266">
        <f t="shared" si="192"/>
        <v>293.87097179105825</v>
      </c>
      <c r="W171" s="266">
        <f t="shared" si="192"/>
        <v>168.97580877985848</v>
      </c>
      <c r="X171" s="266">
        <f t="shared" si="192"/>
        <v>124.89516301119976</v>
      </c>
      <c r="Y171" s="266">
        <f t="shared" si="192"/>
        <v>95.508065832093919</v>
      </c>
      <c r="Z171" s="266">
        <f t="shared" si="192"/>
        <v>73.467742947764563</v>
      </c>
      <c r="AA171" s="266">
        <f t="shared" si="192"/>
        <v>80.814517242541029</v>
      </c>
      <c r="AC171" s="31">
        <f t="shared" si="178"/>
        <v>3.2996467530732323</v>
      </c>
      <c r="AD171" s="31">
        <f t="shared" si="179"/>
        <v>1.8972968830171082</v>
      </c>
      <c r="AE171" s="158">
        <f t="shared" si="180"/>
        <v>1.4023498700561234</v>
      </c>
      <c r="AF171" s="31">
        <f t="shared" si="181"/>
        <v>1.0723851947488003</v>
      </c>
      <c r="AG171" s="31">
        <f t="shared" si="182"/>
        <v>0.82491168826830807</v>
      </c>
      <c r="AH171" s="31">
        <f t="shared" si="183"/>
        <v>0.9074028570951389</v>
      </c>
      <c r="AJ171" s="266">
        <f t="shared" si="193"/>
        <v>293.87097179105825</v>
      </c>
      <c r="AK171" s="266">
        <f t="shared" si="193"/>
        <v>168.97580877985848</v>
      </c>
      <c r="AL171" s="266">
        <f t="shared" si="193"/>
        <v>124.89516301119976</v>
      </c>
      <c r="AM171" s="266">
        <f t="shared" si="193"/>
        <v>95.508065832093919</v>
      </c>
      <c r="AN171" s="266">
        <f t="shared" si="193"/>
        <v>73.467742947764563</v>
      </c>
      <c r="AO171" s="266">
        <f t="shared" si="193"/>
        <v>80.814517242541029</v>
      </c>
      <c r="AQ171" s="31">
        <f t="shared" si="194"/>
        <v>3.2996467530732323</v>
      </c>
      <c r="AR171" s="31">
        <f t="shared" si="185"/>
        <v>1.8972968830171082</v>
      </c>
      <c r="AS171" s="158">
        <f t="shared" si="186"/>
        <v>1.4023498700561234</v>
      </c>
      <c r="AT171" s="31">
        <f t="shared" si="187"/>
        <v>1.0723851947488003</v>
      </c>
      <c r="AU171" s="31">
        <f t="shared" si="188"/>
        <v>0.82491168826830807</v>
      </c>
      <c r="AV171" s="31">
        <f t="shared" si="189"/>
        <v>0.9074028570951389</v>
      </c>
    </row>
    <row r="172" spans="1:48">
      <c r="A172" s="10">
        <v>2015</v>
      </c>
      <c r="B172" s="9">
        <f>Fig1_future_Kaya!L29</f>
        <v>785595.67631234508</v>
      </c>
      <c r="C172" s="30">
        <f>Fig1_future_Kaya!T29</f>
        <v>15.080854303119143</v>
      </c>
      <c r="D172" s="9">
        <f>Fig1_future_Kaya!AR29</f>
        <v>0.87193010700000007</v>
      </c>
      <c r="E172" s="9">
        <f>Fig1_future_Kaya!AS29</f>
        <v>0.87193010700000007</v>
      </c>
      <c r="F172" s="9">
        <f>Fig1_future_Kaya!AT29</f>
        <v>0.87193010700000007</v>
      </c>
      <c r="G172" s="9"/>
      <c r="H172" s="266">
        <f t="shared" si="190"/>
        <v>293.87097179105825</v>
      </c>
      <c r="I172" s="266">
        <f t="shared" si="190"/>
        <v>168.97580877985848</v>
      </c>
      <c r="J172" s="266">
        <f t="shared" si="190"/>
        <v>124.89516301119976</v>
      </c>
      <c r="K172" s="266">
        <f t="shared" si="190"/>
        <v>95.508065832093919</v>
      </c>
      <c r="L172" s="266">
        <f t="shared" si="190"/>
        <v>73.467742947764563</v>
      </c>
      <c r="M172" s="266">
        <f t="shared" si="190"/>
        <v>80.814517242541029</v>
      </c>
      <c r="O172" s="50">
        <f t="shared" si="191"/>
        <v>3.4877204280000003</v>
      </c>
      <c r="P172" s="50">
        <f t="shared" si="172"/>
        <v>2.0054392460999999</v>
      </c>
      <c r="Q172" s="158">
        <f t="shared" si="173"/>
        <v>1.4822811819000001</v>
      </c>
      <c r="R172" s="50">
        <f t="shared" si="174"/>
        <v>1.1335091391000001</v>
      </c>
      <c r="S172" s="50">
        <f t="shared" si="175"/>
        <v>0.87193010700000007</v>
      </c>
      <c r="T172" s="50">
        <f t="shared" si="176"/>
        <v>0.95912311770000014</v>
      </c>
      <c r="V172" s="266">
        <f t="shared" si="192"/>
        <v>293.87097179105825</v>
      </c>
      <c r="W172" s="266">
        <f t="shared" si="192"/>
        <v>168.97580877985848</v>
      </c>
      <c r="X172" s="266">
        <f t="shared" si="192"/>
        <v>124.89516301119976</v>
      </c>
      <c r="Y172" s="266">
        <f t="shared" si="192"/>
        <v>95.508065832093919</v>
      </c>
      <c r="Z172" s="266">
        <f t="shared" si="192"/>
        <v>73.467742947764563</v>
      </c>
      <c r="AA172" s="266">
        <f t="shared" si="192"/>
        <v>80.814517242541029</v>
      </c>
      <c r="AC172" s="31">
        <f t="shared" si="178"/>
        <v>3.4816228013124517</v>
      </c>
      <c r="AD172" s="31">
        <f t="shared" si="179"/>
        <v>2.0019331107546599</v>
      </c>
      <c r="AE172" s="158">
        <f t="shared" si="180"/>
        <v>1.4796896905577919</v>
      </c>
      <c r="AF172" s="31">
        <f t="shared" si="181"/>
        <v>1.1315274104265465</v>
      </c>
      <c r="AG172" s="31">
        <f t="shared" si="182"/>
        <v>0.87040570032811293</v>
      </c>
      <c r="AH172" s="31">
        <f t="shared" si="183"/>
        <v>0.95744627036092433</v>
      </c>
      <c r="AJ172" s="266">
        <f t="shared" si="193"/>
        <v>293.87097179105825</v>
      </c>
      <c r="AK172" s="266">
        <f t="shared" si="193"/>
        <v>168.97580877985848</v>
      </c>
      <c r="AL172" s="266">
        <f t="shared" si="193"/>
        <v>124.89516301119976</v>
      </c>
      <c r="AM172" s="266">
        <f t="shared" si="193"/>
        <v>95.508065832093919</v>
      </c>
      <c r="AN172" s="266">
        <f t="shared" si="193"/>
        <v>73.467742947764563</v>
      </c>
      <c r="AO172" s="266">
        <f t="shared" si="193"/>
        <v>80.814517242541029</v>
      </c>
      <c r="AQ172" s="31">
        <f t="shared" si="194"/>
        <v>3.4816228013124517</v>
      </c>
      <c r="AR172" s="31">
        <f t="shared" si="185"/>
        <v>2.0019331107546599</v>
      </c>
      <c r="AS172" s="158">
        <f t="shared" si="186"/>
        <v>1.4796896905577919</v>
      </c>
      <c r="AT172" s="31">
        <f t="shared" si="187"/>
        <v>1.1315274104265465</v>
      </c>
      <c r="AU172" s="31">
        <f t="shared" si="188"/>
        <v>0.87040570032811293</v>
      </c>
      <c r="AV172" s="31">
        <f t="shared" si="189"/>
        <v>0.95744627036092433</v>
      </c>
    </row>
    <row r="173" spans="1:48">
      <c r="A173" s="10">
        <v>2016</v>
      </c>
      <c r="B173" s="9">
        <f>Fig1_future_Kaya!L30</f>
        <v>836909.76509403402</v>
      </c>
      <c r="C173" s="30">
        <f>Fig1_future_Kaya!T30</f>
        <v>14.775283399578271</v>
      </c>
      <c r="D173" s="9">
        <f>Fig1_future_Kaya!AR30</f>
        <v>0.91315499400000011</v>
      </c>
      <c r="E173" s="9">
        <f>Fig1_future_Kaya!AS30</f>
        <v>0.91315499400000011</v>
      </c>
      <c r="F173" s="9">
        <f>Fig1_future_Kaya!AT30</f>
        <v>0.91315499400000011</v>
      </c>
      <c r="G173" s="9"/>
      <c r="H173" s="266">
        <f t="shared" si="190"/>
        <v>293.87097179105825</v>
      </c>
      <c r="I173" s="266">
        <f t="shared" si="190"/>
        <v>168.97580877985848</v>
      </c>
      <c r="J173" s="266">
        <f t="shared" si="190"/>
        <v>124.89516301119976</v>
      </c>
      <c r="K173" s="266">
        <f t="shared" si="190"/>
        <v>95.508065832093919</v>
      </c>
      <c r="L173" s="266">
        <f t="shared" si="190"/>
        <v>73.467742947764563</v>
      </c>
      <c r="M173" s="266">
        <f t="shared" si="190"/>
        <v>80.814517242541029</v>
      </c>
      <c r="N173" s="264"/>
      <c r="O173" s="50">
        <f t="shared" si="191"/>
        <v>3.6526199760000004</v>
      </c>
      <c r="P173" s="50">
        <f t="shared" si="172"/>
        <v>2.1002564862000002</v>
      </c>
      <c r="Q173" s="158">
        <f t="shared" si="173"/>
        <v>1.5523634898000001</v>
      </c>
      <c r="R173" s="50">
        <f t="shared" si="174"/>
        <v>1.1871014922000003</v>
      </c>
      <c r="S173" s="50">
        <f t="shared" si="175"/>
        <v>0.91315499400000011</v>
      </c>
      <c r="T173" s="50">
        <f t="shared" si="176"/>
        <v>1.0044704934000002</v>
      </c>
      <c r="V173" s="266">
        <f t="shared" si="192"/>
        <v>293.87097179105825</v>
      </c>
      <c r="W173" s="266">
        <f t="shared" si="192"/>
        <v>168.97580877985848</v>
      </c>
      <c r="X173" s="266">
        <f t="shared" si="192"/>
        <v>124.89516301119976</v>
      </c>
      <c r="Y173" s="266">
        <f t="shared" si="192"/>
        <v>95.508065832093919</v>
      </c>
      <c r="Z173" s="266">
        <f t="shared" si="192"/>
        <v>73.467742947764563</v>
      </c>
      <c r="AA173" s="266">
        <f t="shared" si="192"/>
        <v>80.814517242541029</v>
      </c>
      <c r="AC173" s="31">
        <f t="shared" si="178"/>
        <v>3.6338847054811905</v>
      </c>
      <c r="AD173" s="31">
        <f t="shared" si="179"/>
        <v>2.0894837056516846</v>
      </c>
      <c r="AE173" s="158">
        <f t="shared" si="180"/>
        <v>1.5444009998295061</v>
      </c>
      <c r="AF173" s="31">
        <f t="shared" si="181"/>
        <v>1.1810125292813869</v>
      </c>
      <c r="AG173" s="31">
        <f t="shared" si="182"/>
        <v>0.90847117637029762</v>
      </c>
      <c r="AH173" s="31">
        <f t="shared" si="183"/>
        <v>0.99931829400732763</v>
      </c>
      <c r="AJ173" s="266">
        <f t="shared" si="193"/>
        <v>293.87097179105825</v>
      </c>
      <c r="AK173" s="266">
        <f t="shared" si="193"/>
        <v>168.97580877985848</v>
      </c>
      <c r="AL173" s="266">
        <f t="shared" si="193"/>
        <v>124.89516301119976</v>
      </c>
      <c r="AM173" s="266">
        <f t="shared" si="193"/>
        <v>95.508065832093919</v>
      </c>
      <c r="AN173" s="266">
        <f t="shared" si="193"/>
        <v>73.467742947764563</v>
      </c>
      <c r="AO173" s="266">
        <f t="shared" si="193"/>
        <v>80.814517242541029</v>
      </c>
      <c r="AQ173" s="31">
        <f t="shared" si="194"/>
        <v>3.6338847054811905</v>
      </c>
      <c r="AR173" s="31">
        <f t="shared" si="185"/>
        <v>2.0894837056516846</v>
      </c>
      <c r="AS173" s="158">
        <f t="shared" si="186"/>
        <v>1.5444009998295061</v>
      </c>
      <c r="AT173" s="31">
        <f t="shared" si="187"/>
        <v>1.1810125292813869</v>
      </c>
      <c r="AU173" s="31">
        <f t="shared" si="188"/>
        <v>0.90847117637029762</v>
      </c>
      <c r="AV173" s="31">
        <f t="shared" si="189"/>
        <v>0.99931829400732763</v>
      </c>
    </row>
    <row r="174" spans="1:48">
      <c r="A174" s="10">
        <v>2017</v>
      </c>
      <c r="B174" s="9">
        <f>Fig1_future_Kaya!L31</f>
        <v>905814.44717206201</v>
      </c>
      <c r="C174" s="30">
        <f>Fig1_future_Kaya!T31</f>
        <v>14.555888031102301</v>
      </c>
      <c r="D174" s="9">
        <f>Fig1_future_Kaya!AR31</f>
        <v>0.97062137300000007</v>
      </c>
      <c r="E174" s="9">
        <f>Fig1_future_Kaya!AS31</f>
        <v>0.97062137300000007</v>
      </c>
      <c r="F174" s="9">
        <f>Fig1_future_Kaya!AT31</f>
        <v>0.97062137300000007</v>
      </c>
      <c r="G174" s="9"/>
      <c r="H174" s="266">
        <f t="shared" si="190"/>
        <v>293.87097179105825</v>
      </c>
      <c r="I174" s="266">
        <f t="shared" si="190"/>
        <v>168.97580877985848</v>
      </c>
      <c r="J174" s="266">
        <f t="shared" si="190"/>
        <v>124.89516301119976</v>
      </c>
      <c r="K174" s="266">
        <f t="shared" si="190"/>
        <v>95.508065832093919</v>
      </c>
      <c r="L174" s="266">
        <f t="shared" si="190"/>
        <v>73.467742947764563</v>
      </c>
      <c r="M174" s="266">
        <f t="shared" si="190"/>
        <v>80.814517242541029</v>
      </c>
      <c r="N174" s="264"/>
      <c r="O174" s="50">
        <f t="shared" si="191"/>
        <v>3.8824854920000003</v>
      </c>
      <c r="P174" s="50">
        <f t="shared" si="172"/>
        <v>2.2324291579</v>
      </c>
      <c r="Q174" s="158">
        <f t="shared" si="173"/>
        <v>1.6500563341000001</v>
      </c>
      <c r="R174" s="50">
        <f t="shared" si="174"/>
        <v>1.2618077849000002</v>
      </c>
      <c r="S174" s="50">
        <f t="shared" si="175"/>
        <v>0.97062137300000007</v>
      </c>
      <c r="T174" s="50">
        <f t="shared" si="176"/>
        <v>1.0676835103000002</v>
      </c>
      <c r="V174" s="266">
        <f t="shared" si="192"/>
        <v>293.87097179105825</v>
      </c>
      <c r="W174" s="266">
        <f t="shared" si="192"/>
        <v>168.97580877985848</v>
      </c>
      <c r="X174" s="266">
        <f t="shared" si="192"/>
        <v>124.89516301119976</v>
      </c>
      <c r="Y174" s="266">
        <f t="shared" si="192"/>
        <v>95.508065832093919</v>
      </c>
      <c r="Z174" s="266">
        <f t="shared" si="192"/>
        <v>73.467742947764563</v>
      </c>
      <c r="AA174" s="266">
        <f t="shared" si="192"/>
        <v>80.814517242541029</v>
      </c>
      <c r="AC174" s="31">
        <f t="shared" si="178"/>
        <v>3.8746692706010064</v>
      </c>
      <c r="AD174" s="31">
        <f t="shared" si="179"/>
        <v>2.2279348305955788</v>
      </c>
      <c r="AE174" s="158">
        <f t="shared" si="180"/>
        <v>1.6467344400054278</v>
      </c>
      <c r="AF174" s="31">
        <f t="shared" si="181"/>
        <v>1.259267512945327</v>
      </c>
      <c r="AG174" s="31">
        <f t="shared" si="182"/>
        <v>0.9686673176502516</v>
      </c>
      <c r="AH174" s="31">
        <f t="shared" si="183"/>
        <v>1.065534049415277</v>
      </c>
      <c r="AJ174" s="266">
        <f t="shared" si="193"/>
        <v>293.87097179105825</v>
      </c>
      <c r="AK174" s="266">
        <f t="shared" si="193"/>
        <v>168.97580877985848</v>
      </c>
      <c r="AL174" s="266">
        <f t="shared" si="193"/>
        <v>124.89516301119976</v>
      </c>
      <c r="AM174" s="266">
        <f t="shared" si="193"/>
        <v>95.508065832093919</v>
      </c>
      <c r="AN174" s="266">
        <f t="shared" si="193"/>
        <v>73.467742947764563</v>
      </c>
      <c r="AO174" s="266">
        <f t="shared" si="193"/>
        <v>80.814517242541029</v>
      </c>
      <c r="AQ174" s="31">
        <f t="shared" si="194"/>
        <v>3.8746692706010064</v>
      </c>
      <c r="AR174" s="31">
        <f t="shared" si="185"/>
        <v>2.2279348305955788</v>
      </c>
      <c r="AS174" s="158">
        <f t="shared" si="186"/>
        <v>1.6467344400054278</v>
      </c>
      <c r="AT174" s="31">
        <f t="shared" si="187"/>
        <v>1.259267512945327</v>
      </c>
      <c r="AU174" s="31">
        <f t="shared" si="188"/>
        <v>0.9686673176502516</v>
      </c>
      <c r="AV174" s="31">
        <f t="shared" si="189"/>
        <v>1.065534049415277</v>
      </c>
    </row>
    <row r="175" spans="1:48">
      <c r="A175" s="10">
        <v>2018</v>
      </c>
      <c r="B175" s="9">
        <f>Fig1_future_Kaya!L32</f>
        <v>954497.96583072376</v>
      </c>
      <c r="C175" s="30">
        <f>Fig1_future_Kaya!T32</f>
        <v>14.424016294141925</v>
      </c>
      <c r="D175" s="9">
        <f>Fig1_future_Kaya!AR32</f>
        <v>1.007615221</v>
      </c>
      <c r="E175" s="9">
        <f>Fig1_future_Kaya!AS32</f>
        <v>1.007615221</v>
      </c>
      <c r="F175" s="9">
        <f>Fig1_future_Kaya!AT32</f>
        <v>1.007615221</v>
      </c>
      <c r="G175" s="9"/>
      <c r="H175" s="266">
        <f t="shared" si="190"/>
        <v>293.87097179105825</v>
      </c>
      <c r="I175" s="266">
        <f t="shared" si="190"/>
        <v>168.97580877985848</v>
      </c>
      <c r="J175" s="266">
        <f t="shared" si="190"/>
        <v>124.89516301119976</v>
      </c>
      <c r="K175" s="266">
        <f t="shared" si="190"/>
        <v>95.508065832093919</v>
      </c>
      <c r="L175" s="266">
        <f t="shared" si="190"/>
        <v>73.467742947764563</v>
      </c>
      <c r="M175" s="266">
        <f t="shared" si="190"/>
        <v>80.814517242541029</v>
      </c>
      <c r="N175" s="264"/>
      <c r="O175" s="50">
        <f t="shared" si="191"/>
        <v>4.030460884</v>
      </c>
      <c r="P175" s="50">
        <f t="shared" si="172"/>
        <v>2.3175150083</v>
      </c>
      <c r="Q175" s="158">
        <f t="shared" si="173"/>
        <v>1.7129458757</v>
      </c>
      <c r="R175" s="50">
        <f t="shared" si="174"/>
        <v>1.3098997873</v>
      </c>
      <c r="S175" s="50">
        <f t="shared" si="175"/>
        <v>1.007615221</v>
      </c>
      <c r="T175" s="50">
        <f t="shared" si="176"/>
        <v>1.1083767431</v>
      </c>
      <c r="V175" s="266">
        <f t="shared" si="192"/>
        <v>293.87097179105825</v>
      </c>
      <c r="W175" s="266">
        <f t="shared" si="192"/>
        <v>168.97580877985848</v>
      </c>
      <c r="X175" s="266">
        <f t="shared" si="192"/>
        <v>124.89516301119976</v>
      </c>
      <c r="Y175" s="266">
        <f t="shared" si="192"/>
        <v>95.508065832093919</v>
      </c>
      <c r="Z175" s="266">
        <f t="shared" si="192"/>
        <v>73.467742947764563</v>
      </c>
      <c r="AA175" s="266">
        <f t="shared" si="192"/>
        <v>80.814517242541029</v>
      </c>
      <c r="AC175" s="31">
        <f t="shared" si="178"/>
        <v>4.0459256773636838</v>
      </c>
      <c r="AD175" s="31">
        <f t="shared" si="179"/>
        <v>2.3264072644841178</v>
      </c>
      <c r="AE175" s="158">
        <f t="shared" si="180"/>
        <v>1.7195184128795655</v>
      </c>
      <c r="AF175" s="31">
        <f t="shared" si="181"/>
        <v>1.3149258451431971</v>
      </c>
      <c r="AG175" s="31">
        <f t="shared" si="182"/>
        <v>1.011481419340921</v>
      </c>
      <c r="AH175" s="31">
        <f t="shared" si="183"/>
        <v>1.1126295612750132</v>
      </c>
      <c r="AJ175" s="266">
        <f t="shared" si="193"/>
        <v>293.87097179105825</v>
      </c>
      <c r="AK175" s="266">
        <f t="shared" si="193"/>
        <v>168.97580877985848</v>
      </c>
      <c r="AL175" s="266">
        <f t="shared" si="193"/>
        <v>124.89516301119976</v>
      </c>
      <c r="AM175" s="266">
        <f t="shared" si="193"/>
        <v>95.508065832093919</v>
      </c>
      <c r="AN175" s="266">
        <f t="shared" si="193"/>
        <v>73.467742947764563</v>
      </c>
      <c r="AO175" s="266">
        <f t="shared" si="193"/>
        <v>80.814517242541029</v>
      </c>
      <c r="AQ175" s="31">
        <f t="shared" si="194"/>
        <v>4.0459256773636838</v>
      </c>
      <c r="AR175" s="31">
        <f t="shared" si="185"/>
        <v>2.3264072644841178</v>
      </c>
      <c r="AS175" s="158">
        <f t="shared" si="186"/>
        <v>1.7195184128795655</v>
      </c>
      <c r="AT175" s="31">
        <f t="shared" si="187"/>
        <v>1.3149258451431971</v>
      </c>
      <c r="AU175" s="31">
        <f t="shared" si="188"/>
        <v>1.011481419340921</v>
      </c>
      <c r="AV175" s="31">
        <f t="shared" si="189"/>
        <v>1.1126295612750132</v>
      </c>
    </row>
    <row r="176" spans="1:48">
      <c r="A176" s="10">
        <v>2019</v>
      </c>
      <c r="B176" s="9">
        <f>Fig1_future_Kaya!L33</f>
        <v>995212.48929121357</v>
      </c>
      <c r="C176" s="30">
        <f>Fig1_future_Kaya!T33</f>
        <v>14.046170256969022</v>
      </c>
      <c r="D176" s="9">
        <f>Fig1_future_Kaya!AR33</f>
        <v>1.0269999999999999</v>
      </c>
      <c r="E176" s="9">
        <f>Fig1_future_Kaya!AS33</f>
        <v>1.0269999999999999</v>
      </c>
      <c r="F176" s="9">
        <f>Fig1_future_Kaya!AT33</f>
        <v>1.0269999999999999</v>
      </c>
      <c r="G176" s="9"/>
      <c r="H176" s="266">
        <f t="shared" si="190"/>
        <v>293.87097179105825</v>
      </c>
      <c r="I176" s="266">
        <f t="shared" si="190"/>
        <v>168.97580877985848</v>
      </c>
      <c r="J176" s="266">
        <f t="shared" si="190"/>
        <v>124.89516301119976</v>
      </c>
      <c r="K176" s="266">
        <f t="shared" si="190"/>
        <v>95.508065832093919</v>
      </c>
      <c r="L176" s="266">
        <f t="shared" si="190"/>
        <v>73.467742947764563</v>
      </c>
      <c r="M176" s="266">
        <f t="shared" si="190"/>
        <v>80.814517242541029</v>
      </c>
      <c r="N176" s="264"/>
      <c r="O176" s="50">
        <f t="shared" si="191"/>
        <v>4.1079999999999997</v>
      </c>
      <c r="P176" s="50">
        <f t="shared" si="172"/>
        <v>2.3620999999999994</v>
      </c>
      <c r="Q176" s="158">
        <f t="shared" si="173"/>
        <v>1.7458999999999998</v>
      </c>
      <c r="R176" s="50">
        <f t="shared" si="174"/>
        <v>1.3351</v>
      </c>
      <c r="S176" s="50">
        <f t="shared" si="175"/>
        <v>1.0269999999999999</v>
      </c>
      <c r="T176" s="50">
        <f t="shared" si="176"/>
        <v>1.1296999999999999</v>
      </c>
      <c r="V176" s="266">
        <f t="shared" si="192"/>
        <v>293.87097179105825</v>
      </c>
      <c r="W176" s="266">
        <f t="shared" si="192"/>
        <v>168.97580877985848</v>
      </c>
      <c r="X176" s="266">
        <f t="shared" si="192"/>
        <v>124.89516301119976</v>
      </c>
      <c r="Y176" s="266">
        <f t="shared" si="192"/>
        <v>95.508065832093919</v>
      </c>
      <c r="Z176" s="266">
        <f t="shared" si="192"/>
        <v>73.467742947764563</v>
      </c>
      <c r="AA176" s="266">
        <f t="shared" si="192"/>
        <v>80.814517242541029</v>
      </c>
      <c r="AC176" s="31">
        <f t="shared" si="178"/>
        <v>4.1079999999999988</v>
      </c>
      <c r="AD176" s="31">
        <f t="shared" si="179"/>
        <v>2.3620999999999994</v>
      </c>
      <c r="AE176" s="158">
        <f t="shared" si="180"/>
        <v>1.7458999999999998</v>
      </c>
      <c r="AF176" s="31">
        <f t="shared" si="181"/>
        <v>1.3350999999999995</v>
      </c>
      <c r="AG176" s="31">
        <f t="shared" si="182"/>
        <v>1.0269999999999997</v>
      </c>
      <c r="AH176" s="31">
        <f t="shared" si="183"/>
        <v>1.1296999999999999</v>
      </c>
      <c r="AJ176" s="266">
        <f t="shared" si="193"/>
        <v>293.87097179105825</v>
      </c>
      <c r="AK176" s="266">
        <f t="shared" si="193"/>
        <v>168.97580877985848</v>
      </c>
      <c r="AL176" s="266">
        <f t="shared" si="193"/>
        <v>124.89516301119976</v>
      </c>
      <c r="AM176" s="266">
        <f t="shared" si="193"/>
        <v>95.508065832093919</v>
      </c>
      <c r="AN176" s="266">
        <f t="shared" si="193"/>
        <v>73.467742947764563</v>
      </c>
      <c r="AO176" s="266">
        <f t="shared" si="193"/>
        <v>80.814517242541029</v>
      </c>
      <c r="AQ176" s="31">
        <f t="shared" si="194"/>
        <v>4.1079999999999988</v>
      </c>
      <c r="AR176" s="31">
        <f t="shared" si="185"/>
        <v>2.3620999999999994</v>
      </c>
      <c r="AS176" s="158">
        <f t="shared" si="186"/>
        <v>1.7458999999999998</v>
      </c>
      <c r="AT176" s="31">
        <f t="shared" si="187"/>
        <v>1.3350999999999995</v>
      </c>
      <c r="AU176" s="31">
        <f t="shared" si="188"/>
        <v>1.0269999999999997</v>
      </c>
      <c r="AV176" s="31">
        <f t="shared" si="189"/>
        <v>1.1296999999999999</v>
      </c>
    </row>
    <row r="177" spans="1:48">
      <c r="A177" s="10">
        <v>2020</v>
      </c>
      <c r="B177" s="9">
        <f>Fig1_future_Kaya!L34</f>
        <v>449630.976503552</v>
      </c>
      <c r="C177" s="30">
        <f>Fig1_future_Kaya!T34</f>
        <v>18.345083922942074</v>
      </c>
      <c r="D177" s="9">
        <f>Fig1_future_Kaya!AR34</f>
        <v>0.60599999999999998</v>
      </c>
      <c r="E177" s="9">
        <f>Fig1_future_Kaya!AS34</f>
        <v>0.60599999999999998</v>
      </c>
      <c r="F177" s="9">
        <f>Fig1_future_Kaya!AT34</f>
        <v>0.60599999999999998</v>
      </c>
      <c r="G177" s="9"/>
      <c r="H177" s="266">
        <f t="shared" si="190"/>
        <v>293.87097179105825</v>
      </c>
      <c r="I177" s="266">
        <f t="shared" si="190"/>
        <v>168.97580877985848</v>
      </c>
      <c r="J177" s="266">
        <f t="shared" si="190"/>
        <v>124.89516301119976</v>
      </c>
      <c r="K177" s="266">
        <f t="shared" si="190"/>
        <v>95.508065832093919</v>
      </c>
      <c r="L177" s="266">
        <f t="shared" si="190"/>
        <v>73.467742947764563</v>
      </c>
      <c r="M177" s="266">
        <f t="shared" si="190"/>
        <v>80.814517242541029</v>
      </c>
      <c r="N177" s="264"/>
      <c r="O177" s="50">
        <f t="shared" si="191"/>
        <v>2.4239999999999999</v>
      </c>
      <c r="P177" s="50">
        <f t="shared" si="172"/>
        <v>1.3937999999999999</v>
      </c>
      <c r="Q177" s="158">
        <f t="shared" si="173"/>
        <v>1.0302</v>
      </c>
      <c r="R177" s="50">
        <f t="shared" si="174"/>
        <v>0.78780000000000006</v>
      </c>
      <c r="S177" s="50">
        <f t="shared" si="175"/>
        <v>0.60599999999999998</v>
      </c>
      <c r="T177" s="50">
        <f t="shared" si="176"/>
        <v>0.66660000000000008</v>
      </c>
      <c r="V177" s="266">
        <f t="shared" si="192"/>
        <v>293.87097179105825</v>
      </c>
      <c r="W177" s="266">
        <f t="shared" si="192"/>
        <v>168.97580877985848</v>
      </c>
      <c r="X177" s="266">
        <f t="shared" si="192"/>
        <v>124.89516301119976</v>
      </c>
      <c r="Y177" s="266">
        <f t="shared" si="192"/>
        <v>95.508065832093919</v>
      </c>
      <c r="Z177" s="266">
        <f t="shared" si="192"/>
        <v>73.467742947764563</v>
      </c>
      <c r="AA177" s="266">
        <f t="shared" si="192"/>
        <v>80.814517242541029</v>
      </c>
      <c r="AC177" s="31">
        <f t="shared" si="178"/>
        <v>2.4239999999999986</v>
      </c>
      <c r="AD177" s="31">
        <f t="shared" si="179"/>
        <v>1.3937999999999993</v>
      </c>
      <c r="AE177" s="158">
        <f t="shared" si="180"/>
        <v>1.0301999999999996</v>
      </c>
      <c r="AF177" s="31">
        <f t="shared" si="181"/>
        <v>0.7877999999999995</v>
      </c>
      <c r="AG177" s="31">
        <f t="shared" si="182"/>
        <v>0.60599999999999965</v>
      </c>
      <c r="AH177" s="31">
        <f t="shared" si="183"/>
        <v>0.66659999999999975</v>
      </c>
      <c r="AJ177" s="266">
        <f t="shared" si="193"/>
        <v>293.87097179105825</v>
      </c>
      <c r="AK177" s="266">
        <f t="shared" si="193"/>
        <v>168.97580877985848</v>
      </c>
      <c r="AL177" s="266">
        <f t="shared" si="193"/>
        <v>124.89516301119976</v>
      </c>
      <c r="AM177" s="266">
        <f t="shared" si="193"/>
        <v>95.508065832093919</v>
      </c>
      <c r="AN177" s="266">
        <f t="shared" si="193"/>
        <v>73.467742947764563</v>
      </c>
      <c r="AO177" s="266">
        <f t="shared" si="193"/>
        <v>80.814517242541029</v>
      </c>
      <c r="AQ177" s="31">
        <f t="shared" si="194"/>
        <v>2.4239999999999986</v>
      </c>
      <c r="AR177" s="31">
        <f t="shared" si="185"/>
        <v>1.3937999999999993</v>
      </c>
      <c r="AS177" s="158">
        <f t="shared" si="186"/>
        <v>1.0301999999999996</v>
      </c>
      <c r="AT177" s="31">
        <f t="shared" si="187"/>
        <v>0.7877999999999995</v>
      </c>
      <c r="AU177" s="31">
        <f t="shared" si="188"/>
        <v>0.60599999999999965</v>
      </c>
      <c r="AV177" s="31">
        <f t="shared" si="189"/>
        <v>0.66659999999999975</v>
      </c>
    </row>
    <row r="178" spans="1:48" s="45" customFormat="1" ht="17" thickBot="1">
      <c r="A178" s="76">
        <v>2021</v>
      </c>
      <c r="B178" s="77">
        <f>Fig1_future_Kaya!L35</f>
        <v>786165.89525788592</v>
      </c>
      <c r="C178" s="98">
        <f>Fig1_future_Kaya!T35</f>
        <v>12.574809105739336</v>
      </c>
      <c r="D178" s="77">
        <f>Fig1_future_Kaya!AR35</f>
        <v>0.72629373574285117</v>
      </c>
      <c r="E178" s="77">
        <f>Fig1_future_Kaya!AS35</f>
        <v>0.72629373574285117</v>
      </c>
      <c r="F178" s="77">
        <f>Fig1_future_Kaya!AT35</f>
        <v>0.72629373574285117</v>
      </c>
      <c r="G178" s="77"/>
      <c r="H178" s="270">
        <f t="shared" si="190"/>
        <v>293.87097179105825</v>
      </c>
      <c r="I178" s="270">
        <f t="shared" si="190"/>
        <v>168.97580877985848</v>
      </c>
      <c r="J178" s="270">
        <f t="shared" si="190"/>
        <v>124.89516301119976</v>
      </c>
      <c r="K178" s="270">
        <f t="shared" si="190"/>
        <v>95.508065832093919</v>
      </c>
      <c r="L178" s="270">
        <f t="shared" si="190"/>
        <v>73.467742947764563</v>
      </c>
      <c r="M178" s="270">
        <f t="shared" si="190"/>
        <v>80.814517242541029</v>
      </c>
      <c r="N178" s="265"/>
      <c r="O178" s="78">
        <f t="shared" si="191"/>
        <v>2.9051749429714047</v>
      </c>
      <c r="P178" s="78">
        <f t="shared" si="172"/>
        <v>1.6704755922085575</v>
      </c>
      <c r="Q178" s="274">
        <f t="shared" si="173"/>
        <v>1.234699350762847</v>
      </c>
      <c r="R178" s="78">
        <f t="shared" si="174"/>
        <v>0.94418185646570651</v>
      </c>
      <c r="S178" s="78">
        <f t="shared" si="175"/>
        <v>0.72629373574285117</v>
      </c>
      <c r="T178" s="78">
        <f t="shared" si="176"/>
        <v>0.79892310931713639</v>
      </c>
      <c r="V178" s="270">
        <f t="shared" si="192"/>
        <v>293.87097179105825</v>
      </c>
      <c r="W178" s="270">
        <f t="shared" si="192"/>
        <v>168.97580877985848</v>
      </c>
      <c r="X178" s="270">
        <f t="shared" si="192"/>
        <v>124.89516301119976</v>
      </c>
      <c r="Y178" s="270">
        <f t="shared" si="192"/>
        <v>95.508065832093919</v>
      </c>
      <c r="Z178" s="270">
        <f t="shared" si="192"/>
        <v>73.467742947764563</v>
      </c>
      <c r="AA178" s="270">
        <f t="shared" si="192"/>
        <v>80.814517242541029</v>
      </c>
      <c r="AC178" s="148">
        <f t="shared" si="178"/>
        <v>2.9051749429714051</v>
      </c>
      <c r="AD178" s="148">
        <f t="shared" si="179"/>
        <v>1.6704755922085577</v>
      </c>
      <c r="AE178" s="274">
        <f t="shared" si="180"/>
        <v>1.2346993507628472</v>
      </c>
      <c r="AF178" s="148">
        <f t="shared" si="181"/>
        <v>0.94418185646570651</v>
      </c>
      <c r="AG178" s="148">
        <f t="shared" si="182"/>
        <v>0.72629373574285128</v>
      </c>
      <c r="AH178" s="148">
        <f t="shared" si="183"/>
        <v>0.79892310931713639</v>
      </c>
      <c r="AJ178" s="270">
        <f t="shared" si="193"/>
        <v>293.87097179105825</v>
      </c>
      <c r="AK178" s="270">
        <f t="shared" si="193"/>
        <v>168.97580877985848</v>
      </c>
      <c r="AL178" s="270">
        <f t="shared" si="193"/>
        <v>124.89516301119976</v>
      </c>
      <c r="AM178" s="270">
        <f t="shared" si="193"/>
        <v>95.508065832093919</v>
      </c>
      <c r="AN178" s="270">
        <f t="shared" si="193"/>
        <v>73.467742947764563</v>
      </c>
      <c r="AO178" s="270">
        <f t="shared" si="193"/>
        <v>80.814517242541029</v>
      </c>
      <c r="AQ178" s="148">
        <f t="shared" si="194"/>
        <v>2.9051749429714051</v>
      </c>
      <c r="AR178" s="148">
        <f t="shared" si="185"/>
        <v>1.6704755922085577</v>
      </c>
      <c r="AS178" s="274">
        <f t="shared" si="186"/>
        <v>1.2346993507628472</v>
      </c>
      <c r="AT178" s="148">
        <f t="shared" si="187"/>
        <v>0.94418185646570651</v>
      </c>
      <c r="AU178" s="148">
        <f t="shared" si="188"/>
        <v>0.72629373574285128</v>
      </c>
      <c r="AV178" s="148">
        <f t="shared" si="189"/>
        <v>0.79892310931713639</v>
      </c>
    </row>
    <row r="179" spans="1:48">
      <c r="A179" s="10">
        <v>2022</v>
      </c>
      <c r="B179" s="9">
        <f>Fig1_future_Kaya!L36</f>
        <v>797492.51914575731</v>
      </c>
      <c r="C179" s="30">
        <f>Fig1_future_Kaya!T36</f>
        <v>11.654009920430333</v>
      </c>
      <c r="D179" s="9">
        <f>Fig1_future_Kaya!AR36</f>
        <v>0.68280815454197707</v>
      </c>
      <c r="E179" s="9">
        <f>Fig1_future_Kaya!AS36</f>
        <v>0.68280815454197707</v>
      </c>
      <c r="F179" s="9">
        <f>Fig1_future_Kaya!AT36</f>
        <v>0.68280815454197707</v>
      </c>
      <c r="G179" s="31"/>
      <c r="H179" s="266">
        <f>H111</f>
        <v>293.87097179105825</v>
      </c>
      <c r="I179" s="266">
        <f t="shared" ref="I179:L179" si="195">I111</f>
        <v>168.97580877985848</v>
      </c>
      <c r="J179" s="266">
        <f t="shared" si="195"/>
        <v>124.89516301119976</v>
      </c>
      <c r="K179" s="266">
        <f t="shared" si="195"/>
        <v>95.508065832093919</v>
      </c>
      <c r="L179" s="266">
        <f t="shared" si="195"/>
        <v>73.467742947764563</v>
      </c>
      <c r="M179" s="266">
        <f>M111</f>
        <v>80.814517242541029</v>
      </c>
      <c r="N179" s="264"/>
      <c r="O179" s="50">
        <f>($B179*$C179*H179)/10^9</f>
        <v>2.7312326181679083</v>
      </c>
      <c r="P179" s="50">
        <f t="shared" ref="P179:P207" si="196">($B179*$C179*I179)/10^9</f>
        <v>1.5704587554465472</v>
      </c>
      <c r="Q179" s="158">
        <f t="shared" ref="Q179:Q207" si="197">($B179*$C179*J179)/10^9</f>
        <v>1.1607738627213611</v>
      </c>
      <c r="R179" s="50">
        <f t="shared" ref="R179:R207" si="198">($B179*$C179*K179)/10^9</f>
        <v>0.88765060090457015</v>
      </c>
      <c r="S179" s="50">
        <f t="shared" ref="S179:S207" si="199">($B179*$C179*L179)/10^9</f>
        <v>0.68280815454197707</v>
      </c>
      <c r="T179" s="50">
        <f t="shared" ref="T179:T207" si="200">($B179*$C179*M179)/10^9</f>
        <v>0.75108896999617492</v>
      </c>
      <c r="V179" s="267">
        <f>V111</f>
        <v>293.87097179105825</v>
      </c>
      <c r="W179" s="267">
        <f t="shared" ref="W179:AA179" si="201">W111</f>
        <v>168.97580877985848</v>
      </c>
      <c r="X179" s="267">
        <f t="shared" si="201"/>
        <v>124.89516301119976</v>
      </c>
      <c r="Y179" s="267">
        <f t="shared" si="201"/>
        <v>95.508065832093919</v>
      </c>
      <c r="Z179" s="267">
        <f t="shared" si="201"/>
        <v>73.467742947764563</v>
      </c>
      <c r="AA179" s="267">
        <f t="shared" si="201"/>
        <v>80.814517242541029</v>
      </c>
      <c r="AC179" s="31">
        <f>($B179*$C179*V179)/10^9</f>
        <v>2.7312326181679083</v>
      </c>
      <c r="AD179" s="31">
        <f t="shared" si="179"/>
        <v>1.5704587554465472</v>
      </c>
      <c r="AE179" s="158">
        <f t="shared" si="180"/>
        <v>1.1607738627213611</v>
      </c>
      <c r="AF179" s="31">
        <f t="shared" si="181"/>
        <v>0.88765060090457015</v>
      </c>
      <c r="AG179" s="31">
        <f t="shared" si="182"/>
        <v>0.68280815454197707</v>
      </c>
      <c r="AH179" s="31">
        <f t="shared" si="183"/>
        <v>0.75108896999617492</v>
      </c>
      <c r="AJ179" s="31">
        <f>AJ111</f>
        <v>293.87097179105825</v>
      </c>
      <c r="AK179" s="31">
        <f t="shared" ref="AK179:AO179" si="202">AK111</f>
        <v>168.97580877985848</v>
      </c>
      <c r="AL179" s="31">
        <f t="shared" si="202"/>
        <v>124.89516301119976</v>
      </c>
      <c r="AM179" s="31">
        <f t="shared" si="202"/>
        <v>95.508065832093919</v>
      </c>
      <c r="AN179" s="31">
        <f t="shared" si="202"/>
        <v>73.467742947764563</v>
      </c>
      <c r="AO179" s="31">
        <f t="shared" si="202"/>
        <v>80.814517242541029</v>
      </c>
      <c r="AQ179" s="31">
        <f>($B179*$C179*AJ179)/10^9</f>
        <v>2.7312326181679083</v>
      </c>
      <c r="AR179" s="31">
        <f t="shared" si="185"/>
        <v>1.5704587554465472</v>
      </c>
      <c r="AS179" s="158">
        <f t="shared" si="186"/>
        <v>1.1607738627213611</v>
      </c>
      <c r="AT179" s="31">
        <f t="shared" si="187"/>
        <v>0.88765060090457015</v>
      </c>
      <c r="AU179" s="31">
        <f t="shared" si="188"/>
        <v>0.68280815454197707</v>
      </c>
      <c r="AV179" s="31">
        <f t="shared" si="189"/>
        <v>0.75108896999617492</v>
      </c>
    </row>
    <row r="180" spans="1:48">
      <c r="A180" s="10">
        <v>2023</v>
      </c>
      <c r="B180" s="9">
        <f>Fig1_future_Kaya!L37</f>
        <v>808819.14303362882</v>
      </c>
      <c r="C180" s="30">
        <f>Fig1_future_Kaya!T37</f>
        <v>10.733210735121331</v>
      </c>
      <c r="D180" s="9">
        <f>Fig1_future_Kaya!AR37</f>
        <v>0.63779010292483329</v>
      </c>
      <c r="E180" s="9">
        <f>Fig1_future_Kaya!AS37</f>
        <v>0.63353816890533443</v>
      </c>
      <c r="F180" s="9">
        <f>Fig1_future_Kaya!AT37</f>
        <v>0.61501188496323211</v>
      </c>
      <c r="H180" s="266">
        <f t="shared" ref="H180:M180" si="203">H112</f>
        <v>293.87097179105825</v>
      </c>
      <c r="I180" s="266">
        <f t="shared" si="203"/>
        <v>168.97580877985848</v>
      </c>
      <c r="J180" s="266">
        <f t="shared" si="203"/>
        <v>124.89516301119976</v>
      </c>
      <c r="K180" s="266">
        <f t="shared" si="203"/>
        <v>95.508065832093919</v>
      </c>
      <c r="L180" s="266">
        <f t="shared" si="203"/>
        <v>73.467742947764563</v>
      </c>
      <c r="M180" s="266">
        <f t="shared" si="203"/>
        <v>80.814517242541029</v>
      </c>
      <c r="N180" s="264"/>
      <c r="O180" s="50">
        <f t="shared" ref="O180:O207" si="204">($B180*$C180*H180)/10^9</f>
        <v>2.5511604116993332</v>
      </c>
      <c r="P180" s="50">
        <f t="shared" si="196"/>
        <v>1.4669172367271164</v>
      </c>
      <c r="Q180" s="158">
        <f t="shared" si="197"/>
        <v>1.0842431749722166</v>
      </c>
      <c r="R180" s="50">
        <f t="shared" si="198"/>
        <v>0.8291271338022832</v>
      </c>
      <c r="S180" s="50">
        <f t="shared" si="199"/>
        <v>0.63779010292483329</v>
      </c>
      <c r="T180" s="50">
        <f t="shared" si="200"/>
        <v>0.70156911321731674</v>
      </c>
      <c r="V180" s="267">
        <f t="shared" ref="V180:AA180" si="205">V112</f>
        <v>293.38118683807318</v>
      </c>
      <c r="W180" s="267">
        <f t="shared" si="205"/>
        <v>168.48602382687341</v>
      </c>
      <c r="X180" s="267">
        <f t="shared" si="205"/>
        <v>124.40537805821467</v>
      </c>
      <c r="Y180" s="267">
        <f t="shared" si="205"/>
        <v>95.018280879108829</v>
      </c>
      <c r="Z180" s="267">
        <f t="shared" si="205"/>
        <v>72.977957994779473</v>
      </c>
      <c r="AA180" s="267">
        <f t="shared" si="205"/>
        <v>80.324732289555939</v>
      </c>
      <c r="AC180" s="31">
        <f t="shared" ref="AC180:AC207" si="206">($B180*$C180*V180)/10^9</f>
        <v>2.5469084776798345</v>
      </c>
      <c r="AD180" s="31">
        <f t="shared" si="179"/>
        <v>1.4626653027076177</v>
      </c>
      <c r="AE180" s="158">
        <f t="shared" si="180"/>
        <v>1.0799912409527177</v>
      </c>
      <c r="AF180" s="31">
        <f t="shared" si="181"/>
        <v>0.82487519978278434</v>
      </c>
      <c r="AG180" s="31">
        <f t="shared" si="182"/>
        <v>0.63353816890533443</v>
      </c>
      <c r="AH180" s="31">
        <f t="shared" si="183"/>
        <v>0.69731717919781788</v>
      </c>
      <c r="AJ180" s="31">
        <f t="shared" ref="AJ180:AO180" si="207">AJ112</f>
        <v>291.24712382863811</v>
      </c>
      <c r="AK180" s="31">
        <f t="shared" si="207"/>
        <v>166.35196081743831</v>
      </c>
      <c r="AL180" s="31">
        <f t="shared" si="207"/>
        <v>122.2713150487796</v>
      </c>
      <c r="AM180" s="31">
        <f t="shared" si="207"/>
        <v>92.884217869673748</v>
      </c>
      <c r="AN180" s="31">
        <f t="shared" si="207"/>
        <v>70.843894985344406</v>
      </c>
      <c r="AO180" s="31">
        <f t="shared" si="207"/>
        <v>78.190669280120872</v>
      </c>
      <c r="AQ180" s="31">
        <f t="shared" ref="AQ180:AQ183" si="208">($B180*$C180*AJ180)/10^9</f>
        <v>2.5283821937377318</v>
      </c>
      <c r="AR180" s="31">
        <f t="shared" si="185"/>
        <v>1.444139018765515</v>
      </c>
      <c r="AS180" s="158">
        <f t="shared" si="186"/>
        <v>1.0614649570106154</v>
      </c>
      <c r="AT180" s="31">
        <f t="shared" si="187"/>
        <v>0.80634891584068191</v>
      </c>
      <c r="AU180" s="31">
        <f t="shared" si="188"/>
        <v>0.61501188496323211</v>
      </c>
      <c r="AV180" s="31">
        <f t="shared" si="189"/>
        <v>0.67879089525571557</v>
      </c>
    </row>
    <row r="181" spans="1:48">
      <c r="A181" s="10">
        <v>2024</v>
      </c>
      <c r="B181" s="9">
        <f>Fig1_future_Kaya!L38</f>
        <v>820145.76692150044</v>
      </c>
      <c r="C181" s="30">
        <f>Fig1_future_Kaya!T38</f>
        <v>9.8124115498123281</v>
      </c>
      <c r="D181" s="9">
        <f>Fig1_future_Kaya!AR38</f>
        <v>0.59123958089141948</v>
      </c>
      <c r="E181" s="9">
        <f>Fig1_future_Kaya!AS38</f>
        <v>0.58335638647953392</v>
      </c>
      <c r="F181" s="9">
        <f>Fig1_future_Kaya!AT38</f>
        <v>0.54900818225631809</v>
      </c>
      <c r="H181" s="266">
        <f t="shared" ref="H181:M181" si="209">H113</f>
        <v>293.87097179105825</v>
      </c>
      <c r="I181" s="266">
        <f t="shared" si="209"/>
        <v>168.97580877985848</v>
      </c>
      <c r="J181" s="266">
        <f t="shared" si="209"/>
        <v>124.89516301119976</v>
      </c>
      <c r="K181" s="266">
        <f t="shared" si="209"/>
        <v>95.508065832093919</v>
      </c>
      <c r="L181" s="266">
        <f t="shared" si="209"/>
        <v>73.467742947764563</v>
      </c>
      <c r="M181" s="266">
        <f t="shared" si="209"/>
        <v>80.814517242541029</v>
      </c>
      <c r="N181" s="264"/>
      <c r="O181" s="50">
        <f t="shared" si="204"/>
        <v>2.3649583235656779</v>
      </c>
      <c r="P181" s="50">
        <f t="shared" si="196"/>
        <v>1.3598510360502649</v>
      </c>
      <c r="Q181" s="158">
        <f t="shared" si="197"/>
        <v>1.0051072875154132</v>
      </c>
      <c r="R181" s="50">
        <f t="shared" si="198"/>
        <v>0.76861145515884521</v>
      </c>
      <c r="S181" s="50">
        <f t="shared" si="199"/>
        <v>0.59123958089141948</v>
      </c>
      <c r="T181" s="50">
        <f t="shared" si="200"/>
        <v>0.65036353898056154</v>
      </c>
      <c r="V181" s="267">
        <f t="shared" ref="V181:AA181" si="210">V113</f>
        <v>292.89140188508804</v>
      </c>
      <c r="W181" s="267">
        <f t="shared" si="210"/>
        <v>167.99623887388827</v>
      </c>
      <c r="X181" s="267">
        <f t="shared" si="210"/>
        <v>123.91559310522956</v>
      </c>
      <c r="Y181" s="267">
        <f t="shared" si="210"/>
        <v>94.528495926123725</v>
      </c>
      <c r="Z181" s="267">
        <f t="shared" si="210"/>
        <v>72.488173041794369</v>
      </c>
      <c r="AA181" s="267">
        <f t="shared" si="210"/>
        <v>79.834947336570849</v>
      </c>
      <c r="AC181" s="31">
        <f t="shared" si="206"/>
        <v>2.3570751291537926</v>
      </c>
      <c r="AD181" s="31">
        <f t="shared" si="179"/>
        <v>1.3519678416383791</v>
      </c>
      <c r="AE181" s="158">
        <f t="shared" si="180"/>
        <v>0.99722409310352755</v>
      </c>
      <c r="AF181" s="31">
        <f t="shared" si="181"/>
        <v>0.76072826074695965</v>
      </c>
      <c r="AG181" s="31">
        <f t="shared" si="182"/>
        <v>0.58335638647953392</v>
      </c>
      <c r="AH181" s="31">
        <f t="shared" si="183"/>
        <v>0.64248034456867598</v>
      </c>
      <c r="AJ181" s="31">
        <f t="shared" ref="AJ181:AO181" si="211">AJ113</f>
        <v>288.62327586621791</v>
      </c>
      <c r="AK181" s="31">
        <f t="shared" si="211"/>
        <v>163.72811285501814</v>
      </c>
      <c r="AL181" s="31">
        <f t="shared" si="211"/>
        <v>119.64746708635944</v>
      </c>
      <c r="AM181" s="31">
        <f t="shared" si="211"/>
        <v>90.26036990725359</v>
      </c>
      <c r="AN181" s="31">
        <f t="shared" si="211"/>
        <v>68.220047022924234</v>
      </c>
      <c r="AO181" s="31">
        <f t="shared" si="211"/>
        <v>75.566821317700715</v>
      </c>
      <c r="AQ181" s="31">
        <f t="shared" si="208"/>
        <v>2.3227269249305764</v>
      </c>
      <c r="AR181" s="31">
        <f t="shared" si="185"/>
        <v>1.3176196374151632</v>
      </c>
      <c r="AS181" s="158">
        <f t="shared" si="186"/>
        <v>0.96287588888031184</v>
      </c>
      <c r="AT181" s="31">
        <f t="shared" si="187"/>
        <v>0.72638005652374382</v>
      </c>
      <c r="AU181" s="31">
        <f t="shared" si="188"/>
        <v>0.54900818225631809</v>
      </c>
      <c r="AV181" s="31">
        <f t="shared" si="189"/>
        <v>0.60813214034546015</v>
      </c>
    </row>
    <row r="182" spans="1:48">
      <c r="A182" s="10">
        <v>2025</v>
      </c>
      <c r="B182" s="9">
        <f>Fig1_future_Kaya!L39</f>
        <v>831472.39080937207</v>
      </c>
      <c r="C182" s="30">
        <f>Fig1_future_Kaya!T39</f>
        <v>8.8916123645033256</v>
      </c>
      <c r="D182" s="9">
        <f>Fig1_future_Kaya!AR39</f>
        <v>0.54315658844173587</v>
      </c>
      <c r="E182" s="9">
        <f>Fig1_future_Kaya!AS39</f>
        <v>0.530858393513711</v>
      </c>
      <c r="F182" s="9">
        <f>Fig1_future_Kaya!AT39</f>
        <v>0.47993256467174583</v>
      </c>
      <c r="H182" s="266">
        <f t="shared" ref="H182:M182" si="212">H114</f>
        <v>293.87097179105825</v>
      </c>
      <c r="I182" s="266">
        <f t="shared" si="212"/>
        <v>168.97580877985848</v>
      </c>
      <c r="J182" s="266">
        <f t="shared" si="212"/>
        <v>124.89516301119976</v>
      </c>
      <c r="K182" s="266">
        <f t="shared" si="212"/>
        <v>95.508065832093919</v>
      </c>
      <c r="L182" s="266">
        <f t="shared" si="212"/>
        <v>73.467742947764563</v>
      </c>
      <c r="M182" s="266">
        <f t="shared" si="212"/>
        <v>80.814517242541029</v>
      </c>
      <c r="N182" s="264"/>
      <c r="O182" s="50">
        <f t="shared" si="204"/>
        <v>2.1726263537669435</v>
      </c>
      <c r="P182" s="50">
        <f t="shared" si="196"/>
        <v>1.2492601534159922</v>
      </c>
      <c r="Q182" s="158">
        <f t="shared" si="197"/>
        <v>0.92336620035095085</v>
      </c>
      <c r="R182" s="50">
        <f t="shared" si="198"/>
        <v>0.70610356497425653</v>
      </c>
      <c r="S182" s="50">
        <f t="shared" si="199"/>
        <v>0.54315658844173587</v>
      </c>
      <c r="T182" s="50">
        <f t="shared" si="200"/>
        <v>0.59747224728590942</v>
      </c>
      <c r="V182" s="267">
        <f t="shared" ref="V182:AA182" si="213">V114</f>
        <v>291.61330217285399</v>
      </c>
      <c r="W182" s="267">
        <f t="shared" si="213"/>
        <v>167.05485652113242</v>
      </c>
      <c r="X182" s="267">
        <f t="shared" si="213"/>
        <v>123.09305217346602</v>
      </c>
      <c r="Y182" s="267">
        <f t="shared" si="213"/>
        <v>93.785182608355058</v>
      </c>
      <c r="Z182" s="267">
        <f t="shared" si="213"/>
        <v>71.804280434521843</v>
      </c>
      <c r="AA182" s="267">
        <f t="shared" si="213"/>
        <v>79.131247825799591</v>
      </c>
      <c r="AC182" s="31">
        <f t="shared" si="206"/>
        <v>2.1559351083516014</v>
      </c>
      <c r="AD182" s="31">
        <f t="shared" si="179"/>
        <v>1.2350583032767968</v>
      </c>
      <c r="AE182" s="158">
        <f t="shared" si="180"/>
        <v>0.91004296030921883</v>
      </c>
      <c r="AF182" s="31">
        <f t="shared" si="181"/>
        <v>0.69336606499750009</v>
      </c>
      <c r="AG182" s="31">
        <f t="shared" si="182"/>
        <v>0.530858393513711</v>
      </c>
      <c r="AH182" s="31">
        <f t="shared" si="183"/>
        <v>0.58502761734164066</v>
      </c>
      <c r="AJ182" s="31">
        <f t="shared" ref="AJ182:AO182" si="214">AJ114</f>
        <v>283.03383383599532</v>
      </c>
      <c r="AK182" s="31">
        <f t="shared" si="214"/>
        <v>159.43373759201936</v>
      </c>
      <c r="AL182" s="31">
        <f t="shared" si="214"/>
        <v>115.81017421179257</v>
      </c>
      <c r="AM182" s="31">
        <f t="shared" si="214"/>
        <v>86.727798624974696</v>
      </c>
      <c r="AN182" s="31">
        <f t="shared" si="214"/>
        <v>64.916016934861318</v>
      </c>
      <c r="AO182" s="31">
        <f t="shared" si="214"/>
        <v>72.186610831565787</v>
      </c>
      <c r="AQ182" s="31">
        <f t="shared" si="208"/>
        <v>2.0925059819688121</v>
      </c>
      <c r="AR182" s="31">
        <f t="shared" si="185"/>
        <v>1.1787143788338077</v>
      </c>
      <c r="AS182" s="158">
        <f t="shared" si="186"/>
        <v>0.85619969537439455</v>
      </c>
      <c r="AT182" s="31">
        <f t="shared" si="187"/>
        <v>0.64118990640145246</v>
      </c>
      <c r="AU182" s="31">
        <f t="shared" si="188"/>
        <v>0.47993256467174589</v>
      </c>
      <c r="AV182" s="31">
        <f t="shared" si="189"/>
        <v>0.53368501191498152</v>
      </c>
    </row>
    <row r="183" spans="1:48">
      <c r="A183" s="10">
        <v>2026</v>
      </c>
      <c r="B183" s="9">
        <f>Fig1_future_Kaya!L40</f>
        <v>842799.01469724346</v>
      </c>
      <c r="C183" s="30">
        <f>Fig1_future_Kaya!T40</f>
        <v>8.6854300488046974</v>
      </c>
      <c r="D183" s="9">
        <f>Fig1_future_Kaya!AR40</f>
        <v>0.53778915977931308</v>
      </c>
      <c r="E183" s="9">
        <f>Fig1_future_Kaya!AS40</f>
        <v>0.52076832045315669</v>
      </c>
      <c r="F183" s="9">
        <f>Fig1_future_Kaya!AT40</f>
        <v>0.45140249140579564</v>
      </c>
      <c r="H183" s="266">
        <f t="shared" ref="H183:M183" si="215">H115</f>
        <v>293.87097179105825</v>
      </c>
      <c r="I183" s="266">
        <f t="shared" si="215"/>
        <v>168.97580877985848</v>
      </c>
      <c r="J183" s="266">
        <f t="shared" si="215"/>
        <v>124.89516301119976</v>
      </c>
      <c r="K183" s="266">
        <f t="shared" si="215"/>
        <v>95.508065832093919</v>
      </c>
      <c r="L183" s="266">
        <f t="shared" si="215"/>
        <v>73.467742947764563</v>
      </c>
      <c r="M183" s="266">
        <f t="shared" si="215"/>
        <v>80.814517242541029</v>
      </c>
      <c r="N183" s="264"/>
      <c r="O183" s="50">
        <f t="shared" si="204"/>
        <v>2.1511566391172523</v>
      </c>
      <c r="P183" s="50">
        <f t="shared" si="196"/>
        <v>1.2369150674924199</v>
      </c>
      <c r="Q183" s="158">
        <f t="shared" si="197"/>
        <v>0.91424157162483211</v>
      </c>
      <c r="R183" s="50">
        <f t="shared" si="198"/>
        <v>0.6991259077131069</v>
      </c>
      <c r="S183" s="50">
        <f t="shared" si="199"/>
        <v>0.53778915977931308</v>
      </c>
      <c r="T183" s="50">
        <f t="shared" si="200"/>
        <v>0.59156807575724446</v>
      </c>
      <c r="V183" s="267">
        <f t="shared" ref="V183:AA183" si="216">V115</f>
        <v>290.35732914238719</v>
      </c>
      <c r="W183" s="267">
        <f t="shared" si="216"/>
        <v>166.13560085014382</v>
      </c>
      <c r="X183" s="267">
        <f t="shared" si="216"/>
        <v>122.2926379234697</v>
      </c>
      <c r="Y183" s="267">
        <f t="shared" si="216"/>
        <v>93.063995972353609</v>
      </c>
      <c r="Z183" s="267">
        <f t="shared" si="216"/>
        <v>71.14251450901655</v>
      </c>
      <c r="AA183" s="267">
        <f t="shared" si="216"/>
        <v>78.449674996795579</v>
      </c>
      <c r="AC183" s="31">
        <f t="shared" si="206"/>
        <v>2.1254365223425054</v>
      </c>
      <c r="AD183" s="31">
        <f t="shared" si="179"/>
        <v>1.2161245412718744</v>
      </c>
      <c r="AE183" s="158">
        <f t="shared" si="180"/>
        <v>0.89519090089400466</v>
      </c>
      <c r="AF183" s="31">
        <f t="shared" si="181"/>
        <v>0.68123514064209156</v>
      </c>
      <c r="AG183" s="31">
        <f t="shared" si="182"/>
        <v>0.52076832045315669</v>
      </c>
      <c r="AH183" s="31">
        <f t="shared" si="183"/>
        <v>0.57425726051613513</v>
      </c>
      <c r="AJ183" s="31">
        <f t="shared" ref="AJ183:AO183" si="217">AJ115</f>
        <v>277.49880637582407</v>
      </c>
      <c r="AK183" s="31">
        <f t="shared" si="217"/>
        <v>155.19377689907202</v>
      </c>
      <c r="AL183" s="31">
        <f t="shared" si="217"/>
        <v>112.02729590727715</v>
      </c>
      <c r="AM183" s="31">
        <f t="shared" si="217"/>
        <v>83.249641912747222</v>
      </c>
      <c r="AN183" s="31">
        <f t="shared" si="217"/>
        <v>61.666401416849808</v>
      </c>
      <c r="AO183" s="31">
        <f t="shared" si="217"/>
        <v>68.860814915482294</v>
      </c>
      <c r="AQ183" s="31">
        <f t="shared" si="208"/>
        <v>2.0313112113260803</v>
      </c>
      <c r="AR183" s="31">
        <f t="shared" si="185"/>
        <v>1.1360296033712525</v>
      </c>
      <c r="AS183" s="158">
        <f t="shared" si="186"/>
        <v>0.82004785938719549</v>
      </c>
      <c r="AT183" s="31">
        <f t="shared" si="187"/>
        <v>0.60939336339782402</v>
      </c>
      <c r="AU183" s="31">
        <f t="shared" si="188"/>
        <v>0.45140249140579564</v>
      </c>
      <c r="AV183" s="31">
        <f t="shared" si="189"/>
        <v>0.5040661154031385</v>
      </c>
    </row>
    <row r="184" spans="1:48">
      <c r="A184" s="10">
        <v>2027</v>
      </c>
      <c r="B184" s="9">
        <f>Fig1_future_Kaya!L41</f>
        <v>854125.63858511508</v>
      </c>
      <c r="C184" s="30">
        <f>Fig1_future_Kaya!T41</f>
        <v>8.4792477331060692</v>
      </c>
      <c r="D184" s="9">
        <f>Fig1_future_Kaya!AR41</f>
        <v>0.53207858539716424</v>
      </c>
      <c r="E184" s="9">
        <f>Fig1_future_Kaya!AS41</f>
        <v>0.51046410940988207</v>
      </c>
      <c r="F184" s="9">
        <f>Fig1_future_Kaya!AT41</f>
        <v>0.42346848267927467</v>
      </c>
      <c r="H184" s="266">
        <f t="shared" ref="H184:M184" si="218">H116</f>
        <v>293.87097179105825</v>
      </c>
      <c r="I184" s="266">
        <f t="shared" si="218"/>
        <v>168.97580877985848</v>
      </c>
      <c r="J184" s="266">
        <f t="shared" si="218"/>
        <v>124.89516301119976</v>
      </c>
      <c r="K184" s="266">
        <f t="shared" si="218"/>
        <v>95.508065832093919</v>
      </c>
      <c r="L184" s="266">
        <f t="shared" si="218"/>
        <v>73.467742947764563</v>
      </c>
      <c r="M184" s="266">
        <f t="shared" si="218"/>
        <v>80.814517242541029</v>
      </c>
      <c r="N184" s="264"/>
      <c r="O184" s="50">
        <f t="shared" si="204"/>
        <v>2.128314341588657</v>
      </c>
      <c r="P184" s="50">
        <f t="shared" si="196"/>
        <v>1.2237807464134776</v>
      </c>
      <c r="Q184" s="158">
        <f t="shared" si="197"/>
        <v>0.90453359517517917</v>
      </c>
      <c r="R184" s="50">
        <f t="shared" si="198"/>
        <v>0.69170216101631343</v>
      </c>
      <c r="S184" s="50">
        <f t="shared" si="199"/>
        <v>0.53207858539716424</v>
      </c>
      <c r="T184" s="50">
        <f t="shared" si="200"/>
        <v>0.58528644393688067</v>
      </c>
      <c r="V184" s="267">
        <f t="shared" ref="V184:AA184" si="219">V116</f>
        <v>289.10389139556827</v>
      </c>
      <c r="W184" s="267">
        <f t="shared" si="219"/>
        <v>165.21888046280304</v>
      </c>
      <c r="X184" s="267">
        <f t="shared" si="219"/>
        <v>121.49475895712123</v>
      </c>
      <c r="Y184" s="267">
        <f t="shared" si="219"/>
        <v>92.345344620000006</v>
      </c>
      <c r="Z184" s="267">
        <f t="shared" si="219"/>
        <v>70.483283867159116</v>
      </c>
      <c r="AA184" s="267">
        <f t="shared" si="219"/>
        <v>77.770637451439427</v>
      </c>
      <c r="AC184" s="31">
        <f t="shared" si="206"/>
        <v>2.0937895108052982</v>
      </c>
      <c r="AD184" s="31">
        <f t="shared" si="179"/>
        <v>1.1965717833478955</v>
      </c>
      <c r="AE184" s="158">
        <f t="shared" si="180"/>
        <v>0.87990670306881247</v>
      </c>
      <c r="AF184" s="31">
        <f t="shared" si="181"/>
        <v>0.66879664954942353</v>
      </c>
      <c r="AG184" s="31">
        <f t="shared" si="182"/>
        <v>0.51046410940988218</v>
      </c>
      <c r="AH184" s="31">
        <f t="shared" si="183"/>
        <v>0.56324162278972933</v>
      </c>
      <c r="AJ184" s="31">
        <f t="shared" ref="AJ184:AO184" si="220">AJ116</f>
        <v>272.01819348570427</v>
      </c>
      <c r="AK184" s="31">
        <f t="shared" si="220"/>
        <v>151.00823077617602</v>
      </c>
      <c r="AL184" s="31">
        <f t="shared" si="220"/>
        <v>108.29883217281312</v>
      </c>
      <c r="AM184" s="31">
        <f t="shared" si="220"/>
        <v>79.825899770571169</v>
      </c>
      <c r="AN184" s="31">
        <f t="shared" si="220"/>
        <v>58.47120046888972</v>
      </c>
      <c r="AO184" s="31">
        <f t="shared" si="220"/>
        <v>65.589433569450208</v>
      </c>
      <c r="AQ184" s="31">
        <f>($B184*$C184*AJ184)/10^9</f>
        <v>1.9700490281166256</v>
      </c>
      <c r="AR184" s="31">
        <f t="shared" si="185"/>
        <v>1.0936533857021267</v>
      </c>
      <c r="AS184" s="158">
        <f t="shared" si="186"/>
        <v>0.78433727661465658</v>
      </c>
      <c r="AT184" s="31">
        <f t="shared" si="187"/>
        <v>0.57812653722300977</v>
      </c>
      <c r="AU184" s="31">
        <f t="shared" si="188"/>
        <v>0.42346848267927473</v>
      </c>
      <c r="AV184" s="31">
        <f t="shared" si="189"/>
        <v>0.47502116752718643</v>
      </c>
    </row>
    <row r="185" spans="1:48">
      <c r="A185" s="10">
        <v>2028</v>
      </c>
      <c r="B185" s="9">
        <f>Fig1_future_Kaya!L42</f>
        <v>865452.26247298671</v>
      </c>
      <c r="C185" s="30">
        <f>Fig1_future_Kaya!T42</f>
        <v>8.2730654174074409</v>
      </c>
      <c r="D185" s="9">
        <f>Fig1_future_Kaya!AR42</f>
        <v>0.52602486529528913</v>
      </c>
      <c r="E185" s="9">
        <f>Fig1_future_Kaya!AS42</f>
        <v>0.49995440639254529</v>
      </c>
      <c r="F185" s="9">
        <f>Fig1_future_Kaya!AT42</f>
        <v>0.39616262118784035</v>
      </c>
      <c r="H185" s="266">
        <f t="shared" ref="H185:M185" si="221">H117</f>
        <v>293.87097179105825</v>
      </c>
      <c r="I185" s="266">
        <f t="shared" si="221"/>
        <v>168.97580877985848</v>
      </c>
      <c r="J185" s="266">
        <f t="shared" si="221"/>
        <v>124.89516301119976</v>
      </c>
      <c r="K185" s="266">
        <f t="shared" si="221"/>
        <v>95.508065832093919</v>
      </c>
      <c r="L185" s="266">
        <f t="shared" si="221"/>
        <v>73.467742947764563</v>
      </c>
      <c r="M185" s="266">
        <f t="shared" si="221"/>
        <v>80.814517242541029</v>
      </c>
      <c r="N185" s="264"/>
      <c r="O185" s="50">
        <f t="shared" si="204"/>
        <v>2.1040994611811565</v>
      </c>
      <c r="P185" s="50">
        <f t="shared" si="196"/>
        <v>1.2098571901791648</v>
      </c>
      <c r="Q185" s="158">
        <f t="shared" si="197"/>
        <v>0.8942422710019915</v>
      </c>
      <c r="R185" s="50">
        <f t="shared" si="198"/>
        <v>0.6838323248838758</v>
      </c>
      <c r="S185" s="50">
        <f t="shared" si="199"/>
        <v>0.52602486529528913</v>
      </c>
      <c r="T185" s="50">
        <f t="shared" si="200"/>
        <v>0.57862735182481817</v>
      </c>
      <c r="V185" s="267">
        <f t="shared" ref="V185:AA185" si="222">V117</f>
        <v>287.85298893239712</v>
      </c>
      <c r="W185" s="267">
        <f t="shared" si="222"/>
        <v>164.3046953591101</v>
      </c>
      <c r="X185" s="267">
        <f t="shared" si="222"/>
        <v>120.69941527442059</v>
      </c>
      <c r="Y185" s="267">
        <f t="shared" si="222"/>
        <v>91.629228551294233</v>
      </c>
      <c r="Z185" s="267">
        <f t="shared" si="222"/>
        <v>69.826588508949499</v>
      </c>
      <c r="AA185" s="267">
        <f t="shared" si="222"/>
        <v>77.094135189731077</v>
      </c>
      <c r="AC185" s="31">
        <f t="shared" si="206"/>
        <v>2.0610110458363797</v>
      </c>
      <c r="AD185" s="31">
        <f t="shared" si="179"/>
        <v>1.1764122834848734</v>
      </c>
      <c r="AE185" s="158">
        <f t="shared" si="180"/>
        <v>0.86420095559610655</v>
      </c>
      <c r="AF185" s="31">
        <f t="shared" si="181"/>
        <v>0.65606007033692859</v>
      </c>
      <c r="AG185" s="31">
        <f t="shared" si="182"/>
        <v>0.4999544063925454</v>
      </c>
      <c r="AH185" s="31">
        <f t="shared" si="183"/>
        <v>0.55198962770733973</v>
      </c>
      <c r="AJ185" s="31">
        <f t="shared" ref="AJ185:AO185" si="223">AJ117</f>
        <v>266.59199516563604</v>
      </c>
      <c r="AK185" s="31">
        <f t="shared" si="223"/>
        <v>146.87709922333153</v>
      </c>
      <c r="AL185" s="31">
        <f t="shared" si="223"/>
        <v>104.62478300840054</v>
      </c>
      <c r="AM185" s="31">
        <f t="shared" si="223"/>
        <v>76.456572198446537</v>
      </c>
      <c r="AN185" s="31">
        <f t="shared" si="223"/>
        <v>55.330414090981058</v>
      </c>
      <c r="AO185" s="31">
        <f t="shared" si="223"/>
        <v>62.37246679346957</v>
      </c>
      <c r="AQ185" s="31">
        <f t="shared" ref="AQ185:AQ207" si="224">($B185*$C185*AJ185)/10^9</f>
        <v>1.9087835384505036</v>
      </c>
      <c r="AR185" s="31">
        <f t="shared" si="185"/>
        <v>1.0516316853349943</v>
      </c>
      <c r="AS185" s="158">
        <f t="shared" si="186"/>
        <v>0.74910750188246167</v>
      </c>
      <c r="AT185" s="31">
        <f t="shared" si="187"/>
        <v>0.54742471291410644</v>
      </c>
      <c r="AU185" s="31">
        <f t="shared" si="188"/>
        <v>0.39616262118784035</v>
      </c>
      <c r="AV185" s="31">
        <f t="shared" si="189"/>
        <v>0.44658331842992921</v>
      </c>
    </row>
    <row r="186" spans="1:48">
      <c r="A186" s="10">
        <v>2029</v>
      </c>
      <c r="B186" s="9">
        <f>Fig1_future_Kaya!L43</f>
        <v>876778.88636085822</v>
      </c>
      <c r="C186" s="30">
        <f>Fig1_future_Kaya!T43</f>
        <v>8.0668831017088127</v>
      </c>
      <c r="D186" s="9">
        <f>Fig1_future_Kaya!AR43</f>
        <v>0.51962799947368787</v>
      </c>
      <c r="E186" s="9">
        <f>Fig1_future_Kaya!AS43</f>
        <v>0.4892477863605228</v>
      </c>
      <c r="F186" s="9">
        <f>Fig1_future_Kaya!AT43</f>
        <v>0.36951546470265439</v>
      </c>
      <c r="H186" s="266">
        <f t="shared" ref="H186:M186" si="225">H118</f>
        <v>293.87097179105825</v>
      </c>
      <c r="I186" s="266">
        <f t="shared" si="225"/>
        <v>168.97580877985848</v>
      </c>
      <c r="J186" s="266">
        <f t="shared" si="225"/>
        <v>124.89516301119976</v>
      </c>
      <c r="K186" s="266">
        <f t="shared" si="225"/>
        <v>95.508065832093919</v>
      </c>
      <c r="L186" s="266">
        <f t="shared" si="225"/>
        <v>73.467742947764563</v>
      </c>
      <c r="M186" s="266">
        <f t="shared" si="225"/>
        <v>80.814517242541029</v>
      </c>
      <c r="N186" s="264"/>
      <c r="O186" s="50">
        <f t="shared" si="204"/>
        <v>2.0785119978947515</v>
      </c>
      <c r="P186" s="50">
        <f t="shared" si="196"/>
        <v>1.1951443987894819</v>
      </c>
      <c r="Q186" s="158">
        <f t="shared" si="197"/>
        <v>0.8833675991052693</v>
      </c>
      <c r="R186" s="50">
        <f t="shared" si="198"/>
        <v>0.6755163993157941</v>
      </c>
      <c r="S186" s="50">
        <f t="shared" si="199"/>
        <v>0.51962799947368787</v>
      </c>
      <c r="T186" s="50">
        <f t="shared" si="200"/>
        <v>0.57159079942105662</v>
      </c>
      <c r="V186" s="267">
        <f t="shared" ref="V186:AA186" si="226">V118</f>
        <v>286.60462175287375</v>
      </c>
      <c r="W186" s="267">
        <f t="shared" si="226"/>
        <v>163.39304553906499</v>
      </c>
      <c r="X186" s="267">
        <f t="shared" si="226"/>
        <v>119.9066068753678</v>
      </c>
      <c r="Y186" s="267">
        <f t="shared" si="226"/>
        <v>90.915647766236305</v>
      </c>
      <c r="Z186" s="267">
        <f t="shared" si="226"/>
        <v>69.172428434387712</v>
      </c>
      <c r="AA186" s="267">
        <f t="shared" si="226"/>
        <v>76.420168211670585</v>
      </c>
      <c r="AC186" s="31">
        <f t="shared" si="206"/>
        <v>2.02711802848287</v>
      </c>
      <c r="AD186" s="31">
        <f t="shared" si="179"/>
        <v>1.1556582246135398</v>
      </c>
      <c r="AE186" s="158">
        <f t="shared" si="180"/>
        <v>0.84808417618907062</v>
      </c>
      <c r="AF186" s="31">
        <f t="shared" si="181"/>
        <v>0.64303481057275746</v>
      </c>
      <c r="AG186" s="31">
        <f t="shared" si="182"/>
        <v>0.4892477863605228</v>
      </c>
      <c r="AH186" s="31">
        <f t="shared" si="183"/>
        <v>0.54051012776460106</v>
      </c>
      <c r="AJ186" s="31">
        <f t="shared" ref="AJ186:AO186" si="227">AJ118</f>
        <v>261.22021141561902</v>
      </c>
      <c r="AK186" s="31">
        <f t="shared" si="227"/>
        <v>142.8003822405384</v>
      </c>
      <c r="AL186" s="31">
        <f t="shared" si="227"/>
        <v>101.00514841403935</v>
      </c>
      <c r="AM186" s="31">
        <f t="shared" si="227"/>
        <v>73.141659196373325</v>
      </c>
      <c r="AN186" s="31">
        <f t="shared" si="227"/>
        <v>52.244042283123811</v>
      </c>
      <c r="AO186" s="31">
        <f t="shared" si="227"/>
        <v>59.209914587540325</v>
      </c>
      <c r="AQ186" s="31">
        <f t="shared" si="224"/>
        <v>1.8475773235132718</v>
      </c>
      <c r="AR186" s="31">
        <f t="shared" si="185"/>
        <v>1.0100089368539218</v>
      </c>
      <c r="AS186" s="158">
        <f t="shared" si="186"/>
        <v>0.71439656509179839</v>
      </c>
      <c r="AT186" s="31">
        <f t="shared" si="187"/>
        <v>0.51732165058371604</v>
      </c>
      <c r="AU186" s="31">
        <f t="shared" si="188"/>
        <v>0.36951546470265439</v>
      </c>
      <c r="AV186" s="31">
        <f t="shared" si="189"/>
        <v>0.41878419332967504</v>
      </c>
    </row>
    <row r="187" spans="1:48">
      <c r="A187" s="10">
        <v>2030</v>
      </c>
      <c r="B187" s="9">
        <f>Fig1_future_Kaya!L44</f>
        <v>888105.51024872961</v>
      </c>
      <c r="C187" s="30">
        <f>Fig1_future_Kaya!T44</f>
        <v>7.8607007860101863</v>
      </c>
      <c r="D187" s="9">
        <f>Fig1_future_Kaya!AR44</f>
        <v>0.51288798793236035</v>
      </c>
      <c r="E187" s="9">
        <f>Fig1_future_Kaya!AS44</f>
        <v>0.47835275322390891</v>
      </c>
      <c r="F187" s="9">
        <f>Fig1_future_Kaya!AT44</f>
        <v>0.34355604607038415</v>
      </c>
      <c r="H187" s="266">
        <f t="shared" ref="H187:M187" si="228">H119</f>
        <v>293.87097179105825</v>
      </c>
      <c r="I187" s="266">
        <f t="shared" si="228"/>
        <v>168.97580877985848</v>
      </c>
      <c r="J187" s="266">
        <f t="shared" si="228"/>
        <v>124.89516301119976</v>
      </c>
      <c r="K187" s="266">
        <f t="shared" si="228"/>
        <v>95.508065832093919</v>
      </c>
      <c r="L187" s="266">
        <f t="shared" si="228"/>
        <v>73.467742947764563</v>
      </c>
      <c r="M187" s="266">
        <f t="shared" si="228"/>
        <v>80.814517242541029</v>
      </c>
      <c r="N187" s="264"/>
      <c r="O187" s="50">
        <f t="shared" si="204"/>
        <v>2.0515519517294414</v>
      </c>
      <c r="P187" s="50">
        <f t="shared" si="196"/>
        <v>1.1796423722444287</v>
      </c>
      <c r="Q187" s="158">
        <f t="shared" si="197"/>
        <v>0.87190957948501246</v>
      </c>
      <c r="R187" s="50">
        <f t="shared" si="198"/>
        <v>0.66675438431206824</v>
      </c>
      <c r="S187" s="50">
        <f t="shared" si="199"/>
        <v>0.51288798793236035</v>
      </c>
      <c r="T187" s="50">
        <f t="shared" si="200"/>
        <v>0.56417678672559646</v>
      </c>
      <c r="V187" s="267">
        <f t="shared" ref="V187:AA187" si="229">V119</f>
        <v>285.35878985699827</v>
      </c>
      <c r="W187" s="267">
        <f t="shared" si="229"/>
        <v>162.48393100266773</v>
      </c>
      <c r="X187" s="267">
        <f t="shared" si="229"/>
        <v>119.11633375996283</v>
      </c>
      <c r="Y187" s="267">
        <f t="shared" si="229"/>
        <v>90.204602264826207</v>
      </c>
      <c r="Z187" s="267">
        <f t="shared" si="229"/>
        <v>68.520803643473755</v>
      </c>
      <c r="AA187" s="267">
        <f t="shared" si="229"/>
        <v>75.748736517257925</v>
      </c>
      <c r="AC187" s="31">
        <f t="shared" si="206"/>
        <v>1.9921272887426078</v>
      </c>
      <c r="AD187" s="31">
        <f t="shared" si="179"/>
        <v>1.1343217186153451</v>
      </c>
      <c r="AE187" s="158">
        <f t="shared" si="180"/>
        <v>0.83156681151160539</v>
      </c>
      <c r="AF187" s="31">
        <f t="shared" si="181"/>
        <v>0.62973020677577873</v>
      </c>
      <c r="AG187" s="31">
        <f t="shared" si="182"/>
        <v>0.47835275322390891</v>
      </c>
      <c r="AH187" s="31">
        <f t="shared" si="183"/>
        <v>0.52881190440786563</v>
      </c>
      <c r="AJ187" s="31">
        <f t="shared" ref="AJ187:AO187" si="230">AJ119</f>
        <v>255.90284223565351</v>
      </c>
      <c r="AK187" s="31">
        <f t="shared" si="230"/>
        <v>138.77807982779672</v>
      </c>
      <c r="AL187" s="31">
        <f t="shared" si="230"/>
        <v>97.439928389729616</v>
      </c>
      <c r="AM187" s="31">
        <f t="shared" si="230"/>
        <v>69.881160764351534</v>
      </c>
      <c r="AN187" s="31">
        <f t="shared" si="230"/>
        <v>49.212085045317991</v>
      </c>
      <c r="AO187" s="31">
        <f t="shared" si="230"/>
        <v>56.101776951662515</v>
      </c>
      <c r="AQ187" s="31">
        <f t="shared" si="224"/>
        <v>1.7864914395659972</v>
      </c>
      <c r="AR187" s="31">
        <f t="shared" si="185"/>
        <v>0.96882804991848315</v>
      </c>
      <c r="AS187" s="158">
        <f t="shared" si="186"/>
        <v>0.68024097121936056</v>
      </c>
      <c r="AT187" s="31">
        <f t="shared" si="187"/>
        <v>0.48784958541994539</v>
      </c>
      <c r="AU187" s="31">
        <f t="shared" si="188"/>
        <v>0.34355604607038415</v>
      </c>
      <c r="AV187" s="31">
        <f t="shared" si="189"/>
        <v>0.39165389252023791</v>
      </c>
    </row>
    <row r="188" spans="1:48">
      <c r="A188" s="10">
        <v>2031</v>
      </c>
      <c r="B188" s="9">
        <f>Fig1_future_Kaya!L45</f>
        <v>899432.13413660135</v>
      </c>
      <c r="C188" s="30">
        <f>Fig1_future_Kaya!T45</f>
        <v>7.6545184703115581</v>
      </c>
      <c r="D188" s="9">
        <f>Fig1_future_Kaya!AR45</f>
        <v>0.50580483067130655</v>
      </c>
      <c r="E188" s="9">
        <f>Fig1_future_Kaya!AS45</f>
        <v>0.45874208019471763</v>
      </c>
      <c r="F188" s="9">
        <f>Fig1_future_Kaya!AT45</f>
        <v>0.31831187321320126</v>
      </c>
      <c r="H188" s="266">
        <f t="shared" ref="H188:M188" si="231">H120</f>
        <v>293.87097179105825</v>
      </c>
      <c r="I188" s="266">
        <f t="shared" si="231"/>
        <v>168.97580877985848</v>
      </c>
      <c r="J188" s="266">
        <f t="shared" si="231"/>
        <v>124.89516301119976</v>
      </c>
      <c r="K188" s="266">
        <f t="shared" si="231"/>
        <v>95.508065832093919</v>
      </c>
      <c r="L188" s="266">
        <f t="shared" si="231"/>
        <v>73.467742947764563</v>
      </c>
      <c r="M188" s="266">
        <f t="shared" si="231"/>
        <v>80.814517242541029</v>
      </c>
      <c r="N188" s="264"/>
      <c r="O188" s="50">
        <f t="shared" si="204"/>
        <v>2.0232193226852262</v>
      </c>
      <c r="P188" s="50">
        <f t="shared" si="196"/>
        <v>1.1633511105440049</v>
      </c>
      <c r="Q188" s="158">
        <f t="shared" si="197"/>
        <v>0.85986821214122111</v>
      </c>
      <c r="R188" s="50">
        <f t="shared" si="198"/>
        <v>0.65754627987269842</v>
      </c>
      <c r="S188" s="50">
        <f t="shared" si="199"/>
        <v>0.50580483067130655</v>
      </c>
      <c r="T188" s="50">
        <f t="shared" si="200"/>
        <v>0.55638531373843725</v>
      </c>
      <c r="V188" s="267">
        <f t="shared" ref="V188:AA188" si="232">V120</f>
        <v>282.87569557788163</v>
      </c>
      <c r="W188" s="267">
        <f t="shared" si="232"/>
        <v>160.3375540830292</v>
      </c>
      <c r="X188" s="267">
        <f t="shared" si="232"/>
        <v>117.08879826131661</v>
      </c>
      <c r="Y188" s="267">
        <f t="shared" si="232"/>
        <v>88.25629438017485</v>
      </c>
      <c r="Z188" s="267">
        <f t="shared" si="232"/>
        <v>66.631916469318554</v>
      </c>
      <c r="AA188" s="267">
        <f t="shared" si="232"/>
        <v>73.840042439604005</v>
      </c>
      <c r="AC188" s="31">
        <f t="shared" si="206"/>
        <v>1.9475199259153508</v>
      </c>
      <c r="AD188" s="31">
        <f t="shared" si="179"/>
        <v>1.1038791466736586</v>
      </c>
      <c r="AE188" s="158">
        <f t="shared" si="180"/>
        <v>0.80612357752953212</v>
      </c>
      <c r="AF188" s="31">
        <f t="shared" si="181"/>
        <v>0.60761986476678087</v>
      </c>
      <c r="AG188" s="31">
        <f t="shared" si="182"/>
        <v>0.45874208019471763</v>
      </c>
      <c r="AH188" s="31">
        <f t="shared" si="183"/>
        <v>0.50836800838540552</v>
      </c>
      <c r="AJ188" s="31">
        <f t="shared" ref="AJ188:AO188" si="233">AJ120</f>
        <v>250.63988762573939</v>
      </c>
      <c r="AK188" s="31">
        <f t="shared" si="233"/>
        <v>134.81019198510643</v>
      </c>
      <c r="AL188" s="31">
        <f t="shared" si="233"/>
        <v>93.929122935471284</v>
      </c>
      <c r="AM188" s="31">
        <f t="shared" si="233"/>
        <v>66.675076902381164</v>
      </c>
      <c r="AN188" s="31">
        <f t="shared" si="233"/>
        <v>46.234542377563585</v>
      </c>
      <c r="AO188" s="31">
        <f t="shared" si="233"/>
        <v>53.048053885836126</v>
      </c>
      <c r="AQ188" s="31">
        <f t="shared" si="224"/>
        <v>1.7255854179452488</v>
      </c>
      <c r="AR188" s="31">
        <f t="shared" si="185"/>
        <v>0.92813040926375523</v>
      </c>
      <c r="AS188" s="158">
        <f t="shared" si="186"/>
        <v>0.64667570031734578</v>
      </c>
      <c r="AT188" s="31">
        <f t="shared" si="187"/>
        <v>0.45903922768640604</v>
      </c>
      <c r="AU188" s="31">
        <f t="shared" si="188"/>
        <v>0.31831187321320126</v>
      </c>
      <c r="AV188" s="31">
        <f t="shared" si="189"/>
        <v>0.36522099137093628</v>
      </c>
    </row>
    <row r="189" spans="1:48">
      <c r="A189" s="10">
        <v>2032</v>
      </c>
      <c r="B189" s="9">
        <f>Fig1_future_Kaya!L46</f>
        <v>910758.75802447274</v>
      </c>
      <c r="C189" s="30">
        <f>Fig1_future_Kaya!T46</f>
        <v>7.4483361546129299</v>
      </c>
      <c r="D189" s="9">
        <f>Fig1_future_Kaya!AR46</f>
        <v>0.49837852769052654</v>
      </c>
      <c r="E189" s="9">
        <f>Fig1_future_Kaya!AS46</f>
        <v>0.43925665324445173</v>
      </c>
      <c r="F189" s="9">
        <f>Fig1_future_Kaya!AT46</f>
        <v>0.29380892912878265</v>
      </c>
      <c r="H189" s="266">
        <f t="shared" ref="H189:M189" si="234">H121</f>
        <v>293.87097179105825</v>
      </c>
      <c r="I189" s="266">
        <f t="shared" si="234"/>
        <v>168.97580877985848</v>
      </c>
      <c r="J189" s="266">
        <f t="shared" si="234"/>
        <v>124.89516301119976</v>
      </c>
      <c r="K189" s="266">
        <f t="shared" si="234"/>
        <v>95.508065832093919</v>
      </c>
      <c r="L189" s="266">
        <f t="shared" si="234"/>
        <v>73.467742947764563</v>
      </c>
      <c r="M189" s="266">
        <f t="shared" si="234"/>
        <v>80.814517242541029</v>
      </c>
      <c r="N189" s="264"/>
      <c r="O189" s="50">
        <f t="shared" si="204"/>
        <v>1.9935141107621062</v>
      </c>
      <c r="P189" s="50">
        <f t="shared" si="196"/>
        <v>1.146270613688211</v>
      </c>
      <c r="Q189" s="158">
        <f t="shared" si="197"/>
        <v>0.84724349707389512</v>
      </c>
      <c r="R189" s="50">
        <f t="shared" si="198"/>
        <v>0.64789208599768433</v>
      </c>
      <c r="S189" s="50">
        <f t="shared" si="199"/>
        <v>0.49837852769052654</v>
      </c>
      <c r="T189" s="50">
        <f t="shared" si="200"/>
        <v>0.54821638045957921</v>
      </c>
      <c r="V189" s="267">
        <f t="shared" ref="V189:AA189" si="235">V121</f>
        <v>280.40195015721633</v>
      </c>
      <c r="W189" s="267">
        <f t="shared" si="235"/>
        <v>158.20052602184208</v>
      </c>
      <c r="X189" s="267">
        <f t="shared" si="235"/>
        <v>115.07061162112177</v>
      </c>
      <c r="Y189" s="267">
        <f t="shared" si="235"/>
        <v>86.317335353974897</v>
      </c>
      <c r="Z189" s="267">
        <f t="shared" si="235"/>
        <v>64.752378153614757</v>
      </c>
      <c r="AA189" s="267">
        <f t="shared" si="235"/>
        <v>71.940697220401489</v>
      </c>
      <c r="AC189" s="31">
        <f t="shared" si="206"/>
        <v>1.9021451520603438</v>
      </c>
      <c r="AD189" s="31">
        <f t="shared" si="179"/>
        <v>1.073175002731338</v>
      </c>
      <c r="AE189" s="158">
        <f t="shared" si="180"/>
        <v>0.78059730296815977</v>
      </c>
      <c r="AF189" s="31">
        <f t="shared" si="181"/>
        <v>0.58554550312604081</v>
      </c>
      <c r="AG189" s="31">
        <f t="shared" si="182"/>
        <v>0.43925665324445173</v>
      </c>
      <c r="AH189" s="31">
        <f t="shared" si="183"/>
        <v>0.48801960320498161</v>
      </c>
      <c r="AJ189" s="31">
        <f t="shared" ref="AJ189:AO189" si="236">AJ121</f>
        <v>245.43134758587678</v>
      </c>
      <c r="AK189" s="31">
        <f t="shared" si="236"/>
        <v>130.89671871246762</v>
      </c>
      <c r="AL189" s="31">
        <f t="shared" si="236"/>
        <v>90.472732051264387</v>
      </c>
      <c r="AM189" s="31">
        <f t="shared" si="236"/>
        <v>63.523407610462229</v>
      </c>
      <c r="AN189" s="31">
        <f t="shared" si="236"/>
        <v>43.311414279860614</v>
      </c>
      <c r="AO189" s="31">
        <f t="shared" si="236"/>
        <v>50.048745390061171</v>
      </c>
      <c r="AQ189" s="31">
        <f t="shared" si="224"/>
        <v>1.6649172650631012</v>
      </c>
      <c r="AR189" s="31">
        <f t="shared" si="185"/>
        <v>0.88795587470032067</v>
      </c>
      <c r="AS189" s="158">
        <f t="shared" si="186"/>
        <v>0.61373420751345709</v>
      </c>
      <c r="AT189" s="31">
        <f t="shared" si="187"/>
        <v>0.43091976272221449</v>
      </c>
      <c r="AU189" s="31">
        <f t="shared" si="188"/>
        <v>0.29380892912878265</v>
      </c>
      <c r="AV189" s="31">
        <f t="shared" si="189"/>
        <v>0.33951254032659339</v>
      </c>
    </row>
    <row r="190" spans="1:48">
      <c r="A190" s="10">
        <v>2033</v>
      </c>
      <c r="B190" s="9">
        <f>Fig1_future_Kaya!L47</f>
        <v>922085.38191234437</v>
      </c>
      <c r="C190" s="30">
        <f>Fig1_future_Kaya!T47</f>
        <v>7.2421538389143016</v>
      </c>
      <c r="D190" s="9">
        <f>Fig1_future_Kaya!AR47</f>
        <v>0.49060907899002026</v>
      </c>
      <c r="E190" s="9">
        <f>Fig1_future_Kaya!AS47</f>
        <v>0.41991997362888489</v>
      </c>
      <c r="F190" s="9">
        <f>Fig1_future_Kaya!AT47</f>
        <v>0.27007167189030962</v>
      </c>
      <c r="H190" s="266">
        <f t="shared" ref="H190:M190" si="237">H122</f>
        <v>293.87097179105825</v>
      </c>
      <c r="I190" s="266">
        <f t="shared" si="237"/>
        <v>168.97580877985848</v>
      </c>
      <c r="J190" s="266">
        <f t="shared" si="237"/>
        <v>124.89516301119976</v>
      </c>
      <c r="K190" s="266">
        <f t="shared" si="237"/>
        <v>95.508065832093919</v>
      </c>
      <c r="L190" s="266">
        <f t="shared" si="237"/>
        <v>73.467742947764563</v>
      </c>
      <c r="M190" s="266">
        <f t="shared" si="237"/>
        <v>80.814517242541029</v>
      </c>
      <c r="N190" s="264"/>
      <c r="O190" s="50">
        <f t="shared" si="204"/>
        <v>1.9624363159600811</v>
      </c>
      <c r="P190" s="50">
        <f t="shared" si="196"/>
        <v>1.1284008816770466</v>
      </c>
      <c r="Q190" s="158">
        <f t="shared" si="197"/>
        <v>0.83403543428303439</v>
      </c>
      <c r="R190" s="50">
        <f t="shared" si="198"/>
        <v>0.63779180268702629</v>
      </c>
      <c r="S190" s="50">
        <f t="shared" si="199"/>
        <v>0.49060907899002026</v>
      </c>
      <c r="T190" s="50">
        <f t="shared" si="200"/>
        <v>0.53966998688902235</v>
      </c>
      <c r="V190" s="267">
        <f t="shared" ref="V190:AA190" si="238">V122</f>
        <v>277.93755359500233</v>
      </c>
      <c r="W190" s="267">
        <f t="shared" si="238"/>
        <v>156.07284681910633</v>
      </c>
      <c r="X190" s="267">
        <f t="shared" si="238"/>
        <v>113.06177383937833</v>
      </c>
      <c r="Y190" s="267">
        <f t="shared" si="238"/>
        <v>84.387725186226334</v>
      </c>
      <c r="Z190" s="267">
        <f t="shared" si="238"/>
        <v>62.882188696362334</v>
      </c>
      <c r="AA190" s="267">
        <f t="shared" si="238"/>
        <v>70.050700859650348</v>
      </c>
      <c r="AC190" s="31">
        <f t="shared" si="206"/>
        <v>1.8560347945211042</v>
      </c>
      <c r="AD190" s="31">
        <f t="shared" si="179"/>
        <v>1.0422363960155132</v>
      </c>
      <c r="AE190" s="158">
        <f t="shared" si="180"/>
        <v>0.75501343183706937</v>
      </c>
      <c r="AF190" s="31">
        <f t="shared" si="181"/>
        <v>0.56353145571810681</v>
      </c>
      <c r="AG190" s="31">
        <f t="shared" si="182"/>
        <v>0.41991997362888489</v>
      </c>
      <c r="AH190" s="31">
        <f t="shared" si="183"/>
        <v>0.46779046765862559</v>
      </c>
      <c r="AJ190" s="31">
        <f t="shared" ref="AJ190:AO190" si="239">AJ122</f>
        <v>240.2772221160655</v>
      </c>
      <c r="AK190" s="31">
        <f t="shared" si="239"/>
        <v>127.03766000988017</v>
      </c>
      <c r="AL190" s="31">
        <f t="shared" si="239"/>
        <v>87.070755737108882</v>
      </c>
      <c r="AM190" s="31">
        <f t="shared" si="239"/>
        <v>60.426152888594679</v>
      </c>
      <c r="AN190" s="31">
        <f t="shared" si="239"/>
        <v>40.442700752209049</v>
      </c>
      <c r="AO190" s="31">
        <f t="shared" si="239"/>
        <v>47.103851464337609</v>
      </c>
      <c r="AQ190" s="31">
        <f t="shared" si="224"/>
        <v>1.6045434624071335</v>
      </c>
      <c r="AR190" s="31">
        <f t="shared" si="185"/>
        <v>0.84834278111426664</v>
      </c>
      <c r="AS190" s="158">
        <f t="shared" si="186"/>
        <v>0.58144842301090194</v>
      </c>
      <c r="AT190" s="31">
        <f t="shared" si="187"/>
        <v>0.40351885094199191</v>
      </c>
      <c r="AU190" s="31">
        <f t="shared" si="188"/>
        <v>0.27007167189030962</v>
      </c>
      <c r="AV190" s="31">
        <f t="shared" si="189"/>
        <v>0.31455406490753723</v>
      </c>
    </row>
    <row r="191" spans="1:48">
      <c r="A191" s="10">
        <v>2034</v>
      </c>
      <c r="B191" s="9">
        <f>Fig1_future_Kaya!L48</f>
        <v>933412.00580021576</v>
      </c>
      <c r="C191" s="30">
        <f>Fig1_future_Kaya!T48</f>
        <v>7.0359715232156734</v>
      </c>
      <c r="D191" s="9">
        <f>Fig1_future_Kaya!AR48</f>
        <v>0.48249648456978778</v>
      </c>
      <c r="E191" s="9">
        <f>Fig1_future_Kaya!AS48</f>
        <v>0.40075528060956317</v>
      </c>
      <c r="F191" s="9">
        <f>Fig1_future_Kaya!AT48</f>
        <v>0.24712303464646898</v>
      </c>
      <c r="H191" s="266">
        <f t="shared" ref="H191:M191" si="240">H123</f>
        <v>293.87097179105825</v>
      </c>
      <c r="I191" s="266">
        <f t="shared" si="240"/>
        <v>168.97580877985848</v>
      </c>
      <c r="J191" s="266">
        <f t="shared" si="240"/>
        <v>124.89516301119976</v>
      </c>
      <c r="K191" s="266">
        <f t="shared" si="240"/>
        <v>95.508065832093919</v>
      </c>
      <c r="L191" s="266">
        <f t="shared" si="240"/>
        <v>73.467742947764563</v>
      </c>
      <c r="M191" s="266">
        <f t="shared" si="240"/>
        <v>80.814517242541029</v>
      </c>
      <c r="N191" s="264"/>
      <c r="O191" s="50">
        <f t="shared" si="204"/>
        <v>1.9299859382791511</v>
      </c>
      <c r="P191" s="50">
        <f t="shared" si="196"/>
        <v>1.1097419145105119</v>
      </c>
      <c r="Q191" s="158">
        <f t="shared" si="197"/>
        <v>0.82024402376863925</v>
      </c>
      <c r="R191" s="50">
        <f t="shared" si="198"/>
        <v>0.62724542994072396</v>
      </c>
      <c r="S191" s="50">
        <f t="shared" si="199"/>
        <v>0.48249648456978778</v>
      </c>
      <c r="T191" s="50">
        <f t="shared" si="200"/>
        <v>0.53074613302676665</v>
      </c>
      <c r="V191" s="267">
        <f t="shared" ref="V191:AA191" si="241">V123</f>
        <v>275.48250589123984</v>
      </c>
      <c r="W191" s="267">
        <f t="shared" si="241"/>
        <v>153.95451647482196</v>
      </c>
      <c r="X191" s="267">
        <f t="shared" si="241"/>
        <v>111.0622849160863</v>
      </c>
      <c r="Y191" s="267">
        <f t="shared" si="241"/>
        <v>82.467463876929145</v>
      </c>
      <c r="Z191" s="267">
        <f t="shared" si="241"/>
        <v>61.021348097561315</v>
      </c>
      <c r="AA191" s="267">
        <f t="shared" si="241"/>
        <v>68.170053357350611</v>
      </c>
      <c r="AC191" s="31">
        <f t="shared" si="206"/>
        <v>1.8092204186469223</v>
      </c>
      <c r="AD191" s="31">
        <f t="shared" si="179"/>
        <v>1.0110901737590852</v>
      </c>
      <c r="AE191" s="158">
        <f t="shared" si="180"/>
        <v>0.72939714615161355</v>
      </c>
      <c r="AF191" s="31">
        <f t="shared" si="181"/>
        <v>0.54160179441329892</v>
      </c>
      <c r="AG191" s="31">
        <f t="shared" si="182"/>
        <v>0.40075528060956317</v>
      </c>
      <c r="AH191" s="31">
        <f t="shared" si="183"/>
        <v>0.44770411854414188</v>
      </c>
      <c r="AJ191" s="31">
        <f t="shared" ref="AJ191:AO191" si="242">AJ123</f>
        <v>235.17751121630567</v>
      </c>
      <c r="AK191" s="31">
        <f t="shared" si="242"/>
        <v>123.23301587734417</v>
      </c>
      <c r="AL191" s="31">
        <f t="shared" si="242"/>
        <v>83.723193993004827</v>
      </c>
      <c r="AM191" s="31">
        <f t="shared" si="242"/>
        <v>57.383312736778592</v>
      </c>
      <c r="AN191" s="31">
        <f t="shared" si="242"/>
        <v>37.628401794608919</v>
      </c>
      <c r="AO191" s="31">
        <f t="shared" si="242"/>
        <v>44.213372108665489</v>
      </c>
      <c r="AQ191" s="31">
        <f t="shared" si="224"/>
        <v>1.5445189665404306</v>
      </c>
      <c r="AR191" s="31">
        <f t="shared" si="185"/>
        <v>0.80932793846718565</v>
      </c>
      <c r="AS191" s="158">
        <f t="shared" si="186"/>
        <v>0.54984875208839334</v>
      </c>
      <c r="AT191" s="31">
        <f t="shared" si="187"/>
        <v>0.3768626278358651</v>
      </c>
      <c r="AU191" s="31">
        <f t="shared" si="188"/>
        <v>0.24712303464646898</v>
      </c>
      <c r="AV191" s="31">
        <f t="shared" si="189"/>
        <v>0.2903695657096011</v>
      </c>
    </row>
    <row r="192" spans="1:48">
      <c r="A192" s="10">
        <v>2035</v>
      </c>
      <c r="B192" s="9">
        <f>Fig1_future_Kaya!L49</f>
        <v>944738.62968808739</v>
      </c>
      <c r="C192" s="30">
        <f>Fig1_future_Kaya!T49</f>
        <v>6.8297892075170452</v>
      </c>
      <c r="D192" s="9">
        <f>Fig1_future_Kaya!AR49</f>
        <v>0.47404074442982919</v>
      </c>
      <c r="E192" s="9">
        <f>Fig1_future_Kaya!AS49</f>
        <v>0.38178555145380511</v>
      </c>
      <c r="F192" s="9">
        <f>Fig1_future_Kaya!AT49</f>
        <v>0.22498442562145179</v>
      </c>
      <c r="H192" s="266">
        <f t="shared" ref="H192:M192" si="243">H124</f>
        <v>293.87097179105825</v>
      </c>
      <c r="I192" s="266">
        <f t="shared" si="243"/>
        <v>168.97580877985848</v>
      </c>
      <c r="J192" s="266">
        <f t="shared" si="243"/>
        <v>124.89516301119976</v>
      </c>
      <c r="K192" s="266">
        <f t="shared" si="243"/>
        <v>95.508065832093919</v>
      </c>
      <c r="L192" s="266">
        <f t="shared" si="243"/>
        <v>73.467742947764563</v>
      </c>
      <c r="M192" s="266">
        <f t="shared" si="243"/>
        <v>80.814517242541029</v>
      </c>
      <c r="N192" s="264"/>
      <c r="O192" s="50">
        <f t="shared" si="204"/>
        <v>1.8961629777193167</v>
      </c>
      <c r="P192" s="50">
        <f t="shared" si="196"/>
        <v>1.0902937121886069</v>
      </c>
      <c r="Q192" s="158">
        <f t="shared" si="197"/>
        <v>0.80586926553070959</v>
      </c>
      <c r="R192" s="50">
        <f t="shared" si="198"/>
        <v>0.6162529677587778</v>
      </c>
      <c r="S192" s="50">
        <f t="shared" si="199"/>
        <v>0.47404074442982919</v>
      </c>
      <c r="T192" s="50">
        <f t="shared" si="200"/>
        <v>0.52144481887281213</v>
      </c>
      <c r="V192" s="267">
        <f t="shared" ref="V192:AA192" si="244">V124</f>
        <v>273.03680704592864</v>
      </c>
      <c r="W192" s="267">
        <f t="shared" si="244"/>
        <v>151.84553498898902</v>
      </c>
      <c r="X192" s="267">
        <f t="shared" si="244"/>
        <v>109.07214485124565</v>
      </c>
      <c r="Y192" s="267">
        <f t="shared" si="244"/>
        <v>80.556551426083388</v>
      </c>
      <c r="Z192" s="267">
        <f t="shared" si="244"/>
        <v>59.1698563572117</v>
      </c>
      <c r="AA192" s="267">
        <f t="shared" si="244"/>
        <v>66.298754713502277</v>
      </c>
      <c r="AC192" s="31">
        <f t="shared" si="206"/>
        <v>1.7617333277928595</v>
      </c>
      <c r="AD192" s="31">
        <f t="shared" si="179"/>
        <v>0.9797629212007285</v>
      </c>
      <c r="AE192" s="158">
        <f t="shared" si="180"/>
        <v>0.70377336593291784</v>
      </c>
      <c r="AF192" s="31">
        <f t="shared" si="181"/>
        <v>0.51978032908771055</v>
      </c>
      <c r="AG192" s="31">
        <f t="shared" si="182"/>
        <v>0.38178555145380511</v>
      </c>
      <c r="AH192" s="31">
        <f t="shared" si="183"/>
        <v>0.42778381066510701</v>
      </c>
      <c r="AJ192" s="31">
        <f t="shared" ref="AJ192:AO192" si="245">AJ124</f>
        <v>230.1322148865973</v>
      </c>
      <c r="AK192" s="31">
        <f t="shared" si="245"/>
        <v>119.4827863148596</v>
      </c>
      <c r="AL192" s="31">
        <f t="shared" si="245"/>
        <v>80.430046818952178</v>
      </c>
      <c r="AM192" s="31">
        <f t="shared" si="245"/>
        <v>54.394887155013905</v>
      </c>
      <c r="AN192" s="31">
        <f t="shared" si="245"/>
        <v>34.868517407060196</v>
      </c>
      <c r="AO192" s="31">
        <f t="shared" si="245"/>
        <v>41.377307323044775</v>
      </c>
      <c r="AQ192" s="31">
        <f t="shared" si="224"/>
        <v>1.4848972091015815</v>
      </c>
      <c r="AR192" s="31">
        <f t="shared" si="185"/>
        <v>0.77094663179617462</v>
      </c>
      <c r="AS192" s="158">
        <f t="shared" si="186"/>
        <v>0.51896407510014864</v>
      </c>
      <c r="AT192" s="31">
        <f t="shared" si="187"/>
        <v>0.3509757039694647</v>
      </c>
      <c r="AU192" s="31">
        <f t="shared" si="188"/>
        <v>0.22498442562145177</v>
      </c>
      <c r="AV192" s="31">
        <f t="shared" si="189"/>
        <v>0.26698151840412282</v>
      </c>
    </row>
    <row r="193" spans="1:48">
      <c r="A193" s="10">
        <v>2036</v>
      </c>
      <c r="B193" s="9">
        <f>Fig1_future_Kaya!L50</f>
        <v>956065.25357595901</v>
      </c>
      <c r="C193" s="30">
        <f>Fig1_future_Kaya!T50</f>
        <v>6.623606891818417</v>
      </c>
      <c r="D193" s="9">
        <f>Fig1_future_Kaya!AR50</f>
        <v>0.46524185857014427</v>
      </c>
      <c r="E193" s="9">
        <f>Fig1_future_Kaya!AS50</f>
        <v>0.35384961821388294</v>
      </c>
      <c r="F193" s="9">
        <f>Fig1_future_Kaya!AT50</f>
        <v>0.20367572811495435</v>
      </c>
      <c r="H193" s="266">
        <f t="shared" ref="H193:M193" si="246">H125</f>
        <v>293.87097179105825</v>
      </c>
      <c r="I193" s="266">
        <f t="shared" si="246"/>
        <v>168.97580877985848</v>
      </c>
      <c r="J193" s="266">
        <f t="shared" si="246"/>
        <v>124.89516301119976</v>
      </c>
      <c r="K193" s="266">
        <f t="shared" si="246"/>
        <v>95.508065832093919</v>
      </c>
      <c r="L193" s="266">
        <f t="shared" si="246"/>
        <v>73.467742947764563</v>
      </c>
      <c r="M193" s="266">
        <f t="shared" si="246"/>
        <v>80.814517242541029</v>
      </c>
      <c r="N193" s="264"/>
      <c r="O193" s="50">
        <f t="shared" si="204"/>
        <v>1.8609674342805771</v>
      </c>
      <c r="P193" s="50">
        <f t="shared" si="196"/>
        <v>1.0700562747113318</v>
      </c>
      <c r="Q193" s="158">
        <f t="shared" si="197"/>
        <v>0.79091115956924529</v>
      </c>
      <c r="R193" s="50">
        <f t="shared" si="198"/>
        <v>0.60481441614118758</v>
      </c>
      <c r="S193" s="50">
        <f t="shared" si="199"/>
        <v>0.46524185857014427</v>
      </c>
      <c r="T193" s="50">
        <f t="shared" si="200"/>
        <v>0.51176604442715878</v>
      </c>
      <c r="V193" s="267">
        <f t="shared" ref="V193:AA193" si="247">V125</f>
        <v>269.15020240269939</v>
      </c>
      <c r="W193" s="267">
        <f t="shared" si="247"/>
        <v>148.29564770523797</v>
      </c>
      <c r="X193" s="267">
        <f t="shared" si="247"/>
        <v>105.64109898848687</v>
      </c>
      <c r="Y193" s="267">
        <f t="shared" si="247"/>
        <v>77.204733177319468</v>
      </c>
      <c r="Z193" s="267">
        <f t="shared" si="247"/>
        <v>55.877458818943929</v>
      </c>
      <c r="AA193" s="267">
        <f t="shared" si="247"/>
        <v>62.98655027173578</v>
      </c>
      <c r="AC193" s="31">
        <f t="shared" si="206"/>
        <v>1.7044206800989321</v>
      </c>
      <c r="AD193" s="31">
        <f t="shared" si="179"/>
        <v>0.93909707836407086</v>
      </c>
      <c r="AE193" s="158">
        <f t="shared" si="180"/>
        <v>0.66898286598706103</v>
      </c>
      <c r="AF193" s="31">
        <f t="shared" si="181"/>
        <v>0.48890672440238775</v>
      </c>
      <c r="AG193" s="31">
        <f t="shared" si="182"/>
        <v>0.35384961821388289</v>
      </c>
      <c r="AH193" s="31">
        <f t="shared" si="183"/>
        <v>0.39886865361005114</v>
      </c>
      <c r="AJ193" s="31">
        <f t="shared" ref="AJ193:AO193" si="248">AJ125</f>
        <v>225.14133312694031</v>
      </c>
      <c r="AK193" s="31">
        <f t="shared" si="248"/>
        <v>115.78697132242644</v>
      </c>
      <c r="AL193" s="31">
        <f t="shared" si="248"/>
        <v>77.191314214950978</v>
      </c>
      <c r="AM193" s="31">
        <f t="shared" si="248"/>
        <v>51.460876143300638</v>
      </c>
      <c r="AN193" s="31">
        <f t="shared" si="248"/>
        <v>32.163047589562915</v>
      </c>
      <c r="AO193" s="31">
        <f t="shared" si="248"/>
        <v>38.595657107475503</v>
      </c>
      <c r="AQ193" s="31">
        <f t="shared" si="224"/>
        <v>1.4257300968046798</v>
      </c>
      <c r="AR193" s="31">
        <f t="shared" si="185"/>
        <v>0.73323262121383537</v>
      </c>
      <c r="AS193" s="158">
        <f t="shared" si="186"/>
        <v>0.48882174747589036</v>
      </c>
      <c r="AT193" s="31">
        <f t="shared" si="187"/>
        <v>0.32588116498392683</v>
      </c>
      <c r="AU193" s="31">
        <f t="shared" si="188"/>
        <v>0.20367572811495435</v>
      </c>
      <c r="AV193" s="31">
        <f t="shared" si="189"/>
        <v>0.24441087373794526</v>
      </c>
    </row>
    <row r="194" spans="1:48">
      <c r="A194" s="10">
        <v>2037</v>
      </c>
      <c r="B194" s="9">
        <f>Fig1_future_Kaya!L51</f>
        <v>967391.87746383052</v>
      </c>
      <c r="C194" s="30">
        <f>Fig1_future_Kaya!T51</f>
        <v>6.4174245761197888</v>
      </c>
      <c r="D194" s="9">
        <f>Fig1_future_Kaya!AR51</f>
        <v>0.4560998269907332</v>
      </c>
      <c r="E194" s="9">
        <f>Fig1_future_Kaya!AS51</f>
        <v>0.32656491466873655</v>
      </c>
      <c r="F194" s="9">
        <f>Fig1_future_Kaya!AT51</f>
        <v>0.18321530050217757</v>
      </c>
      <c r="H194" s="266">
        <f t="shared" ref="H194:M194" si="249">H126</f>
        <v>293.87097179105825</v>
      </c>
      <c r="I194" s="266">
        <f t="shared" si="249"/>
        <v>168.97580877985848</v>
      </c>
      <c r="J194" s="266">
        <f t="shared" si="249"/>
        <v>124.89516301119976</v>
      </c>
      <c r="K194" s="266">
        <f t="shared" si="249"/>
        <v>95.508065832093919</v>
      </c>
      <c r="L194" s="266">
        <f t="shared" si="249"/>
        <v>73.467742947764563</v>
      </c>
      <c r="M194" s="266">
        <f t="shared" si="249"/>
        <v>80.814517242541029</v>
      </c>
      <c r="N194" s="264"/>
      <c r="O194" s="50">
        <f t="shared" si="204"/>
        <v>1.8243993079629328</v>
      </c>
      <c r="P194" s="50">
        <f t="shared" si="196"/>
        <v>1.0490296020786862</v>
      </c>
      <c r="Q194" s="158">
        <f t="shared" si="197"/>
        <v>0.77536970588424647</v>
      </c>
      <c r="R194" s="50">
        <f t="shared" si="198"/>
        <v>0.59292977508795308</v>
      </c>
      <c r="S194" s="50">
        <f t="shared" si="199"/>
        <v>0.4560998269907332</v>
      </c>
      <c r="T194" s="50">
        <f t="shared" si="200"/>
        <v>0.50170980968980661</v>
      </c>
      <c r="V194" s="267">
        <f t="shared" ref="V194:AA194" si="250">V126</f>
        <v>265.28102783454892</v>
      </c>
      <c r="W194" s="267">
        <f t="shared" si="250"/>
        <v>144.7631904965657</v>
      </c>
      <c r="X194" s="267">
        <f t="shared" si="250"/>
        <v>102.22748320080694</v>
      </c>
      <c r="Y194" s="267">
        <f t="shared" si="250"/>
        <v>73.870345003634412</v>
      </c>
      <c r="Z194" s="267">
        <f t="shared" si="250"/>
        <v>52.602491355755035</v>
      </c>
      <c r="AA194" s="267">
        <f t="shared" si="250"/>
        <v>59.691775905048175</v>
      </c>
      <c r="AC194" s="31">
        <f t="shared" si="206"/>
        <v>1.6469082354318223</v>
      </c>
      <c r="AD194" s="31">
        <f t="shared" si="179"/>
        <v>0.8987136869994069</v>
      </c>
      <c r="AE194" s="158">
        <f t="shared" si="180"/>
        <v>0.63464502284678992</v>
      </c>
      <c r="AF194" s="31">
        <f t="shared" si="181"/>
        <v>0.45859924674504515</v>
      </c>
      <c r="AG194" s="31">
        <f t="shared" si="182"/>
        <v>0.32656491466873655</v>
      </c>
      <c r="AH194" s="31">
        <f t="shared" si="183"/>
        <v>0.37057635869417288</v>
      </c>
      <c r="AJ194" s="31">
        <f t="shared" ref="AJ194:AO194" si="251">AJ126</f>
        <v>220.20486593733472</v>
      </c>
      <c r="AK194" s="31">
        <f t="shared" si="251"/>
        <v>112.1455709000447</v>
      </c>
      <c r="AL194" s="31">
        <f t="shared" si="251"/>
        <v>74.006996181001156</v>
      </c>
      <c r="AM194" s="31">
        <f t="shared" si="251"/>
        <v>48.581279701638792</v>
      </c>
      <c r="AN194" s="31">
        <f t="shared" si="251"/>
        <v>29.511992342117033</v>
      </c>
      <c r="AO194" s="31">
        <f t="shared" si="251"/>
        <v>35.868421461957624</v>
      </c>
      <c r="AQ194" s="31">
        <f t="shared" si="224"/>
        <v>1.3670680114393245</v>
      </c>
      <c r="AR194" s="31">
        <f t="shared" si="185"/>
        <v>0.69621814190827469</v>
      </c>
      <c r="AS194" s="158">
        <f t="shared" si="186"/>
        <v>0.45944759972084515</v>
      </c>
      <c r="AT194" s="31">
        <f t="shared" si="187"/>
        <v>0.30160057159589221</v>
      </c>
      <c r="AU194" s="31">
        <f t="shared" si="188"/>
        <v>0.18321530050217757</v>
      </c>
      <c r="AV194" s="31">
        <f t="shared" si="189"/>
        <v>0.22267705753341582</v>
      </c>
    </row>
    <row r="195" spans="1:48">
      <c r="A195" s="10">
        <v>2038</v>
      </c>
      <c r="B195" s="9">
        <f>Fig1_future_Kaya!L52</f>
        <v>978718.50135170191</v>
      </c>
      <c r="C195" s="30">
        <f>Fig1_future_Kaya!T52</f>
        <v>6.2112422604211606</v>
      </c>
      <c r="D195" s="9">
        <f>Fig1_future_Kaya!AR52</f>
        <v>0.44661464969159576</v>
      </c>
      <c r="E195" s="9">
        <f>Fig1_future_Kaya!AS52</f>
        <v>0.29997082319483803</v>
      </c>
      <c r="F195" s="9">
        <f>Fig1_future_Kaya!AT52</f>
        <v>0.16361997623382749</v>
      </c>
      <c r="H195" s="266">
        <f t="shared" ref="H195:M195" si="252">H127</f>
        <v>293.87097179105825</v>
      </c>
      <c r="I195" s="266">
        <f t="shared" si="252"/>
        <v>168.97580877985848</v>
      </c>
      <c r="J195" s="266">
        <f t="shared" si="252"/>
        <v>124.89516301119976</v>
      </c>
      <c r="K195" s="266">
        <f t="shared" si="252"/>
        <v>95.508065832093919</v>
      </c>
      <c r="L195" s="266">
        <f t="shared" si="252"/>
        <v>73.467742947764563</v>
      </c>
      <c r="M195" s="266">
        <f t="shared" si="252"/>
        <v>80.814517242541029</v>
      </c>
      <c r="N195" s="264"/>
      <c r="O195" s="50">
        <f t="shared" si="204"/>
        <v>1.786458598766383</v>
      </c>
      <c r="P195" s="50">
        <f t="shared" si="196"/>
        <v>1.0272136942906702</v>
      </c>
      <c r="Q195" s="158">
        <f t="shared" si="197"/>
        <v>0.7592449044757128</v>
      </c>
      <c r="R195" s="50">
        <f t="shared" si="198"/>
        <v>0.58059904459907441</v>
      </c>
      <c r="S195" s="50">
        <f t="shared" si="199"/>
        <v>0.44661464969159576</v>
      </c>
      <c r="T195" s="50">
        <f t="shared" si="200"/>
        <v>0.49127611466075538</v>
      </c>
      <c r="V195" s="267">
        <f t="shared" ref="V195:AA195" si="253">V127</f>
        <v>261.42928334147746</v>
      </c>
      <c r="W195" s="267">
        <f t="shared" si="253"/>
        <v>141.24816336297238</v>
      </c>
      <c r="X195" s="267">
        <f t="shared" si="253"/>
        <v>98.831297488205905</v>
      </c>
      <c r="Y195" s="267">
        <f t="shared" si="253"/>
        <v>70.553386905028248</v>
      </c>
      <c r="Z195" s="267">
        <f t="shared" si="253"/>
        <v>49.344953967645012</v>
      </c>
      <c r="AA195" s="267">
        <f t="shared" si="253"/>
        <v>56.414431613439433</v>
      </c>
      <c r="AC195" s="31">
        <f t="shared" si="206"/>
        <v>1.5892437022557468</v>
      </c>
      <c r="AD195" s="31">
        <f t="shared" si="179"/>
        <v>0.85865573745456503</v>
      </c>
      <c r="AE195" s="158">
        <f t="shared" si="180"/>
        <v>0.60080116164238329</v>
      </c>
      <c r="AF195" s="31">
        <f t="shared" si="181"/>
        <v>0.4288981111009289</v>
      </c>
      <c r="AG195" s="31">
        <f t="shared" si="182"/>
        <v>0.29997082319483803</v>
      </c>
      <c r="AH195" s="31">
        <f t="shared" si="183"/>
        <v>0.34294658583020177</v>
      </c>
      <c r="AJ195" s="31">
        <f t="shared" ref="AJ195:AO195" si="254">AJ127</f>
        <v>215.32281331778057</v>
      </c>
      <c r="AK195" s="31">
        <f t="shared" si="254"/>
        <v>108.55858504771437</v>
      </c>
      <c r="AL195" s="31">
        <f t="shared" si="254"/>
        <v>70.877092717102784</v>
      </c>
      <c r="AM195" s="31">
        <f t="shared" si="254"/>
        <v>45.756097830028367</v>
      </c>
      <c r="AN195" s="31">
        <f t="shared" si="254"/>
        <v>26.915351664722579</v>
      </c>
      <c r="AO195" s="31">
        <f t="shared" si="254"/>
        <v>33.195600386491193</v>
      </c>
      <c r="AQ195" s="31">
        <f t="shared" si="224"/>
        <v>1.3089598098706192</v>
      </c>
      <c r="AR195" s="31">
        <f t="shared" si="185"/>
        <v>0.65993390414310393</v>
      </c>
      <c r="AS195" s="158">
        <f t="shared" si="186"/>
        <v>0.43086593741574564</v>
      </c>
      <c r="AT195" s="31">
        <f t="shared" si="187"/>
        <v>0.27815395959750661</v>
      </c>
      <c r="AU195" s="31">
        <f t="shared" si="188"/>
        <v>0.16361997623382749</v>
      </c>
      <c r="AV195" s="31">
        <f t="shared" si="189"/>
        <v>0.20179797068838728</v>
      </c>
    </row>
    <row r="196" spans="1:48">
      <c r="A196" s="10">
        <v>2039</v>
      </c>
      <c r="B196" s="9">
        <f>Fig1_future_Kaya!L53</f>
        <v>990045.12523957365</v>
      </c>
      <c r="C196" s="30">
        <f>Fig1_future_Kaya!T53</f>
        <v>6.0050599447225324</v>
      </c>
      <c r="D196" s="9">
        <f>Fig1_future_Kaya!AR53</f>
        <v>0.43678632667273232</v>
      </c>
      <c r="E196" s="9">
        <f>Fig1_future_Kaya!AS53</f>
        <v>0.27410623770484493</v>
      </c>
      <c r="F196" s="9">
        <f>Fig1_future_Kaya!AT53</f>
        <v>0.1449050638361149</v>
      </c>
      <c r="H196" s="266">
        <f t="shared" ref="H196:M196" si="255">H128</f>
        <v>293.87097179105825</v>
      </c>
      <c r="I196" s="266">
        <f t="shared" si="255"/>
        <v>168.97580877985848</v>
      </c>
      <c r="J196" s="266">
        <f t="shared" si="255"/>
        <v>124.89516301119976</v>
      </c>
      <c r="K196" s="266">
        <f t="shared" si="255"/>
        <v>95.508065832093919</v>
      </c>
      <c r="L196" s="266">
        <f t="shared" si="255"/>
        <v>73.467742947764563</v>
      </c>
      <c r="M196" s="266">
        <f t="shared" si="255"/>
        <v>80.814517242541029</v>
      </c>
      <c r="N196" s="264"/>
      <c r="O196" s="50">
        <f t="shared" si="204"/>
        <v>1.7471453066909293</v>
      </c>
      <c r="P196" s="50">
        <f t="shared" si="196"/>
        <v>1.0046085513472842</v>
      </c>
      <c r="Q196" s="158">
        <f t="shared" si="197"/>
        <v>0.74253675534364494</v>
      </c>
      <c r="R196" s="50">
        <f t="shared" si="198"/>
        <v>0.56782222467455201</v>
      </c>
      <c r="S196" s="50">
        <f t="shared" si="199"/>
        <v>0.43678632667273232</v>
      </c>
      <c r="T196" s="50">
        <f t="shared" si="200"/>
        <v>0.48046495934000566</v>
      </c>
      <c r="V196" s="267">
        <f t="shared" ref="V196:AA196" si="256">V128</f>
        <v>257.59496892348477</v>
      </c>
      <c r="W196" s="267">
        <f t="shared" si="256"/>
        <v>137.75056630445789</v>
      </c>
      <c r="X196" s="267">
        <f t="shared" si="256"/>
        <v>95.452541850683744</v>
      </c>
      <c r="Y196" s="267">
        <f t="shared" si="256"/>
        <v>67.253858881500932</v>
      </c>
      <c r="Z196" s="267">
        <f t="shared" si="256"/>
        <v>46.104846654613858</v>
      </c>
      <c r="AA196" s="267">
        <f t="shared" si="256"/>
        <v>53.154517396909569</v>
      </c>
      <c r="AC196" s="31">
        <f t="shared" si="206"/>
        <v>1.5314743005711062</v>
      </c>
      <c r="AD196" s="31">
        <f t="shared" si="179"/>
        <v>0.8189657316135579</v>
      </c>
      <c r="AE196" s="158">
        <f t="shared" si="180"/>
        <v>0.56749211904030583</v>
      </c>
      <c r="AF196" s="31">
        <f t="shared" si="181"/>
        <v>0.39984304399147091</v>
      </c>
      <c r="AG196" s="31">
        <f t="shared" si="182"/>
        <v>0.27410623770484493</v>
      </c>
      <c r="AH196" s="31">
        <f t="shared" si="183"/>
        <v>0.31601850646705371</v>
      </c>
      <c r="AJ196" s="31">
        <f t="shared" ref="AJ196:AO196" si="257">AJ128</f>
        <v>210.49517526827788</v>
      </c>
      <c r="AK196" s="31">
        <f t="shared" si="257"/>
        <v>105.02601376543548</v>
      </c>
      <c r="AL196" s="31">
        <f t="shared" si="257"/>
        <v>67.801603823255832</v>
      </c>
      <c r="AM196" s="31">
        <f t="shared" si="257"/>
        <v>42.985330528469376</v>
      </c>
      <c r="AN196" s="31">
        <f t="shared" si="257"/>
        <v>24.373125557379552</v>
      </c>
      <c r="AO196" s="31">
        <f t="shared" si="257"/>
        <v>30.57719388107617</v>
      </c>
      <c r="AQ196" s="31">
        <f t="shared" si="224"/>
        <v>1.2514528240391738</v>
      </c>
      <c r="AR196" s="31">
        <f t="shared" si="185"/>
        <v>0.62440909325744043</v>
      </c>
      <c r="AS196" s="158">
        <f t="shared" si="186"/>
        <v>0.40309954121682873</v>
      </c>
      <c r="AT196" s="31">
        <f t="shared" si="187"/>
        <v>0.25555983985642078</v>
      </c>
      <c r="AU196" s="31">
        <f t="shared" si="188"/>
        <v>0.1449050638361149</v>
      </c>
      <c r="AV196" s="31">
        <f t="shared" si="189"/>
        <v>0.18178998917621694</v>
      </c>
    </row>
    <row r="197" spans="1:48">
      <c r="A197" s="10">
        <v>2040</v>
      </c>
      <c r="B197" s="9">
        <f>Fig1_future_Kaya!L54</f>
        <v>1001371.749127445</v>
      </c>
      <c r="C197" s="30">
        <f>Fig1_future_Kaya!T54</f>
        <v>5.7988776290239041</v>
      </c>
      <c r="D197" s="9">
        <f>Fig1_future_Kaya!AR54</f>
        <v>0.42661485793414239</v>
      </c>
      <c r="E197" s="9">
        <f>Fig1_future_Kaya!AS54</f>
        <v>0.2490095636476001</v>
      </c>
      <c r="F197" s="9">
        <f>Fig1_future_Kaya!AT54</f>
        <v>0.1270843469107554</v>
      </c>
      <c r="H197" s="266">
        <f t="shared" ref="H197:M197" si="258">H129</f>
        <v>293.87097179105825</v>
      </c>
      <c r="I197" s="266">
        <f t="shared" si="258"/>
        <v>168.97580877985848</v>
      </c>
      <c r="J197" s="266">
        <f t="shared" si="258"/>
        <v>124.89516301119976</v>
      </c>
      <c r="K197" s="266">
        <f t="shared" si="258"/>
        <v>95.508065832093919</v>
      </c>
      <c r="L197" s="266">
        <f t="shared" si="258"/>
        <v>73.467742947764563</v>
      </c>
      <c r="M197" s="266">
        <f t="shared" si="258"/>
        <v>80.814517242541029</v>
      </c>
      <c r="N197" s="264"/>
      <c r="O197" s="50">
        <f t="shared" si="204"/>
        <v>1.7064594317365696</v>
      </c>
      <c r="P197" s="50">
        <f t="shared" si="196"/>
        <v>0.98121417324852755</v>
      </c>
      <c r="Q197" s="158">
        <f t="shared" si="197"/>
        <v>0.72524525848804211</v>
      </c>
      <c r="R197" s="50">
        <f t="shared" si="198"/>
        <v>0.55459931531438511</v>
      </c>
      <c r="S197" s="50">
        <f t="shared" si="199"/>
        <v>0.42661485793414239</v>
      </c>
      <c r="T197" s="50">
        <f t="shared" si="200"/>
        <v>0.46927634372755672</v>
      </c>
      <c r="V197" s="267">
        <f t="shared" ref="V197:AA197" si="259">V129</f>
        <v>253.77808458057098</v>
      </c>
      <c r="W197" s="267">
        <f t="shared" si="259"/>
        <v>134.2703993210223</v>
      </c>
      <c r="X197" s="267">
        <f t="shared" si="259"/>
        <v>92.091216288240432</v>
      </c>
      <c r="Y197" s="267">
        <f t="shared" si="259"/>
        <v>63.971760933052501</v>
      </c>
      <c r="Z197" s="267">
        <f t="shared" si="259"/>
        <v>42.882169416661583</v>
      </c>
      <c r="AA197" s="267">
        <f t="shared" si="259"/>
        <v>49.912033255458567</v>
      </c>
      <c r="AC197" s="31">
        <f t="shared" si="206"/>
        <v>1.473646761914486</v>
      </c>
      <c r="AD197" s="31">
        <f t="shared" si="179"/>
        <v>0.77968568289658391</v>
      </c>
      <c r="AE197" s="158">
        <f t="shared" si="180"/>
        <v>0.53475824324320675</v>
      </c>
      <c r="AF197" s="31">
        <f t="shared" si="181"/>
        <v>0.37147328347428865</v>
      </c>
      <c r="AG197" s="31">
        <f t="shared" si="182"/>
        <v>0.24900956364760019</v>
      </c>
      <c r="AH197" s="31">
        <f t="shared" si="183"/>
        <v>0.28983080358982977</v>
      </c>
      <c r="AJ197" s="31">
        <f t="shared" ref="AJ197:AO197" si="260">AJ129</f>
        <v>205.72195178882657</v>
      </c>
      <c r="AK197" s="31">
        <f t="shared" si="260"/>
        <v>101.54785705320801</v>
      </c>
      <c r="AL197" s="31">
        <f t="shared" si="260"/>
        <v>64.7805294994603</v>
      </c>
      <c r="AM197" s="31">
        <f t="shared" si="260"/>
        <v>40.268977796961792</v>
      </c>
      <c r="AN197" s="31">
        <f t="shared" si="260"/>
        <v>21.885314020087943</v>
      </c>
      <c r="AO197" s="31">
        <f t="shared" si="260"/>
        <v>28.013201945712574</v>
      </c>
      <c r="AQ197" s="31">
        <f t="shared" si="224"/>
        <v>1.1945928609610998</v>
      </c>
      <c r="AR197" s="31">
        <f t="shared" si="185"/>
        <v>0.58967136966590461</v>
      </c>
      <c r="AS197" s="158">
        <f t="shared" si="186"/>
        <v>0.37616966685583586</v>
      </c>
      <c r="AT197" s="31">
        <f t="shared" si="187"/>
        <v>0.23383519831578975</v>
      </c>
      <c r="AU197" s="31">
        <f t="shared" si="188"/>
        <v>0.12708434691075537</v>
      </c>
      <c r="AV197" s="31">
        <f t="shared" si="189"/>
        <v>0.16266796404576692</v>
      </c>
    </row>
    <row r="198" spans="1:48">
      <c r="A198" s="10">
        <v>2041</v>
      </c>
      <c r="B198" s="9">
        <f>Fig1_future_Kaya!L55</f>
        <v>1012698.3730153166</v>
      </c>
      <c r="C198" s="30">
        <f>Fig1_future_Kaya!T55</f>
        <v>5.5926953133252759</v>
      </c>
      <c r="D198" s="9">
        <f>Fig1_future_Kaya!AR55</f>
        <v>0.41610024347582636</v>
      </c>
      <c r="E198" s="9">
        <f>Fig1_future_Kaya!AS55</f>
        <v>0.23027713152776852</v>
      </c>
      <c r="F198" s="9">
        <f>Fig1_future_Kaya!AT55</f>
        <v>0.11017008413496944</v>
      </c>
      <c r="H198" s="266">
        <f t="shared" ref="H198:M198" si="261">H130</f>
        <v>293.87097179105825</v>
      </c>
      <c r="I198" s="266">
        <f t="shared" si="261"/>
        <v>168.97580877985848</v>
      </c>
      <c r="J198" s="266">
        <f t="shared" si="261"/>
        <v>124.89516301119976</v>
      </c>
      <c r="K198" s="266">
        <f t="shared" si="261"/>
        <v>95.508065832093919</v>
      </c>
      <c r="L198" s="266">
        <f t="shared" si="261"/>
        <v>73.467742947764563</v>
      </c>
      <c r="M198" s="266">
        <f t="shared" si="261"/>
        <v>80.814517242541029</v>
      </c>
      <c r="N198" s="264"/>
      <c r="O198" s="50">
        <f t="shared" si="204"/>
        <v>1.6644009739033054</v>
      </c>
      <c r="P198" s="50">
        <f t="shared" si="196"/>
        <v>0.95703055999440068</v>
      </c>
      <c r="Q198" s="158">
        <f t="shared" si="197"/>
        <v>0.70737041390890487</v>
      </c>
      <c r="R198" s="50">
        <f t="shared" si="198"/>
        <v>0.54093031651857426</v>
      </c>
      <c r="S198" s="50">
        <f t="shared" si="199"/>
        <v>0.41610024347582636</v>
      </c>
      <c r="T198" s="50">
        <f t="shared" si="200"/>
        <v>0.45771026782340907</v>
      </c>
      <c r="V198" s="267">
        <f t="shared" ref="V198:AA198" si="262">V130</f>
        <v>250.96003828367776</v>
      </c>
      <c r="W198" s="267">
        <f t="shared" si="262"/>
        <v>131.78907038360731</v>
      </c>
      <c r="X198" s="267">
        <f t="shared" si="262"/>
        <v>89.728728771817742</v>
      </c>
      <c r="Y198" s="267">
        <f t="shared" si="262"/>
        <v>61.688501030624693</v>
      </c>
      <c r="Z198" s="267">
        <f t="shared" si="262"/>
        <v>40.658330224729916</v>
      </c>
      <c r="AA198" s="267">
        <f t="shared" si="262"/>
        <v>47.668387160028189</v>
      </c>
      <c r="AC198" s="31">
        <f t="shared" si="206"/>
        <v>1.4213657428782953</v>
      </c>
      <c r="AD198" s="31">
        <f t="shared" si="179"/>
        <v>0.74641552977966352</v>
      </c>
      <c r="AE198" s="158">
        <f t="shared" si="180"/>
        <v>0.50819780750955812</v>
      </c>
      <c r="AF198" s="31">
        <f t="shared" si="181"/>
        <v>0.34938599266282117</v>
      </c>
      <c r="AG198" s="31">
        <f t="shared" si="182"/>
        <v>0.23027713152776852</v>
      </c>
      <c r="AH198" s="31">
        <f t="shared" si="183"/>
        <v>0.26998008523945283</v>
      </c>
      <c r="AJ198" s="31">
        <f t="shared" ref="AJ198:AO198" si="263">AJ130</f>
        <v>201.00314287942666</v>
      </c>
      <c r="AK198" s="31">
        <f t="shared" si="263"/>
        <v>98.124114911031953</v>
      </c>
      <c r="AL198" s="31">
        <f t="shared" si="263"/>
        <v>61.813869745716175</v>
      </c>
      <c r="AM198" s="31">
        <f t="shared" si="263"/>
        <v>37.607039635505643</v>
      </c>
      <c r="AN198" s="31">
        <f t="shared" si="263"/>
        <v>19.451917052847755</v>
      </c>
      <c r="AO198" s="31">
        <f t="shared" si="263"/>
        <v>25.503624580400395</v>
      </c>
      <c r="AQ198" s="31">
        <f t="shared" si="224"/>
        <v>1.1384242027280169</v>
      </c>
      <c r="AR198" s="31">
        <f t="shared" si="185"/>
        <v>0.55574686885862334</v>
      </c>
      <c r="AS198" s="158">
        <f t="shared" si="186"/>
        <v>0.35009604514001386</v>
      </c>
      <c r="AT198" s="31">
        <f t="shared" si="187"/>
        <v>0.21299549599427417</v>
      </c>
      <c r="AU198" s="31">
        <f t="shared" si="188"/>
        <v>0.11017008413496944</v>
      </c>
      <c r="AV198" s="31">
        <f t="shared" si="189"/>
        <v>0.14444522142140442</v>
      </c>
    </row>
    <row r="199" spans="1:48">
      <c r="A199" s="10">
        <v>2042</v>
      </c>
      <c r="B199" s="9">
        <f>Fig1_future_Kaya!L56</f>
        <v>1024024.9969031879</v>
      </c>
      <c r="C199" s="30">
        <f>Fig1_future_Kaya!T56</f>
        <v>5.3865129976266477</v>
      </c>
      <c r="D199" s="9">
        <f>Fig1_future_Kaya!AR56</f>
        <v>0.40524248329778417</v>
      </c>
      <c r="E199" s="9">
        <f>Fig1_future_Kaya!AS56</f>
        <v>0.21206728183757007</v>
      </c>
      <c r="F199" s="9">
        <f>Fig1_future_Kaya!AT56</f>
        <v>9.4173009261482504E-2</v>
      </c>
      <c r="H199" s="266">
        <f t="shared" ref="H199:M199" si="264">H131</f>
        <v>293.87097179105825</v>
      </c>
      <c r="I199" s="266">
        <f t="shared" si="264"/>
        <v>168.97580877985848</v>
      </c>
      <c r="J199" s="266">
        <f t="shared" si="264"/>
        <v>124.89516301119976</v>
      </c>
      <c r="K199" s="266">
        <f t="shared" si="264"/>
        <v>95.508065832093919</v>
      </c>
      <c r="L199" s="266">
        <f t="shared" si="264"/>
        <v>73.467742947764563</v>
      </c>
      <c r="M199" s="266">
        <f t="shared" si="264"/>
        <v>80.814517242541029</v>
      </c>
      <c r="N199" s="264"/>
      <c r="O199" s="50">
        <f t="shared" si="204"/>
        <v>1.6209699331911367</v>
      </c>
      <c r="P199" s="50">
        <f t="shared" si="196"/>
        <v>0.93205771158490347</v>
      </c>
      <c r="Q199" s="158">
        <f t="shared" si="197"/>
        <v>0.688912221606233</v>
      </c>
      <c r="R199" s="50">
        <f t="shared" si="198"/>
        <v>0.52681522828711924</v>
      </c>
      <c r="S199" s="50">
        <f t="shared" si="199"/>
        <v>0.40524248329778417</v>
      </c>
      <c r="T199" s="50">
        <f t="shared" si="200"/>
        <v>0.44576673162756258</v>
      </c>
      <c r="V199" s="267">
        <f t="shared" ref="V199:AA199" si="265">V131</f>
        <v>248.15387612888384</v>
      </c>
      <c r="W199" s="267">
        <f t="shared" si="265"/>
        <v>129.31962558829156</v>
      </c>
      <c r="X199" s="267">
        <f t="shared" si="265"/>
        <v>87.378125397494301</v>
      </c>
      <c r="Y199" s="267">
        <f t="shared" si="265"/>
        <v>59.417125270296111</v>
      </c>
      <c r="Z199" s="267">
        <f t="shared" si="265"/>
        <v>38.44637517489749</v>
      </c>
      <c r="AA199" s="267">
        <f t="shared" si="265"/>
        <v>45.436625206697045</v>
      </c>
      <c r="AC199" s="31">
        <f t="shared" si="206"/>
        <v>1.3687979100424978</v>
      </c>
      <c r="AD199" s="31">
        <f t="shared" si="179"/>
        <v>0.71331722072637205</v>
      </c>
      <c r="AE199" s="158">
        <f t="shared" si="180"/>
        <v>0.48197109508538655</v>
      </c>
      <c r="AF199" s="31">
        <f t="shared" si="181"/>
        <v>0.32774034465806273</v>
      </c>
      <c r="AG199" s="31">
        <f t="shared" si="182"/>
        <v>0.21206728183757007</v>
      </c>
      <c r="AH199" s="31">
        <f t="shared" si="183"/>
        <v>0.25062496944440105</v>
      </c>
      <c r="AJ199" s="31">
        <f t="shared" ref="AJ199:AO199" si="266">AJ131</f>
        <v>196.33874854007823</v>
      </c>
      <c r="AK199" s="31">
        <f t="shared" si="266"/>
        <v>94.75478733890732</v>
      </c>
      <c r="AL199" s="31">
        <f t="shared" si="266"/>
        <v>58.901624562023478</v>
      </c>
      <c r="AM199" s="31">
        <f t="shared" si="266"/>
        <v>34.999516044100901</v>
      </c>
      <c r="AN199" s="31">
        <f t="shared" si="266"/>
        <v>17.07293465565899</v>
      </c>
      <c r="AO199" s="31">
        <f t="shared" si="266"/>
        <v>23.048461785139637</v>
      </c>
      <c r="AQ199" s="31">
        <f t="shared" si="224"/>
        <v>1.0829896065070479</v>
      </c>
      <c r="AR199" s="31">
        <f t="shared" si="185"/>
        <v>0.52266020140122749</v>
      </c>
      <c r="AS199" s="158">
        <f t="shared" si="186"/>
        <v>0.32489688195211441</v>
      </c>
      <c r="AT199" s="31">
        <f t="shared" si="187"/>
        <v>0.19305466898603899</v>
      </c>
      <c r="AU199" s="31">
        <f t="shared" si="188"/>
        <v>9.4173009261482504E-2</v>
      </c>
      <c r="AV199" s="31">
        <f t="shared" si="189"/>
        <v>0.12713356250300137</v>
      </c>
    </row>
    <row r="200" spans="1:48">
      <c r="A200" s="10">
        <v>2043</v>
      </c>
      <c r="B200" s="9">
        <f>Fig1_future_Kaya!L57</f>
        <v>1035351.6207910595</v>
      </c>
      <c r="C200" s="30">
        <f>Fig1_future_Kaya!T57</f>
        <v>5.1803306819280195</v>
      </c>
      <c r="D200" s="9">
        <f>Fig1_future_Kaya!AR57</f>
        <v>0.39404157740001566</v>
      </c>
      <c r="E200" s="9">
        <f>Fig1_future_Kaya!AS57</f>
        <v>0.19440573965242414</v>
      </c>
      <c r="F200" s="9">
        <f>Fig1_future_Kaya!AT57</f>
        <v>7.9102331118524757E-2</v>
      </c>
      <c r="H200" s="266">
        <f t="shared" ref="H200:M200" si="267">H132</f>
        <v>293.87097179105825</v>
      </c>
      <c r="I200" s="266">
        <f t="shared" si="267"/>
        <v>168.97580877985848</v>
      </c>
      <c r="J200" s="266">
        <f t="shared" si="267"/>
        <v>124.89516301119976</v>
      </c>
      <c r="K200" s="266">
        <f t="shared" si="267"/>
        <v>95.508065832093919</v>
      </c>
      <c r="L200" s="266">
        <f t="shared" si="267"/>
        <v>73.467742947764563</v>
      </c>
      <c r="M200" s="266">
        <f t="shared" si="267"/>
        <v>80.814517242541029</v>
      </c>
      <c r="N200" s="264"/>
      <c r="O200" s="50">
        <f t="shared" si="204"/>
        <v>1.5761663096000627</v>
      </c>
      <c r="P200" s="50">
        <f t="shared" si="196"/>
        <v>0.90629562802003594</v>
      </c>
      <c r="Q200" s="158">
        <f t="shared" si="197"/>
        <v>0.66987068158002661</v>
      </c>
      <c r="R200" s="50">
        <f t="shared" si="198"/>
        <v>0.51225405062002027</v>
      </c>
      <c r="S200" s="50">
        <f t="shared" si="199"/>
        <v>0.39404157740001566</v>
      </c>
      <c r="T200" s="50">
        <f t="shared" si="200"/>
        <v>0.43344573514001727</v>
      </c>
      <c r="V200" s="267">
        <f t="shared" ref="V200:AA200" si="268">V132</f>
        <v>245.35959811618909</v>
      </c>
      <c r="W200" s="267">
        <f t="shared" si="268"/>
        <v>126.86206493507503</v>
      </c>
      <c r="X200" s="267">
        <f t="shared" si="268"/>
        <v>85.039406165270094</v>
      </c>
      <c r="Y200" s="267">
        <f t="shared" si="268"/>
        <v>57.157633652066764</v>
      </c>
      <c r="Z200" s="267">
        <f t="shared" si="268"/>
        <v>36.246304267164291</v>
      </c>
      <c r="AA200" s="267">
        <f t="shared" si="268"/>
        <v>43.216747395465134</v>
      </c>
      <c r="AC200" s="31">
        <f t="shared" si="206"/>
        <v>1.3159773145702558</v>
      </c>
      <c r="AD200" s="31">
        <f t="shared" si="179"/>
        <v>0.68042008878348448</v>
      </c>
      <c r="AE200" s="158">
        <f t="shared" si="180"/>
        <v>0.45610577379991829</v>
      </c>
      <c r="AF200" s="31">
        <f t="shared" si="181"/>
        <v>0.30656289714420726</v>
      </c>
      <c r="AG200" s="31">
        <f t="shared" si="182"/>
        <v>0.19440573965242414</v>
      </c>
      <c r="AH200" s="31">
        <f t="shared" si="183"/>
        <v>0.23179145881635191</v>
      </c>
      <c r="AJ200" s="31">
        <f t="shared" ref="AJ200:AO200" si="269">AJ132</f>
        <v>191.72876877078122</v>
      </c>
      <c r="AK200" s="31">
        <f t="shared" si="269"/>
        <v>91.439874336834109</v>
      </c>
      <c r="AL200" s="31">
        <f t="shared" si="269"/>
        <v>56.043793948382209</v>
      </c>
      <c r="AM200" s="31">
        <f t="shared" si="269"/>
        <v>32.446407022747593</v>
      </c>
      <c r="AN200" s="31">
        <f t="shared" si="269"/>
        <v>14.748366828521645</v>
      </c>
      <c r="AO200" s="31">
        <f t="shared" si="269"/>
        <v>20.647713559930303</v>
      </c>
      <c r="AQ200" s="31">
        <f t="shared" si="224"/>
        <v>1.028330304540821</v>
      </c>
      <c r="AR200" s="31">
        <f t="shared" si="185"/>
        <v>0.4904344529348531</v>
      </c>
      <c r="AS200" s="158">
        <f t="shared" si="186"/>
        <v>0.30058885825039389</v>
      </c>
      <c r="AT200" s="31">
        <f t="shared" si="187"/>
        <v>0.17402512846075432</v>
      </c>
      <c r="AU200" s="31">
        <f t="shared" si="188"/>
        <v>7.9102331118524757E-2</v>
      </c>
      <c r="AV200" s="31">
        <f t="shared" si="189"/>
        <v>0.11074326356593467</v>
      </c>
    </row>
    <row r="201" spans="1:48">
      <c r="A201" s="10">
        <v>2044</v>
      </c>
      <c r="B201" s="9">
        <f>Fig1_future_Kaya!L58</f>
        <v>1046678.2446789307</v>
      </c>
      <c r="C201" s="30">
        <f>Fig1_future_Kaya!T58</f>
        <v>4.9741483662293913</v>
      </c>
      <c r="D201" s="9">
        <f>Fig1_future_Kaya!AR58</f>
        <v>0.38249752578252094</v>
      </c>
      <c r="E201" s="9">
        <f>Fig1_future_Kaya!AS58</f>
        <v>0.17731789700424039</v>
      </c>
      <c r="F201" s="9">
        <f>Fig1_future_Kaya!AT58</f>
        <v>6.4965733609831336E-2</v>
      </c>
      <c r="H201" s="266">
        <f t="shared" ref="H201:M201" si="270">H133</f>
        <v>293.87097179105825</v>
      </c>
      <c r="I201" s="266">
        <f t="shared" si="270"/>
        <v>168.97580877985848</v>
      </c>
      <c r="J201" s="266">
        <f t="shared" si="270"/>
        <v>124.89516301119976</v>
      </c>
      <c r="K201" s="266">
        <f t="shared" si="270"/>
        <v>95.508065832093919</v>
      </c>
      <c r="L201" s="266">
        <f t="shared" si="270"/>
        <v>73.467742947764563</v>
      </c>
      <c r="M201" s="266">
        <f t="shared" si="270"/>
        <v>80.814517242541029</v>
      </c>
      <c r="N201" s="264"/>
      <c r="O201" s="50">
        <f t="shared" si="204"/>
        <v>1.5299901031300838</v>
      </c>
      <c r="P201" s="50">
        <f t="shared" si="196"/>
        <v>0.87974430929979808</v>
      </c>
      <c r="Q201" s="158">
        <f t="shared" si="197"/>
        <v>0.65024579383028558</v>
      </c>
      <c r="R201" s="50">
        <f t="shared" si="198"/>
        <v>0.49724678351727719</v>
      </c>
      <c r="S201" s="50">
        <f t="shared" si="199"/>
        <v>0.38249752578252094</v>
      </c>
      <c r="T201" s="50">
        <f t="shared" si="200"/>
        <v>0.42074727836077308</v>
      </c>
      <c r="V201" s="267">
        <f t="shared" ref="V201:AA201" si="271">V133</f>
        <v>242.57720424559363</v>
      </c>
      <c r="W201" s="267">
        <f t="shared" si="271"/>
        <v>124.41638842395774</v>
      </c>
      <c r="X201" s="267">
        <f t="shared" si="271"/>
        <v>82.712571075145092</v>
      </c>
      <c r="Y201" s="267">
        <f t="shared" si="271"/>
        <v>54.91002617593665</v>
      </c>
      <c r="Z201" s="267">
        <f t="shared" si="271"/>
        <v>34.058117501530333</v>
      </c>
      <c r="AA201" s="267">
        <f t="shared" si="271"/>
        <v>41.008753726332451</v>
      </c>
      <c r="AC201" s="31">
        <f t="shared" si="206"/>
        <v>1.2629376745812229</v>
      </c>
      <c r="AD201" s="31">
        <f t="shared" si="179"/>
        <v>0.64775313395426592</v>
      </c>
      <c r="AE201" s="158">
        <f t="shared" si="180"/>
        <v>0.43062917843886955</v>
      </c>
      <c r="AF201" s="31">
        <f t="shared" si="181"/>
        <v>0.28587987476193855</v>
      </c>
      <c r="AG201" s="31">
        <f t="shared" si="182"/>
        <v>0.17731789700424039</v>
      </c>
      <c r="AH201" s="31">
        <f t="shared" si="183"/>
        <v>0.21350522292347318</v>
      </c>
      <c r="AJ201" s="31">
        <f t="shared" ref="AJ201:AO201" si="272">AJ133</f>
        <v>187.17320357153557</v>
      </c>
      <c r="AK201" s="31">
        <f t="shared" si="272"/>
        <v>88.179375904812304</v>
      </c>
      <c r="AL201" s="31">
        <f t="shared" si="272"/>
        <v>53.240377904792354</v>
      </c>
      <c r="AM201" s="31">
        <f t="shared" si="272"/>
        <v>29.947712571445695</v>
      </c>
      <c r="AN201" s="31">
        <f t="shared" si="272"/>
        <v>12.478213571435719</v>
      </c>
      <c r="AO201" s="31">
        <f t="shared" si="272"/>
        <v>18.301379904772389</v>
      </c>
      <c r="AQ201" s="31">
        <f t="shared" si="224"/>
        <v>0.97448600414746878</v>
      </c>
      <c r="AR201" s="31">
        <f t="shared" si="185"/>
        <v>0.45909118417614081</v>
      </c>
      <c r="AS201" s="158">
        <f t="shared" si="186"/>
        <v>0.2771871300686134</v>
      </c>
      <c r="AT201" s="31">
        <f t="shared" si="187"/>
        <v>0.15591776066359503</v>
      </c>
      <c r="AU201" s="31">
        <f t="shared" si="188"/>
        <v>6.4965733609831322E-2</v>
      </c>
      <c r="AV201" s="31">
        <f t="shared" si="189"/>
        <v>9.5283075961085942E-2</v>
      </c>
    </row>
    <row r="202" spans="1:48">
      <c r="A202" s="10">
        <v>2045</v>
      </c>
      <c r="B202" s="9">
        <f>Fig1_future_Kaya!L59</f>
        <v>1058004.8685668022</v>
      </c>
      <c r="C202" s="30">
        <f>Fig1_future_Kaya!T59</f>
        <v>4.7679660505307631</v>
      </c>
      <c r="D202" s="9">
        <f>Fig1_future_Kaya!AR59</f>
        <v>0.37061032844530006</v>
      </c>
      <c r="E202" s="9">
        <f>Fig1_future_Kaya!AS59</f>
        <v>0.16082881288141879</v>
      </c>
      <c r="F202" s="9">
        <f>Fig1_future_Kaya!AT59</f>
        <v>5.1769375714642171E-2</v>
      </c>
      <c r="H202" s="266">
        <f t="shared" ref="H202:M202" si="273">H134</f>
        <v>293.87097179105825</v>
      </c>
      <c r="I202" s="266">
        <f t="shared" si="273"/>
        <v>168.97580877985848</v>
      </c>
      <c r="J202" s="266">
        <f t="shared" si="273"/>
        <v>124.89516301119976</v>
      </c>
      <c r="K202" s="266">
        <f t="shared" si="273"/>
        <v>95.508065832093919</v>
      </c>
      <c r="L202" s="266">
        <f t="shared" si="273"/>
        <v>73.467742947764563</v>
      </c>
      <c r="M202" s="266">
        <f t="shared" si="273"/>
        <v>80.814517242541029</v>
      </c>
      <c r="N202" s="264"/>
      <c r="O202" s="50">
        <f t="shared" si="204"/>
        <v>1.4824413137812003</v>
      </c>
      <c r="P202" s="50">
        <f t="shared" si="196"/>
        <v>0.85240375542419</v>
      </c>
      <c r="Q202" s="158">
        <f t="shared" si="197"/>
        <v>0.63003755835701003</v>
      </c>
      <c r="R202" s="50">
        <f t="shared" si="198"/>
        <v>0.48179342697888999</v>
      </c>
      <c r="S202" s="50">
        <f t="shared" si="199"/>
        <v>0.37061032844530006</v>
      </c>
      <c r="T202" s="50">
        <f t="shared" si="200"/>
        <v>0.40767136128983011</v>
      </c>
      <c r="V202" s="267">
        <f t="shared" ref="V202:AA202" si="274">V134</f>
        <v>239.80669451709736</v>
      </c>
      <c r="W202" s="267">
        <f t="shared" si="274"/>
        <v>121.98259605493969</v>
      </c>
      <c r="X202" s="267">
        <f t="shared" si="274"/>
        <v>80.397620127119353</v>
      </c>
      <c r="Y202" s="267">
        <f t="shared" si="274"/>
        <v>52.674302841905771</v>
      </c>
      <c r="Z202" s="267">
        <f t="shared" si="274"/>
        <v>31.881814877995602</v>
      </c>
      <c r="AA202" s="267">
        <f t="shared" si="274"/>
        <v>38.812644199299001</v>
      </c>
      <c r="AC202" s="31">
        <f t="shared" si="206"/>
        <v>1.2097123751515415</v>
      </c>
      <c r="AD202" s="31">
        <f t="shared" si="179"/>
        <v>0.61534502319847195</v>
      </c>
      <c r="AE202" s="158">
        <f t="shared" si="180"/>
        <v>0.40556831074444749</v>
      </c>
      <c r="AF202" s="31">
        <f t="shared" si="181"/>
        <v>0.26571716910843102</v>
      </c>
      <c r="AG202" s="31">
        <f t="shared" si="182"/>
        <v>0.16082881288141879</v>
      </c>
      <c r="AH202" s="31">
        <f t="shared" si="183"/>
        <v>0.19579159829042295</v>
      </c>
      <c r="AJ202" s="31">
        <f t="shared" ref="AJ202:AO202" si="275">AJ134</f>
        <v>182.6720529423414</v>
      </c>
      <c r="AK202" s="31">
        <f t="shared" si="275"/>
        <v>84.973292042841933</v>
      </c>
      <c r="AL202" s="31">
        <f t="shared" si="275"/>
        <v>50.491376431253926</v>
      </c>
      <c r="AM202" s="31">
        <f t="shared" si="275"/>
        <v>27.503432690195222</v>
      </c>
      <c r="AN202" s="31">
        <f t="shared" si="275"/>
        <v>10.262474884401216</v>
      </c>
      <c r="AO202" s="31">
        <f t="shared" si="275"/>
        <v>16.009460819665897</v>
      </c>
      <c r="AQ202" s="31">
        <f t="shared" si="224"/>
        <v>0.9214948877206296</v>
      </c>
      <c r="AR202" s="31">
        <f t="shared" si="185"/>
        <v>0.42865043091723659</v>
      </c>
      <c r="AS202" s="158">
        <f t="shared" si="186"/>
        <v>0.25470532851603928</v>
      </c>
      <c r="AT202" s="31">
        <f t="shared" si="187"/>
        <v>0.13874192691524084</v>
      </c>
      <c r="AU202" s="31">
        <f t="shared" si="188"/>
        <v>5.1769375714642185E-2</v>
      </c>
      <c r="AV202" s="31">
        <f t="shared" si="189"/>
        <v>8.0760226114841807E-2</v>
      </c>
    </row>
    <row r="203" spans="1:48">
      <c r="A203" s="10">
        <v>2046</v>
      </c>
      <c r="B203" s="9">
        <f>Fig1_future_Kaya!L60</f>
        <v>1069331.4924546739</v>
      </c>
      <c r="C203" s="30">
        <f>Fig1_future_Kaya!T60</f>
        <v>4.5617837348321348</v>
      </c>
      <c r="D203" s="9">
        <f>Fig1_future_Kaya!AR60</f>
        <v>0.35837998538835292</v>
      </c>
      <c r="E203" s="9">
        <f>Fig1_future_Kaya!AS60</f>
        <v>0.1476602032424095</v>
      </c>
      <c r="F203" s="9">
        <f>Fig1_future_Kaya!AT60</f>
        <v>3.9517891487702156E-2</v>
      </c>
      <c r="H203" s="266">
        <f t="shared" ref="H203:M203" si="276">H135</f>
        <v>293.87097179105825</v>
      </c>
      <c r="I203" s="266">
        <f t="shared" si="276"/>
        <v>168.97580877985848</v>
      </c>
      <c r="J203" s="266">
        <f t="shared" si="276"/>
        <v>124.89516301119976</v>
      </c>
      <c r="K203" s="266">
        <f t="shared" si="276"/>
        <v>95.508065832093919</v>
      </c>
      <c r="L203" s="266">
        <f t="shared" si="276"/>
        <v>73.467742947764563</v>
      </c>
      <c r="M203" s="266">
        <f t="shared" si="276"/>
        <v>80.814517242541029</v>
      </c>
      <c r="N203" s="264"/>
      <c r="O203" s="50">
        <f t="shared" si="204"/>
        <v>1.4335199415534117</v>
      </c>
      <c r="P203" s="50">
        <f t="shared" si="196"/>
        <v>0.82427396639321171</v>
      </c>
      <c r="Q203" s="158">
        <f t="shared" si="197"/>
        <v>0.60924597516019996</v>
      </c>
      <c r="R203" s="50">
        <f t="shared" si="198"/>
        <v>0.46589398100485874</v>
      </c>
      <c r="S203" s="50">
        <f t="shared" si="199"/>
        <v>0.35837998538835292</v>
      </c>
      <c r="T203" s="50">
        <f t="shared" si="200"/>
        <v>0.39421798392718826</v>
      </c>
      <c r="V203" s="267">
        <f t="shared" ref="V203:AA203" si="277">V135</f>
        <v>237.60095072412471</v>
      </c>
      <c r="W203" s="267">
        <f t="shared" si="277"/>
        <v>120.11356962144524</v>
      </c>
      <c r="X203" s="267">
        <f t="shared" si="277"/>
        <v>78.647435114617195</v>
      </c>
      <c r="Y203" s="267">
        <f t="shared" si="277"/>
        <v>51.003345443398487</v>
      </c>
      <c r="Z203" s="267">
        <f t="shared" si="277"/>
        <v>30.270278189984467</v>
      </c>
      <c r="AA203" s="267">
        <f t="shared" si="277"/>
        <v>37.181300607789154</v>
      </c>
      <c r="AC203" s="31">
        <f t="shared" si="206"/>
        <v>1.1590314583274064</v>
      </c>
      <c r="AD203" s="31">
        <f t="shared" si="179"/>
        <v>0.58592108044590807</v>
      </c>
      <c r="AE203" s="158">
        <f t="shared" si="180"/>
        <v>0.38364682942890876</v>
      </c>
      <c r="AF203" s="31">
        <f t="shared" si="181"/>
        <v>0.24879732875090915</v>
      </c>
      <c r="AG203" s="31">
        <f t="shared" si="182"/>
        <v>0.1476602032424095</v>
      </c>
      <c r="AH203" s="31">
        <f t="shared" si="183"/>
        <v>0.18137257841190943</v>
      </c>
      <c r="AJ203" s="31">
        <f t="shared" ref="AJ203:AO203" si="278">AJ135</f>
        <v>178.22531688319862</v>
      </c>
      <c r="AK203" s="31">
        <f t="shared" si="278"/>
        <v>81.821622750923012</v>
      </c>
      <c r="AL203" s="31">
        <f t="shared" si="278"/>
        <v>47.796789527766919</v>
      </c>
      <c r="AM203" s="31">
        <f t="shared" si="278"/>
        <v>25.113567378996173</v>
      </c>
      <c r="AN203" s="31">
        <f t="shared" si="278"/>
        <v>8.1011507674181349</v>
      </c>
      <c r="AO203" s="31">
        <f t="shared" si="278"/>
        <v>13.771956304610825</v>
      </c>
      <c r="AQ203" s="31">
        <f t="shared" si="224"/>
        <v>0.86939361272944571</v>
      </c>
      <c r="AR203" s="31">
        <f t="shared" si="185"/>
        <v>0.39913070402579104</v>
      </c>
      <c r="AS203" s="158">
        <f t="shared" si="186"/>
        <v>0.23315555977744234</v>
      </c>
      <c r="AT203" s="31">
        <f t="shared" si="187"/>
        <v>0.12250546361187646</v>
      </c>
      <c r="AU203" s="31">
        <f t="shared" si="188"/>
        <v>3.9517891487702156E-2</v>
      </c>
      <c r="AV203" s="31">
        <f t="shared" si="189"/>
        <v>6.7180415529093637E-2</v>
      </c>
    </row>
    <row r="204" spans="1:48">
      <c r="A204" s="10">
        <v>2047</v>
      </c>
      <c r="B204" s="9">
        <f>Fig1_future_Kaya!L61</f>
        <v>1080658.1163425453</v>
      </c>
      <c r="C204" s="30">
        <f>Fig1_future_Kaya!T61</f>
        <v>4.3556014191335066</v>
      </c>
      <c r="D204" s="9">
        <f>Fig1_future_Kaya!AR61</f>
        <v>0.34580649661167956</v>
      </c>
      <c r="E204" s="9">
        <f>Fig1_future_Kaya!AS61</f>
        <v>0.1349353105858295</v>
      </c>
      <c r="F204" s="9">
        <f>Fig1_future_Kaya!AT61</f>
        <v>2.8214390059260932E-2</v>
      </c>
      <c r="H204" s="266">
        <f t="shared" ref="H204:M204" si="279">H136</f>
        <v>293.87097179105825</v>
      </c>
      <c r="I204" s="266">
        <f t="shared" si="279"/>
        <v>168.97580877985848</v>
      </c>
      <c r="J204" s="266">
        <f t="shared" si="279"/>
        <v>124.89516301119976</v>
      </c>
      <c r="K204" s="266">
        <f t="shared" si="279"/>
        <v>95.508065832093919</v>
      </c>
      <c r="L204" s="266">
        <f t="shared" si="279"/>
        <v>73.467742947764563</v>
      </c>
      <c r="M204" s="266">
        <f t="shared" si="279"/>
        <v>80.814517242541029</v>
      </c>
      <c r="N204" s="264"/>
      <c r="O204" s="50">
        <f t="shared" si="204"/>
        <v>1.3832259864467182</v>
      </c>
      <c r="P204" s="50">
        <f t="shared" si="196"/>
        <v>0.79535494220686298</v>
      </c>
      <c r="Q204" s="158">
        <f t="shared" si="197"/>
        <v>0.58787104423985526</v>
      </c>
      <c r="R204" s="50">
        <f t="shared" si="198"/>
        <v>0.44954844559518337</v>
      </c>
      <c r="S204" s="50">
        <f t="shared" si="199"/>
        <v>0.34580649661167956</v>
      </c>
      <c r="T204" s="50">
        <f t="shared" si="200"/>
        <v>0.38038714627284759</v>
      </c>
      <c r="V204" s="267">
        <f t="shared" ref="V204:AA204" si="280">V136</f>
        <v>235.40392196869152</v>
      </c>
      <c r="W204" s="267">
        <f t="shared" si="280"/>
        <v>118.25325822549021</v>
      </c>
      <c r="X204" s="267">
        <f t="shared" si="280"/>
        <v>76.905965139654484</v>
      </c>
      <c r="Y204" s="267">
        <f t="shared" si="280"/>
        <v>49.341103082430635</v>
      </c>
      <c r="Z204" s="267">
        <f t="shared" si="280"/>
        <v>28.667456539512777</v>
      </c>
      <c r="AA204" s="267">
        <f t="shared" si="280"/>
        <v>35.558672053818746</v>
      </c>
      <c r="AC204" s="31">
        <f t="shared" si="206"/>
        <v>1.1080264926951771</v>
      </c>
      <c r="AD204" s="31">
        <f t="shared" si="179"/>
        <v>0.55660815616654669</v>
      </c>
      <c r="AE204" s="158">
        <f t="shared" si="180"/>
        <v>0.36198991974467731</v>
      </c>
      <c r="AF204" s="31">
        <f t="shared" si="181"/>
        <v>0.23224442879676419</v>
      </c>
      <c r="AG204" s="31">
        <f t="shared" si="182"/>
        <v>0.1349353105858295</v>
      </c>
      <c r="AH204" s="31">
        <f t="shared" si="183"/>
        <v>0.16737168332280783</v>
      </c>
      <c r="AJ204" s="31">
        <f t="shared" ref="AJ204:AO204" si="281">AJ136</f>
        <v>173.83299539410729</v>
      </c>
      <c r="AK204" s="31">
        <f t="shared" si="281"/>
        <v>78.724368029055483</v>
      </c>
      <c r="AL204" s="31">
        <f t="shared" si="281"/>
        <v>45.156617194331332</v>
      </c>
      <c r="AM204" s="31">
        <f t="shared" si="281"/>
        <v>22.778116637848548</v>
      </c>
      <c r="AN204" s="31">
        <f t="shared" si="281"/>
        <v>5.9942412204864741</v>
      </c>
      <c r="AO204" s="31">
        <f t="shared" si="281"/>
        <v>11.588866359607175</v>
      </c>
      <c r="AQ204" s="31">
        <f t="shared" si="224"/>
        <v>0.81821731171856482</v>
      </c>
      <c r="AR204" s="31">
        <f t="shared" si="185"/>
        <v>0.37054898944495929</v>
      </c>
      <c r="AS204" s="158">
        <f t="shared" si="186"/>
        <v>0.21254840511309853</v>
      </c>
      <c r="AT204" s="31">
        <f t="shared" si="187"/>
        <v>0.1072146822251913</v>
      </c>
      <c r="AU204" s="31">
        <f t="shared" si="188"/>
        <v>2.8214390059260932E-2</v>
      </c>
      <c r="AV204" s="31">
        <f t="shared" si="189"/>
        <v>5.4547820781237766E-2</v>
      </c>
    </row>
    <row r="205" spans="1:48">
      <c r="A205" s="10">
        <v>2048</v>
      </c>
      <c r="B205" s="9">
        <f>Fig1_future_Kaya!L62</f>
        <v>1091984.7402304166</v>
      </c>
      <c r="C205" s="30">
        <f>Fig1_future_Kaya!T62</f>
        <v>4.1494191034348784</v>
      </c>
      <c r="D205" s="9">
        <f>Fig1_future_Kaya!AR62</f>
        <v>0.33288986211527999</v>
      </c>
      <c r="E205" s="9">
        <f>Fig1_future_Kaya!AS62</f>
        <v>0.12267211925192728</v>
      </c>
      <c r="F205" s="9">
        <f>Fig1_future_Kaya!AT62</f>
        <v>1.7860455635073078E-2</v>
      </c>
      <c r="H205" s="266">
        <f t="shared" ref="H205:M205" si="282">H137</f>
        <v>293.87097179105825</v>
      </c>
      <c r="I205" s="266">
        <f t="shared" si="282"/>
        <v>168.97580877985848</v>
      </c>
      <c r="J205" s="266">
        <f t="shared" si="282"/>
        <v>124.89516301119976</v>
      </c>
      <c r="K205" s="266">
        <f t="shared" si="282"/>
        <v>95.508065832093919</v>
      </c>
      <c r="L205" s="266">
        <f t="shared" si="282"/>
        <v>73.467742947764563</v>
      </c>
      <c r="M205" s="266">
        <f t="shared" si="282"/>
        <v>80.814517242541029</v>
      </c>
      <c r="N205" s="264"/>
      <c r="O205" s="50">
        <f t="shared" si="204"/>
        <v>1.33155944846112</v>
      </c>
      <c r="P205" s="50">
        <f t="shared" si="196"/>
        <v>0.76564668286514392</v>
      </c>
      <c r="Q205" s="158">
        <f t="shared" si="197"/>
        <v>0.56591276559597592</v>
      </c>
      <c r="R205" s="50">
        <f t="shared" si="198"/>
        <v>0.43275682074986388</v>
      </c>
      <c r="S205" s="50">
        <f t="shared" si="199"/>
        <v>0.33288986211527999</v>
      </c>
      <c r="T205" s="50">
        <f t="shared" si="200"/>
        <v>0.36617884832680797</v>
      </c>
      <c r="V205" s="267">
        <f t="shared" ref="V205:AA205" si="283">V137</f>
        <v>233.21560825079771</v>
      </c>
      <c r="W205" s="267">
        <f t="shared" si="283"/>
        <v>116.40166186707464</v>
      </c>
      <c r="X205" s="267">
        <f t="shared" si="283"/>
        <v>75.173210202231189</v>
      </c>
      <c r="Y205" s="267">
        <f t="shared" si="283"/>
        <v>47.687575759002229</v>
      </c>
      <c r="Z205" s="267">
        <f t="shared" si="283"/>
        <v>27.073349926580519</v>
      </c>
      <c r="AA205" s="267">
        <f t="shared" si="283"/>
        <v>33.94475853738777</v>
      </c>
      <c r="AC205" s="31">
        <f t="shared" si="206"/>
        <v>1.0567237886828458</v>
      </c>
      <c r="AD205" s="31">
        <f t="shared" si="179"/>
        <v>0.52742784267199205</v>
      </c>
      <c r="AE205" s="158">
        <f t="shared" si="180"/>
        <v>0.34061750878580827</v>
      </c>
      <c r="AF205" s="31">
        <f t="shared" si="181"/>
        <v>0.21607728619501909</v>
      </c>
      <c r="AG205" s="31">
        <f t="shared" si="182"/>
        <v>0.12267211925192728</v>
      </c>
      <c r="AH205" s="31">
        <f t="shared" si="183"/>
        <v>0.15380717489962462</v>
      </c>
      <c r="AJ205" s="31">
        <f t="shared" ref="AJ205:AO205" si="284">AJ137</f>
        <v>169.49508847506735</v>
      </c>
      <c r="AK205" s="31">
        <f t="shared" si="284"/>
        <v>75.681527877239375</v>
      </c>
      <c r="AL205" s="31">
        <f t="shared" si="284"/>
        <v>42.570859430947159</v>
      </c>
      <c r="AM205" s="31">
        <f t="shared" si="284"/>
        <v>20.497080466752337</v>
      </c>
      <c r="AN205" s="31">
        <f t="shared" si="284"/>
        <v>3.9417462436062336</v>
      </c>
      <c r="AO205" s="31">
        <f t="shared" si="284"/>
        <v>9.460190984654945</v>
      </c>
      <c r="AQ205" s="31">
        <f t="shared" si="224"/>
        <v>0.76799959230813908</v>
      </c>
      <c r="AR205" s="31">
        <f t="shared" si="185"/>
        <v>0.34292074819340163</v>
      </c>
      <c r="AS205" s="158">
        <f t="shared" si="186"/>
        <v>0.19289292085878848</v>
      </c>
      <c r="AT205" s="31">
        <f t="shared" si="187"/>
        <v>9.2874369302379634E-2</v>
      </c>
      <c r="AU205" s="31">
        <f t="shared" si="188"/>
        <v>1.7860455635073078E-2</v>
      </c>
      <c r="AV205" s="31">
        <f t="shared" si="189"/>
        <v>4.2865093524175307E-2</v>
      </c>
    </row>
    <row r="206" spans="1:48">
      <c r="A206" s="10">
        <v>2049</v>
      </c>
      <c r="B206" s="9">
        <f>Fig1_future_Kaya!L63</f>
        <v>1103311.3641182883</v>
      </c>
      <c r="C206" s="30">
        <f>Fig1_future_Kaya!T63</f>
        <v>3.9432367877362506</v>
      </c>
      <c r="D206" s="9">
        <f>Fig1_future_Kaya!AR63</f>
        <v>0.31963008189915432</v>
      </c>
      <c r="E206" s="9">
        <f>Fig1_future_Kaya!AS63</f>
        <v>0.11088836934904425</v>
      </c>
      <c r="F206" s="9">
        <f>Fig1_future_Kaya!AT63</f>
        <v>8.456147496398031E-3</v>
      </c>
      <c r="H206" s="266">
        <f t="shared" ref="H206:M206" si="285">H138</f>
        <v>293.87097179105825</v>
      </c>
      <c r="I206" s="266">
        <f t="shared" si="285"/>
        <v>168.97580877985848</v>
      </c>
      <c r="J206" s="266">
        <f t="shared" si="285"/>
        <v>124.89516301119976</v>
      </c>
      <c r="K206" s="266">
        <f t="shared" si="285"/>
        <v>95.508065832093919</v>
      </c>
      <c r="L206" s="266">
        <f t="shared" si="285"/>
        <v>73.467742947764563</v>
      </c>
      <c r="M206" s="266">
        <f t="shared" si="285"/>
        <v>80.814517242541029</v>
      </c>
      <c r="N206" s="264"/>
      <c r="O206" s="50">
        <f t="shared" si="204"/>
        <v>1.2785203275966173</v>
      </c>
      <c r="P206" s="50">
        <f t="shared" si="196"/>
        <v>0.73514918836805487</v>
      </c>
      <c r="Q206" s="158">
        <f t="shared" si="197"/>
        <v>0.54337113922856239</v>
      </c>
      <c r="R206" s="50">
        <f t="shared" si="198"/>
        <v>0.4155191064689005</v>
      </c>
      <c r="S206" s="50">
        <f t="shared" si="199"/>
        <v>0.31963008189915432</v>
      </c>
      <c r="T206" s="50">
        <f t="shared" si="200"/>
        <v>0.3515930900890698</v>
      </c>
      <c r="V206" s="267">
        <f t="shared" ref="V206:AA206" si="286">V138</f>
        <v>231.03600957044338</v>
      </c>
      <c r="W206" s="267">
        <f t="shared" si="286"/>
        <v>114.55878054619848</v>
      </c>
      <c r="X206" s="267">
        <f t="shared" si="286"/>
        <v>73.449170302347355</v>
      </c>
      <c r="Y206" s="267">
        <f t="shared" si="286"/>
        <v>46.042763473113254</v>
      </c>
      <c r="Z206" s="267">
        <f t="shared" si="286"/>
        <v>25.4879583511877</v>
      </c>
      <c r="AA206" s="267">
        <f t="shared" si="286"/>
        <v>32.339560058496232</v>
      </c>
      <c r="AC206" s="31">
        <f t="shared" si="206"/>
        <v>1.0051494124864981</v>
      </c>
      <c r="AD206" s="31">
        <f t="shared" si="179"/>
        <v>0.49840148804194079</v>
      </c>
      <c r="AE206" s="158">
        <f t="shared" si="180"/>
        <v>0.3195492794144501</v>
      </c>
      <c r="AF206" s="31">
        <f t="shared" si="181"/>
        <v>0.20031447366278959</v>
      </c>
      <c r="AG206" s="31">
        <f t="shared" si="182"/>
        <v>0.11088836934904425</v>
      </c>
      <c r="AH206" s="31">
        <f t="shared" si="183"/>
        <v>0.14069707078695945</v>
      </c>
      <c r="AJ206" s="31">
        <f t="shared" ref="AJ206:AO206" si="287">AJ138</f>
        <v>165.21159612607883</v>
      </c>
      <c r="AK206" s="31">
        <f t="shared" si="287"/>
        <v>72.693102295474688</v>
      </c>
      <c r="AL206" s="31">
        <f t="shared" si="287"/>
        <v>40.039516237614414</v>
      </c>
      <c r="AM206" s="31">
        <f t="shared" si="287"/>
        <v>18.270458865707546</v>
      </c>
      <c r="AN206" s="31">
        <f t="shared" si="287"/>
        <v>1.9436658367774151</v>
      </c>
      <c r="AO206" s="31">
        <f t="shared" si="287"/>
        <v>7.385930179754137</v>
      </c>
      <c r="AQ206" s="31">
        <f t="shared" si="224"/>
        <v>0.71877253719382628</v>
      </c>
      <c r="AR206" s="31">
        <f t="shared" si="185"/>
        <v>0.31625991636528361</v>
      </c>
      <c r="AS206" s="158">
        <f t="shared" si="186"/>
        <v>0.17419663842579799</v>
      </c>
      <c r="AT206" s="31">
        <f t="shared" si="187"/>
        <v>7.9487786466140825E-2</v>
      </c>
      <c r="AU206" s="31">
        <f t="shared" si="188"/>
        <v>8.456147496398031E-3</v>
      </c>
      <c r="AV206" s="31">
        <f t="shared" si="189"/>
        <v>3.2133360486312344E-2</v>
      </c>
    </row>
    <row r="207" spans="1:48">
      <c r="A207" s="10">
        <v>2050</v>
      </c>
      <c r="B207" s="9">
        <f>Fig1_future_Kaya!L64</f>
        <v>1114637.9880061594</v>
      </c>
      <c r="C207" s="30">
        <f>Fig1_future_Kaya!T64</f>
        <v>3.7370544720376229</v>
      </c>
      <c r="D207" s="9">
        <f>Fig1_future_Kaya!AR64</f>
        <v>0.30602715596330221</v>
      </c>
      <c r="E207" s="9">
        <f>Fig1_future_Kaya!AS64</f>
        <v>9.9601556753614498E-2</v>
      </c>
      <c r="F207" s="9">
        <f>Fig1_future_Kaya!AT64</f>
        <v>0</v>
      </c>
      <c r="H207" s="266">
        <f t="shared" ref="H207:M207" si="288">H139</f>
        <v>293.87097179105825</v>
      </c>
      <c r="I207" s="266">
        <f t="shared" si="288"/>
        <v>168.97580877985848</v>
      </c>
      <c r="J207" s="266">
        <f t="shared" si="288"/>
        <v>124.89516301119976</v>
      </c>
      <c r="K207" s="266">
        <f t="shared" si="288"/>
        <v>95.508065832093919</v>
      </c>
      <c r="L207" s="266">
        <f t="shared" si="288"/>
        <v>73.467742947764563</v>
      </c>
      <c r="M207" s="266">
        <f t="shared" si="288"/>
        <v>80.814517242541029</v>
      </c>
      <c r="N207" s="264"/>
      <c r="O207" s="50">
        <f t="shared" si="204"/>
        <v>1.2241086238532088</v>
      </c>
      <c r="P207" s="50">
        <f t="shared" si="196"/>
        <v>0.70386245871559505</v>
      </c>
      <c r="Q207" s="158">
        <f t="shared" si="197"/>
        <v>0.52024616513761368</v>
      </c>
      <c r="R207" s="50">
        <f t="shared" si="198"/>
        <v>0.39783530275229279</v>
      </c>
      <c r="S207" s="50">
        <f t="shared" si="199"/>
        <v>0.30602715596330221</v>
      </c>
      <c r="T207" s="50">
        <f t="shared" si="200"/>
        <v>0.33662987155963248</v>
      </c>
      <c r="V207" s="267">
        <f t="shared" ref="V207:AA207" si="289">V139</f>
        <v>228.86512592762847</v>
      </c>
      <c r="W207" s="267">
        <f t="shared" si="289"/>
        <v>112.72461426286178</v>
      </c>
      <c r="X207" s="267">
        <f t="shared" si="289"/>
        <v>71.733845440002966</v>
      </c>
      <c r="Y207" s="267">
        <f t="shared" si="289"/>
        <v>44.406666224763725</v>
      </c>
      <c r="Z207" s="267">
        <f t="shared" si="289"/>
        <v>23.91128181333432</v>
      </c>
      <c r="AA207" s="267">
        <f t="shared" si="289"/>
        <v>30.743076617144133</v>
      </c>
      <c r="AC207" s="31">
        <f t="shared" si="206"/>
        <v>0.95332918607031014</v>
      </c>
      <c r="AD207" s="31">
        <f t="shared" si="179"/>
        <v>0.46955019612418258</v>
      </c>
      <c r="AE207" s="158">
        <f t="shared" si="180"/>
        <v>0.29880467026084351</v>
      </c>
      <c r="AF207" s="31">
        <f t="shared" si="181"/>
        <v>0.18497431968528402</v>
      </c>
      <c r="AG207" s="31">
        <f t="shared" si="182"/>
        <v>9.9601556753614498E-2</v>
      </c>
      <c r="AH207" s="31">
        <f t="shared" si="183"/>
        <v>0.12805914439750438</v>
      </c>
      <c r="AJ207" s="31">
        <f t="shared" ref="AJ207:AO207" si="290">AJ139</f>
        <v>160.98251834714171</v>
      </c>
      <c r="AK207" s="31">
        <f t="shared" si="290"/>
        <v>69.759091283761393</v>
      </c>
      <c r="AL207" s="31">
        <f t="shared" si="290"/>
        <v>37.562587614333069</v>
      </c>
      <c r="AM207" s="31">
        <f t="shared" si="290"/>
        <v>16.098251834714162</v>
      </c>
      <c r="AN207" s="31">
        <f t="shared" si="290"/>
        <v>0</v>
      </c>
      <c r="AO207" s="31">
        <f t="shared" si="290"/>
        <v>5.3660839449047311</v>
      </c>
      <c r="AQ207" s="31">
        <f t="shared" si="224"/>
        <v>0.67056670414678776</v>
      </c>
      <c r="AR207" s="31">
        <f t="shared" si="185"/>
        <v>0.29057890513027468</v>
      </c>
      <c r="AS207" s="158">
        <f>($B207*$C207*AL207)/10^9</f>
        <v>0.15646556430091715</v>
      </c>
      <c r="AT207" s="31">
        <f t="shared" si="187"/>
        <v>6.7056670414678735E-2</v>
      </c>
      <c r="AU207" s="31">
        <f t="shared" si="188"/>
        <v>0</v>
      </c>
      <c r="AV207" s="31">
        <f>($B207*$C207*AO207)/10^9</f>
        <v>2.2352223471559626E-2</v>
      </c>
    </row>
  </sheetData>
  <mergeCells count="48">
    <mergeCell ref="AC76:AH76"/>
    <mergeCell ref="AJ76:AO76"/>
    <mergeCell ref="H8:M8"/>
    <mergeCell ref="V8:AA8"/>
    <mergeCell ref="AJ8:AO8"/>
    <mergeCell ref="H9:M9"/>
    <mergeCell ref="O8:T8"/>
    <mergeCell ref="O9:T9"/>
    <mergeCell ref="AC8:AH8"/>
    <mergeCell ref="AC9:AH9"/>
    <mergeCell ref="V9:AA9"/>
    <mergeCell ref="H144:M144"/>
    <mergeCell ref="O144:T144"/>
    <mergeCell ref="V144:AA144"/>
    <mergeCell ref="AC144:AH144"/>
    <mergeCell ref="AJ144:AO144"/>
    <mergeCell ref="B6:AV7"/>
    <mergeCell ref="AQ76:AV76"/>
    <mergeCell ref="AQ77:AV77"/>
    <mergeCell ref="B74:AV75"/>
    <mergeCell ref="B142:AV143"/>
    <mergeCell ref="H77:M77"/>
    <mergeCell ref="O77:T77"/>
    <mergeCell ref="V77:AA77"/>
    <mergeCell ref="AC77:AH77"/>
    <mergeCell ref="AJ77:AO77"/>
    <mergeCell ref="AQ8:AV8"/>
    <mergeCell ref="AQ9:AV9"/>
    <mergeCell ref="AJ9:AO9"/>
    <mergeCell ref="H76:M76"/>
    <mergeCell ref="O76:T76"/>
    <mergeCell ref="V76:AA76"/>
    <mergeCell ref="D77:F77"/>
    <mergeCell ref="D144:F144"/>
    <mergeCell ref="D145:F145"/>
    <mergeCell ref="AY6:BD8"/>
    <mergeCell ref="AY9:BD9"/>
    <mergeCell ref="AY45:BB45"/>
    <mergeCell ref="D8:F8"/>
    <mergeCell ref="D9:F9"/>
    <mergeCell ref="D76:F76"/>
    <mergeCell ref="AQ144:AV144"/>
    <mergeCell ref="H145:M145"/>
    <mergeCell ref="O145:T145"/>
    <mergeCell ref="V145:AA145"/>
    <mergeCell ref="AC145:AH145"/>
    <mergeCell ref="AJ145:AO145"/>
    <mergeCell ref="AQ145:AV1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C225-0A85-6045-948E-3A9CAF28A297}">
  <dimension ref="A1:S76"/>
  <sheetViews>
    <sheetView workbookViewId="0">
      <selection activeCell="J3" sqref="J3:J5"/>
    </sheetView>
  </sheetViews>
  <sheetFormatPr baseColWidth="10" defaultRowHeight="16"/>
  <cols>
    <col min="5" max="5" width="14.1640625" bestFit="1" customWidth="1"/>
    <col min="9" max="9" width="14.1640625" bestFit="1" customWidth="1"/>
  </cols>
  <sheetData>
    <row r="1" spans="1:10">
      <c r="B1" s="23" t="s">
        <v>121</v>
      </c>
      <c r="D1" s="340" t="s">
        <v>122</v>
      </c>
      <c r="E1" s="340"/>
      <c r="F1" s="340"/>
      <c r="H1" s="343" t="s">
        <v>126</v>
      </c>
      <c r="I1" s="343"/>
      <c r="J1" s="343"/>
    </row>
    <row r="2" spans="1:10">
      <c r="D2" t="s">
        <v>123</v>
      </c>
      <c r="E2" t="s">
        <v>124</v>
      </c>
      <c r="F2" t="s">
        <v>125</v>
      </c>
      <c r="H2" t="s">
        <v>123</v>
      </c>
      <c r="I2" t="s">
        <v>124</v>
      </c>
      <c r="J2" t="s">
        <v>125</v>
      </c>
    </row>
    <row r="3" spans="1:10">
      <c r="A3">
        <v>2019</v>
      </c>
      <c r="B3" s="9">
        <f>Fig1_historical_Kaya!$L33</f>
        <v>73.467742947764577</v>
      </c>
      <c r="F3" s="50">
        <f>Fig1_historical_Kaya!$L33</f>
        <v>73.467742947764577</v>
      </c>
      <c r="J3" s="50">
        <f>Fig1_historical_Kaya!$L33</f>
        <v>73.467742947764577</v>
      </c>
    </row>
    <row r="4" spans="1:10">
      <c r="A4">
        <v>2020</v>
      </c>
      <c r="B4" s="9">
        <f>Fig1_historical_Kaya!$L34</f>
        <v>73.467742947764592</v>
      </c>
      <c r="F4" s="50">
        <f>Fig1_historical_Kaya!$L34</f>
        <v>73.467742947764592</v>
      </c>
      <c r="J4" s="50">
        <f>Fig1_historical_Kaya!$L34</f>
        <v>73.467742947764592</v>
      </c>
    </row>
    <row r="5" spans="1:10" s="36" customFormat="1">
      <c r="A5" s="36">
        <v>2021</v>
      </c>
      <c r="B5" s="37">
        <f>Fig1_historical_Kaya!$L35</f>
        <v>73.467742947764563</v>
      </c>
      <c r="F5" s="284">
        <f>Fig1_historical_Kaya!$L35</f>
        <v>73.467742947764563</v>
      </c>
      <c r="J5" s="284">
        <f>Fig1_historical_Kaya!$L35</f>
        <v>73.467742947764563</v>
      </c>
    </row>
    <row r="6" spans="1:10">
      <c r="A6">
        <v>2022</v>
      </c>
      <c r="B6" s="9">
        <f>$B$5</f>
        <v>73.467742947764563</v>
      </c>
      <c r="D6" s="9">
        <f>($B$39*$B$6*K48)</f>
        <v>39.613806997434651</v>
      </c>
      <c r="E6" s="9">
        <f>$C$40*$B$6*F48</f>
        <v>33.853935950329912</v>
      </c>
      <c r="F6" s="50">
        <f>SUM(D6:E6)</f>
        <v>73.467742947764563</v>
      </c>
      <c r="H6" s="9">
        <f>$B$39*$B$6*R48</f>
        <v>39.613806997434651</v>
      </c>
      <c r="I6" s="9">
        <f>$C$40*$B$6*N48</f>
        <v>33.853935950329912</v>
      </c>
      <c r="J6" s="50">
        <f>SUM(H6:I6)</f>
        <v>73.467742947764563</v>
      </c>
    </row>
    <row r="7" spans="1:10">
      <c r="A7">
        <v>2023</v>
      </c>
      <c r="B7" s="9">
        <f t="shared" ref="B7:B34" si="0">$B$5</f>
        <v>73.467742947764563</v>
      </c>
      <c r="D7" s="9">
        <f t="shared" ref="D7:D33" si="1">($B$39*$B$6*K49)</f>
        <v>39.349714950785085</v>
      </c>
      <c r="E7" s="9">
        <f t="shared" ref="E7:E33" si="2">$C$40*$B$6*F49</f>
        <v>33.628243043994381</v>
      </c>
      <c r="F7" s="50">
        <f t="shared" ref="F7:F34" si="3">SUM(D7:E7)</f>
        <v>72.977957994779473</v>
      </c>
      <c r="H7" s="9">
        <f t="shared" ref="H7:H33" si="4">$B$39*$B$6*R49</f>
        <v>38.199028176097698</v>
      </c>
      <c r="I7" s="9">
        <f t="shared" ref="I7:I33" si="5">$C$40*$B$6*N49</f>
        <v>32.6448668092467</v>
      </c>
      <c r="J7" s="50">
        <f t="shared" ref="J7:J34" si="6">SUM(H7:I7)</f>
        <v>70.843894985344406</v>
      </c>
    </row>
    <row r="8" spans="1:10">
      <c r="A8">
        <v>2024</v>
      </c>
      <c r="B8" s="9">
        <f t="shared" si="0"/>
        <v>73.467742947764563</v>
      </c>
      <c r="D8" s="9">
        <f t="shared" si="1"/>
        <v>39.085622904135526</v>
      </c>
      <c r="E8" s="9">
        <f t="shared" si="2"/>
        <v>33.402550137658849</v>
      </c>
      <c r="F8" s="50">
        <f t="shared" si="3"/>
        <v>72.488173041794369</v>
      </c>
      <c r="H8" s="9">
        <f t="shared" si="4"/>
        <v>36.784249354760746</v>
      </c>
      <c r="I8" s="9">
        <f t="shared" si="5"/>
        <v>31.435797668163492</v>
      </c>
      <c r="J8" s="50">
        <f t="shared" si="6"/>
        <v>68.220047022924234</v>
      </c>
    </row>
    <row r="9" spans="1:10">
      <c r="A9">
        <v>2025</v>
      </c>
      <c r="B9" s="9">
        <f t="shared" si="0"/>
        <v>73.467742947764563</v>
      </c>
      <c r="D9" s="9">
        <f t="shared" si="1"/>
        <v>38.627423203198525</v>
      </c>
      <c r="E9" s="9">
        <f t="shared" si="2"/>
        <v>33.176857231323311</v>
      </c>
      <c r="F9" s="50">
        <f t="shared" si="3"/>
        <v>71.804280434521843</v>
      </c>
      <c r="H9" s="9">
        <f t="shared" si="4"/>
        <v>34.689288407781028</v>
      </c>
      <c r="I9" s="9">
        <f t="shared" si="5"/>
        <v>30.226728527080279</v>
      </c>
      <c r="J9" s="50">
        <f t="shared" si="6"/>
        <v>64.916016934861304</v>
      </c>
    </row>
    <row r="10" spans="1:10">
      <c r="A10">
        <v>2026</v>
      </c>
      <c r="B10" s="9">
        <f t="shared" si="0"/>
        <v>73.467742947764563</v>
      </c>
      <c r="D10" s="9">
        <f t="shared" si="1"/>
        <v>38.18232246777535</v>
      </c>
      <c r="E10" s="9">
        <f t="shared" si="2"/>
        <v>32.9601920412412</v>
      </c>
      <c r="F10" s="50">
        <f t="shared" si="3"/>
        <v>71.14251450901655</v>
      </c>
      <c r="H10" s="9">
        <f t="shared" si="4"/>
        <v>32.648742030852738</v>
      </c>
      <c r="I10" s="9">
        <f t="shared" si="5"/>
        <v>29.017659385997071</v>
      </c>
      <c r="J10" s="50">
        <f t="shared" si="6"/>
        <v>61.666401416849808</v>
      </c>
    </row>
    <row r="11" spans="1:10">
      <c r="A11">
        <v>2027</v>
      </c>
      <c r="B11" s="9">
        <f t="shared" si="0"/>
        <v>73.467742947764563</v>
      </c>
      <c r="D11" s="9">
        <f t="shared" si="1"/>
        <v>37.739757016000013</v>
      </c>
      <c r="E11" s="9">
        <f t="shared" si="2"/>
        <v>32.743526851159089</v>
      </c>
      <c r="F11" s="50">
        <f t="shared" si="3"/>
        <v>70.483283867159102</v>
      </c>
      <c r="H11" s="9">
        <f t="shared" si="4"/>
        <v>30.662610223975857</v>
      </c>
      <c r="I11" s="9">
        <f t="shared" si="5"/>
        <v>27.808590244913855</v>
      </c>
      <c r="J11" s="50">
        <f t="shared" si="6"/>
        <v>58.471200468889712</v>
      </c>
    </row>
    <row r="12" spans="1:10">
      <c r="A12">
        <v>2028</v>
      </c>
      <c r="B12" s="9">
        <f t="shared" si="0"/>
        <v>73.467742947764563</v>
      </c>
      <c r="D12" s="9">
        <f t="shared" si="1"/>
        <v>37.299726847872506</v>
      </c>
      <c r="E12" s="9">
        <f t="shared" si="2"/>
        <v>32.526861661076978</v>
      </c>
      <c r="F12" s="50">
        <f t="shared" si="3"/>
        <v>69.826588508949484</v>
      </c>
      <c r="H12" s="9">
        <f t="shared" si="4"/>
        <v>28.730892987150408</v>
      </c>
      <c r="I12" s="9">
        <f t="shared" si="5"/>
        <v>26.59952110383065</v>
      </c>
      <c r="J12" s="50">
        <f t="shared" si="6"/>
        <v>55.330414090981058</v>
      </c>
    </row>
    <row r="13" spans="1:10">
      <c r="A13">
        <v>2029</v>
      </c>
      <c r="B13" s="9">
        <f t="shared" si="0"/>
        <v>73.467742947764563</v>
      </c>
      <c r="D13" s="9">
        <f t="shared" si="1"/>
        <v>36.862231963392837</v>
      </c>
      <c r="E13" s="9">
        <f t="shared" si="2"/>
        <v>32.310196470994867</v>
      </c>
      <c r="F13" s="50">
        <f t="shared" si="3"/>
        <v>69.172428434387712</v>
      </c>
      <c r="H13" s="9">
        <f t="shared" si="4"/>
        <v>26.853590320376377</v>
      </c>
      <c r="I13" s="9">
        <f t="shared" si="5"/>
        <v>25.390451962747434</v>
      </c>
      <c r="J13" s="50">
        <f t="shared" si="6"/>
        <v>52.244042283123811</v>
      </c>
    </row>
    <row r="14" spans="1:10">
      <c r="A14">
        <v>2030</v>
      </c>
      <c r="B14" s="9">
        <f t="shared" si="0"/>
        <v>73.467742947764563</v>
      </c>
      <c r="D14" s="9">
        <f t="shared" si="1"/>
        <v>36.427272362561006</v>
      </c>
      <c r="E14" s="9">
        <f t="shared" si="2"/>
        <v>32.093531280912757</v>
      </c>
      <c r="F14" s="50">
        <f t="shared" si="3"/>
        <v>68.520803643473755</v>
      </c>
      <c r="H14" s="9">
        <f t="shared" si="4"/>
        <v>25.030702223653766</v>
      </c>
      <c r="I14" s="9">
        <f t="shared" si="5"/>
        <v>24.181382821664226</v>
      </c>
      <c r="J14" s="50">
        <f t="shared" si="6"/>
        <v>49.212085045317991</v>
      </c>
    </row>
    <row r="15" spans="1:10">
      <c r="A15">
        <v>2031</v>
      </c>
      <c r="B15" s="9">
        <f t="shared" si="0"/>
        <v>73.467742947764563</v>
      </c>
      <c r="D15" s="9">
        <f t="shared" si="1"/>
        <v>35.337338076833589</v>
      </c>
      <c r="E15" s="9">
        <f t="shared" si="2"/>
        <v>31.294578392484972</v>
      </c>
      <c r="F15" s="50">
        <f t="shared" si="3"/>
        <v>66.631916469318554</v>
      </c>
      <c r="H15" s="9">
        <f t="shared" si="4"/>
        <v>23.262228696982575</v>
      </c>
      <c r="I15" s="9">
        <f t="shared" si="5"/>
        <v>22.972313680581014</v>
      </c>
      <c r="J15" s="50">
        <f t="shared" si="6"/>
        <v>46.234542377563585</v>
      </c>
    </row>
    <row r="16" spans="1:10">
      <c r="A16">
        <v>2032</v>
      </c>
      <c r="B16" s="9">
        <f t="shared" si="0"/>
        <v>73.467742947764563</v>
      </c>
      <c r="D16" s="9">
        <f t="shared" si="1"/>
        <v>34.256752649557569</v>
      </c>
      <c r="E16" s="9">
        <f t="shared" si="2"/>
        <v>30.495625504057188</v>
      </c>
      <c r="F16" s="50">
        <f t="shared" si="3"/>
        <v>64.752378153614757</v>
      </c>
      <c r="H16" s="9">
        <f t="shared" si="4"/>
        <v>21.548169740362813</v>
      </c>
      <c r="I16" s="9">
        <f t="shared" si="5"/>
        <v>21.763244539497805</v>
      </c>
      <c r="J16" s="50">
        <f t="shared" si="6"/>
        <v>43.311414279860614</v>
      </c>
    </row>
    <row r="17" spans="1:10">
      <c r="A17">
        <v>2033</v>
      </c>
      <c r="B17" s="9">
        <f t="shared" si="0"/>
        <v>73.467742947764563</v>
      </c>
      <c r="D17" s="9">
        <f t="shared" si="1"/>
        <v>33.185516080732938</v>
      </c>
      <c r="E17" s="9">
        <f t="shared" si="2"/>
        <v>29.696672615629399</v>
      </c>
      <c r="F17" s="50">
        <f t="shared" si="3"/>
        <v>62.882188696362334</v>
      </c>
      <c r="H17" s="9">
        <f t="shared" si="4"/>
        <v>19.888525353794456</v>
      </c>
      <c r="I17" s="9">
        <f t="shared" si="5"/>
        <v>20.554175398414593</v>
      </c>
      <c r="J17" s="50">
        <f t="shared" si="6"/>
        <v>40.442700752209049</v>
      </c>
    </row>
    <row r="18" spans="1:10">
      <c r="A18">
        <v>2034</v>
      </c>
      <c r="B18" s="9">
        <f t="shared" si="0"/>
        <v>73.467742947764563</v>
      </c>
      <c r="D18" s="9">
        <f t="shared" si="1"/>
        <v>32.123628370359704</v>
      </c>
      <c r="E18" s="9">
        <f t="shared" si="2"/>
        <v>28.897719727201611</v>
      </c>
      <c r="F18" s="50">
        <f t="shared" si="3"/>
        <v>61.021348097561315</v>
      </c>
      <c r="H18" s="9">
        <f t="shared" si="4"/>
        <v>18.283295537277535</v>
      </c>
      <c r="I18" s="9">
        <f t="shared" si="5"/>
        <v>19.345106257331384</v>
      </c>
      <c r="J18" s="50">
        <f t="shared" si="6"/>
        <v>37.628401794608919</v>
      </c>
    </row>
    <row r="19" spans="1:10">
      <c r="A19">
        <v>2035</v>
      </c>
      <c r="B19" s="9">
        <f t="shared" si="0"/>
        <v>73.467742947764563</v>
      </c>
      <c r="D19" s="9">
        <f t="shared" si="1"/>
        <v>31.071089518437873</v>
      </c>
      <c r="E19" s="9">
        <f t="shared" si="2"/>
        <v>28.098766838773827</v>
      </c>
      <c r="F19" s="50">
        <f t="shared" si="3"/>
        <v>59.1698563572117</v>
      </c>
      <c r="H19" s="9">
        <f t="shared" si="4"/>
        <v>16.732480290812031</v>
      </c>
      <c r="I19" s="9">
        <f t="shared" si="5"/>
        <v>18.136037116248172</v>
      </c>
      <c r="J19" s="50">
        <f>SUM(H19:I19)</f>
        <v>34.868517407060203</v>
      </c>
    </row>
    <row r="20" spans="1:10">
      <c r="A20">
        <v>2036</v>
      </c>
      <c r="B20" s="9">
        <f t="shared" si="0"/>
        <v>73.467742947764563</v>
      </c>
      <c r="D20" s="9">
        <f t="shared" si="1"/>
        <v>29.268265161984619</v>
      </c>
      <c r="E20" s="9">
        <f t="shared" si="2"/>
        <v>26.609193656959313</v>
      </c>
      <c r="F20" s="50">
        <f t="shared" si="3"/>
        <v>55.877458818943936</v>
      </c>
      <c r="H20" s="9">
        <f t="shared" si="4"/>
        <v>15.23607961439795</v>
      </c>
      <c r="I20" s="9">
        <f t="shared" si="5"/>
        <v>16.926967975164963</v>
      </c>
      <c r="J20" s="50">
        <f t="shared" si="6"/>
        <v>32.163047589562915</v>
      </c>
    </row>
    <row r="21" spans="1:10">
      <c r="A21">
        <v>2037</v>
      </c>
      <c r="B21" s="9">
        <f t="shared" si="0"/>
        <v>73.467742947764563</v>
      </c>
      <c r="D21" s="9">
        <f t="shared" si="1"/>
        <v>27.482870880610239</v>
      </c>
      <c r="E21" s="9">
        <f t="shared" si="2"/>
        <v>25.119620475144796</v>
      </c>
      <c r="F21" s="50">
        <f t="shared" si="3"/>
        <v>52.602491355755035</v>
      </c>
      <c r="H21" s="9">
        <f t="shared" si="4"/>
        <v>13.794093508035283</v>
      </c>
      <c r="I21" s="9">
        <f t="shared" si="5"/>
        <v>15.717898834081749</v>
      </c>
      <c r="J21" s="50">
        <f t="shared" si="6"/>
        <v>29.511992342117033</v>
      </c>
    </row>
    <row r="22" spans="1:10">
      <c r="A22">
        <v>2038</v>
      </c>
      <c r="B22" s="9">
        <f t="shared" si="0"/>
        <v>73.467742947764563</v>
      </c>
      <c r="D22" s="9">
        <f t="shared" si="1"/>
        <v>25.714906674314729</v>
      </c>
      <c r="E22" s="9">
        <f t="shared" si="2"/>
        <v>23.630047293330279</v>
      </c>
      <c r="F22" s="50">
        <f t="shared" si="3"/>
        <v>49.344953967645012</v>
      </c>
      <c r="H22" s="9">
        <f t="shared" si="4"/>
        <v>12.406521971724043</v>
      </c>
      <c r="I22" s="9">
        <f t="shared" si="5"/>
        <v>14.508829692998539</v>
      </c>
      <c r="J22" s="50">
        <f t="shared" si="6"/>
        <v>26.915351664722582</v>
      </c>
    </row>
    <row r="23" spans="1:10">
      <c r="A23">
        <v>2039</v>
      </c>
      <c r="B23" s="9">
        <f t="shared" si="0"/>
        <v>73.467742947764563</v>
      </c>
      <c r="D23" s="9">
        <f t="shared" si="1"/>
        <v>23.964372543098097</v>
      </c>
      <c r="E23" s="9">
        <f t="shared" si="2"/>
        <v>22.140474111515765</v>
      </c>
      <c r="F23" s="50">
        <f t="shared" si="3"/>
        <v>46.104846654613866</v>
      </c>
      <c r="H23" s="9">
        <f t="shared" si="4"/>
        <v>11.073365005464225</v>
      </c>
      <c r="I23" s="9">
        <f t="shared" si="5"/>
        <v>13.299760551915329</v>
      </c>
      <c r="J23" s="50">
        <f t="shared" si="6"/>
        <v>24.373125557379552</v>
      </c>
    </row>
    <row r="24" spans="1:10">
      <c r="A24">
        <v>2040</v>
      </c>
      <c r="B24" s="9">
        <f t="shared" si="0"/>
        <v>73.467742947764563</v>
      </c>
      <c r="D24" s="9">
        <f t="shared" si="1"/>
        <v>22.231268486960328</v>
      </c>
      <c r="E24" s="9">
        <f t="shared" si="2"/>
        <v>20.650900929701248</v>
      </c>
      <c r="F24" s="50">
        <f t="shared" si="3"/>
        <v>42.882169416661576</v>
      </c>
      <c r="H24" s="9">
        <f t="shared" si="4"/>
        <v>9.7946226092558266</v>
      </c>
      <c r="I24" s="9">
        <f t="shared" si="5"/>
        <v>12.090691410832118</v>
      </c>
      <c r="J24" s="50">
        <f t="shared" si="6"/>
        <v>21.885314020087947</v>
      </c>
    </row>
    <row r="25" spans="1:10">
      <c r="A25">
        <v>2041</v>
      </c>
      <c r="B25" s="9">
        <f t="shared" si="0"/>
        <v>73.467742947764563</v>
      </c>
      <c r="D25" s="9">
        <f t="shared" si="1"/>
        <v>21.023047373538567</v>
      </c>
      <c r="E25" s="9">
        <f t="shared" si="2"/>
        <v>19.635282851191349</v>
      </c>
      <c r="F25" s="50">
        <f t="shared" si="3"/>
        <v>40.658330224729916</v>
      </c>
      <c r="H25" s="9">
        <f t="shared" si="4"/>
        <v>8.5702947830988485</v>
      </c>
      <c r="I25" s="9">
        <f t="shared" si="5"/>
        <v>10.881622269748906</v>
      </c>
      <c r="J25" s="50">
        <f t="shared" si="6"/>
        <v>19.451917052847755</v>
      </c>
    </row>
    <row r="26" spans="1:10">
      <c r="A26">
        <v>2042</v>
      </c>
      <c r="B26" s="9">
        <f t="shared" si="0"/>
        <v>73.467742947764563</v>
      </c>
      <c r="D26" s="9">
        <f t="shared" si="1"/>
        <v>19.82671040221604</v>
      </c>
      <c r="E26" s="9">
        <f t="shared" si="2"/>
        <v>18.61966477268145</v>
      </c>
      <c r="F26" s="50">
        <f t="shared" si="3"/>
        <v>38.44637517489749</v>
      </c>
      <c r="H26" s="9">
        <f t="shared" si="4"/>
        <v>7.4003815269932929</v>
      </c>
      <c r="I26" s="9">
        <f t="shared" si="5"/>
        <v>9.6725531286656956</v>
      </c>
      <c r="J26" s="50">
        <f t="shared" si="6"/>
        <v>17.07293465565899</v>
      </c>
    </row>
    <row r="27" spans="1:10">
      <c r="A27">
        <v>2043</v>
      </c>
      <c r="B27" s="9">
        <f t="shared" si="0"/>
        <v>73.467742947764563</v>
      </c>
      <c r="D27" s="9">
        <f t="shared" si="1"/>
        <v>18.64225757299274</v>
      </c>
      <c r="E27" s="9">
        <f t="shared" si="2"/>
        <v>17.604046694171551</v>
      </c>
      <c r="F27" s="50">
        <f t="shared" si="3"/>
        <v>36.246304267164291</v>
      </c>
      <c r="H27" s="9">
        <f t="shared" si="4"/>
        <v>6.2848828409391588</v>
      </c>
      <c r="I27" s="9">
        <f t="shared" si="5"/>
        <v>8.4634839875824852</v>
      </c>
      <c r="J27" s="50">
        <f t="shared" si="6"/>
        <v>14.748366828521643</v>
      </c>
    </row>
    <row r="28" spans="1:10">
      <c r="A28">
        <v>2044</v>
      </c>
      <c r="B28" s="9">
        <f t="shared" si="0"/>
        <v>73.467742947764563</v>
      </c>
      <c r="D28" s="9">
        <f t="shared" si="1"/>
        <v>17.469688885868678</v>
      </c>
      <c r="E28" s="9">
        <f t="shared" si="2"/>
        <v>16.588428615661652</v>
      </c>
      <c r="F28" s="50">
        <f t="shared" si="3"/>
        <v>34.058117501530333</v>
      </c>
      <c r="H28" s="9">
        <f t="shared" si="4"/>
        <v>5.2237987249364446</v>
      </c>
      <c r="I28" s="9">
        <f t="shared" si="5"/>
        <v>7.2544148464992748</v>
      </c>
      <c r="J28" s="50">
        <f t="shared" si="6"/>
        <v>12.47821357143572</v>
      </c>
    </row>
    <row r="29" spans="1:10">
      <c r="A29">
        <v>2045</v>
      </c>
      <c r="B29" s="9">
        <f t="shared" si="0"/>
        <v>73.467742947764563</v>
      </c>
      <c r="D29" s="9">
        <f t="shared" si="1"/>
        <v>16.309004340843842</v>
      </c>
      <c r="E29" s="9">
        <f t="shared" si="2"/>
        <v>15.572810537151758</v>
      </c>
      <c r="F29" s="50">
        <f t="shared" si="3"/>
        <v>31.881814877995602</v>
      </c>
      <c r="H29" s="9">
        <f t="shared" si="4"/>
        <v>4.2171291789851511</v>
      </c>
      <c r="I29" s="9">
        <f t="shared" si="5"/>
        <v>6.0453457054160644</v>
      </c>
      <c r="J29" s="50">
        <f t="shared" si="6"/>
        <v>10.262474884401215</v>
      </c>
    </row>
    <row r="30" spans="1:10">
      <c r="A30">
        <v>2046</v>
      </c>
      <c r="B30" s="9">
        <f t="shared" si="0"/>
        <v>73.467742947764563</v>
      </c>
      <c r="D30" s="9">
        <f t="shared" si="1"/>
        <v>15.442254243739971</v>
      </c>
      <c r="E30" s="9">
        <f t="shared" si="2"/>
        <v>14.8280239462445</v>
      </c>
      <c r="F30" s="50">
        <f t="shared" si="3"/>
        <v>30.27027818998447</v>
      </c>
      <c r="H30" s="9">
        <f t="shared" si="4"/>
        <v>3.2648742030852804</v>
      </c>
      <c r="I30" s="9">
        <f t="shared" si="5"/>
        <v>4.836276564332854</v>
      </c>
      <c r="J30" s="50">
        <f t="shared" si="6"/>
        <v>8.1011507674181349</v>
      </c>
    </row>
    <row r="31" spans="1:10">
      <c r="A31">
        <v>2047</v>
      </c>
      <c r="B31" s="9">
        <f t="shared" si="0"/>
        <v>73.467742947764563</v>
      </c>
      <c r="D31" s="9">
        <f t="shared" si="1"/>
        <v>14.584219184175536</v>
      </c>
      <c r="E31" s="9">
        <f t="shared" si="2"/>
        <v>14.083237355337241</v>
      </c>
      <c r="F31" s="50">
        <f t="shared" si="3"/>
        <v>28.667456539512777</v>
      </c>
      <c r="H31" s="9">
        <f t="shared" si="4"/>
        <v>2.3670337972368305</v>
      </c>
      <c r="I31" s="9">
        <f t="shared" si="5"/>
        <v>3.6272074232496432</v>
      </c>
      <c r="J31" s="50">
        <f t="shared" si="6"/>
        <v>5.9942412204864741</v>
      </c>
    </row>
    <row r="32" spans="1:10">
      <c r="A32">
        <v>2048</v>
      </c>
      <c r="B32" s="9">
        <f t="shared" si="0"/>
        <v>73.467742947764563</v>
      </c>
      <c r="D32" s="9">
        <f t="shared" si="1"/>
        <v>13.734899162150537</v>
      </c>
      <c r="E32" s="9">
        <f t="shared" si="2"/>
        <v>13.338450764429982</v>
      </c>
      <c r="F32" s="50">
        <f t="shared" si="3"/>
        <v>27.073349926580519</v>
      </c>
      <c r="H32" s="9">
        <f t="shared" si="4"/>
        <v>1.5236079614398013</v>
      </c>
      <c r="I32" s="9">
        <f t="shared" si="5"/>
        <v>2.4181382821664323</v>
      </c>
      <c r="J32" s="50">
        <f t="shared" si="6"/>
        <v>3.9417462436062336</v>
      </c>
    </row>
    <row r="33" spans="1:19">
      <c r="A33">
        <v>2049</v>
      </c>
      <c r="B33" s="9">
        <f t="shared" si="0"/>
        <v>73.467742947764563</v>
      </c>
      <c r="D33" s="9">
        <f t="shared" si="1"/>
        <v>12.894294177664975</v>
      </c>
      <c r="E33" s="9">
        <f t="shared" si="2"/>
        <v>12.593664173522724</v>
      </c>
      <c r="F33" s="50">
        <f t="shared" si="3"/>
        <v>25.4879583511877</v>
      </c>
      <c r="H33" s="9">
        <f t="shared" si="4"/>
        <v>0.73459669569419328</v>
      </c>
      <c r="I33" s="9">
        <f t="shared" si="5"/>
        <v>1.2090691410832219</v>
      </c>
      <c r="J33" s="50">
        <f t="shared" si="6"/>
        <v>1.9436658367774151</v>
      </c>
    </row>
    <row r="34" spans="1:19">
      <c r="A34">
        <v>2050</v>
      </c>
      <c r="B34" s="9">
        <f t="shared" si="0"/>
        <v>73.467742947764563</v>
      </c>
      <c r="D34" s="9">
        <f>($B$39*$B$6*K76)</f>
        <v>12.062404230718851</v>
      </c>
      <c r="E34" s="9">
        <f>$C$40*$B$6*F76</f>
        <v>11.848877582615469</v>
      </c>
      <c r="F34" s="50">
        <f t="shared" si="3"/>
        <v>23.91128181333432</v>
      </c>
      <c r="H34" s="30">
        <f>$B$39*$B$6*R76</f>
        <v>0</v>
      </c>
      <c r="I34" s="30">
        <f>$C$40*$B$6*N76</f>
        <v>0</v>
      </c>
      <c r="J34" s="50">
        <f t="shared" si="6"/>
        <v>0</v>
      </c>
    </row>
    <row r="35" spans="1:19">
      <c r="J35" s="50"/>
    </row>
    <row r="37" spans="1:19" ht="17" thickBot="1">
      <c r="A37" t="s">
        <v>120</v>
      </c>
      <c r="B37" t="s">
        <v>105</v>
      </c>
    </row>
    <row r="38" spans="1:19" ht="34">
      <c r="B38" s="69" t="s">
        <v>106</v>
      </c>
      <c r="C38" s="70" t="s">
        <v>107</v>
      </c>
      <c r="D38" s="71" t="s">
        <v>108</v>
      </c>
    </row>
    <row r="39" spans="1:19">
      <c r="B39" s="72">
        <v>0.53920000000000001</v>
      </c>
      <c r="C39" s="73">
        <v>0.2485</v>
      </c>
      <c r="D39" s="74">
        <v>0.21229999999999999</v>
      </c>
    </row>
    <row r="40" spans="1:19" ht="17" thickBot="1">
      <c r="B40" s="44"/>
      <c r="C40" s="341">
        <f>SUM(C39:D39)</f>
        <v>0.46079999999999999</v>
      </c>
      <c r="D40" s="342"/>
    </row>
    <row r="44" spans="1:19" ht="17" thickBot="1">
      <c r="A44" t="s">
        <v>109</v>
      </c>
      <c r="B44" s="347" t="s">
        <v>110</v>
      </c>
      <c r="C44" s="347"/>
      <c r="D44" s="347"/>
      <c r="F44" s="355" t="s">
        <v>119</v>
      </c>
      <c r="G44" s="355"/>
      <c r="H44" s="355"/>
      <c r="I44" s="355"/>
      <c r="J44" s="355"/>
      <c r="K44" s="355"/>
      <c r="L44" s="355"/>
      <c r="N44" s="348" t="s">
        <v>111</v>
      </c>
      <c r="O44" s="348"/>
      <c r="P44" s="348"/>
      <c r="Q44" s="348"/>
      <c r="R44" s="348"/>
      <c r="S44" s="348"/>
    </row>
    <row r="45" spans="1:19">
      <c r="B45" s="349" t="s">
        <v>112</v>
      </c>
      <c r="C45" s="350"/>
      <c r="D45" s="351"/>
      <c r="F45" s="356" t="s">
        <v>113</v>
      </c>
      <c r="G45" s="357"/>
      <c r="H45" s="357"/>
      <c r="I45" s="357"/>
      <c r="J45" s="357"/>
      <c r="K45" s="357"/>
      <c r="L45" s="358"/>
      <c r="N45" s="352" t="s">
        <v>114</v>
      </c>
      <c r="O45" s="353"/>
      <c r="P45" s="353"/>
      <c r="Q45" s="353"/>
      <c r="R45" s="353"/>
      <c r="S45" s="354"/>
    </row>
    <row r="46" spans="1:19">
      <c r="B46" s="344" t="s">
        <v>115</v>
      </c>
      <c r="C46" s="330"/>
      <c r="D46" s="345"/>
      <c r="F46" s="344" t="s">
        <v>116</v>
      </c>
      <c r="G46" s="346"/>
      <c r="H46" s="346"/>
      <c r="I46" s="68"/>
      <c r="J46" s="346" t="s">
        <v>117</v>
      </c>
      <c r="K46" s="346"/>
      <c r="L46" s="345"/>
      <c r="N46" s="43" t="s">
        <v>116</v>
      </c>
      <c r="O46" s="68"/>
      <c r="P46" s="68"/>
      <c r="Q46" s="346" t="s">
        <v>117</v>
      </c>
      <c r="R46" s="346"/>
      <c r="S46" s="345"/>
    </row>
    <row r="47" spans="1:19" s="4" customFormat="1" ht="46" customHeight="1" thickBot="1">
      <c r="B47" s="51" t="s">
        <v>128</v>
      </c>
      <c r="C47" s="52" t="s">
        <v>129</v>
      </c>
      <c r="D47" s="53" t="s">
        <v>130</v>
      </c>
      <c r="F47" s="51" t="s">
        <v>128</v>
      </c>
      <c r="G47" s="52" t="s">
        <v>129</v>
      </c>
      <c r="H47" s="54" t="s">
        <v>118</v>
      </c>
      <c r="I47" s="52"/>
      <c r="J47" s="52" t="s">
        <v>130</v>
      </c>
      <c r="K47" s="52" t="s">
        <v>128</v>
      </c>
      <c r="L47" s="53" t="s">
        <v>129</v>
      </c>
      <c r="N47" s="51" t="s">
        <v>128</v>
      </c>
      <c r="O47" s="52" t="s">
        <v>129</v>
      </c>
      <c r="P47" s="52"/>
      <c r="Q47" s="52" t="s">
        <v>130</v>
      </c>
      <c r="R47" s="52" t="s">
        <v>128</v>
      </c>
      <c r="S47" s="53" t="s">
        <v>129</v>
      </c>
    </row>
    <row r="48" spans="1:19">
      <c r="A48">
        <v>2022</v>
      </c>
      <c r="B48" s="55">
        <v>1</v>
      </c>
      <c r="C48" s="29">
        <v>0</v>
      </c>
      <c r="D48" s="56">
        <v>0</v>
      </c>
      <c r="E48" s="29"/>
      <c r="F48" s="57">
        <v>1</v>
      </c>
      <c r="G48" s="30">
        <v>0</v>
      </c>
      <c r="H48" s="30">
        <f>(G51-G48)/3</f>
        <v>6.6666666666666671E-3</v>
      </c>
      <c r="I48" s="30"/>
      <c r="J48" s="30">
        <v>0</v>
      </c>
      <c r="K48" s="30">
        <v>1</v>
      </c>
      <c r="L48" s="58">
        <v>0</v>
      </c>
      <c r="M48" s="29"/>
      <c r="N48" s="55">
        <v>1</v>
      </c>
      <c r="O48" s="29">
        <v>0</v>
      </c>
      <c r="P48" s="29"/>
      <c r="Q48" s="29">
        <v>0</v>
      </c>
      <c r="R48" s="29">
        <v>1</v>
      </c>
      <c r="S48" s="56">
        <v>0</v>
      </c>
    </row>
    <row r="49" spans="1:19">
      <c r="A49">
        <v>2023</v>
      </c>
      <c r="B49" s="55">
        <v>1</v>
      </c>
      <c r="C49" s="29">
        <v>0</v>
      </c>
      <c r="D49" s="56">
        <v>0</v>
      </c>
      <c r="E49" s="29"/>
      <c r="F49" s="57">
        <v>0.99333333333333329</v>
      </c>
      <c r="G49" s="30">
        <v>6.6666666666666671E-3</v>
      </c>
      <c r="H49" s="30"/>
      <c r="I49" s="30"/>
      <c r="J49" s="30">
        <v>0</v>
      </c>
      <c r="K49" s="30">
        <v>0.99333333333333329</v>
      </c>
      <c r="L49" s="58">
        <v>6.6666666666666671E-3</v>
      </c>
      <c r="M49" s="29"/>
      <c r="N49" s="55">
        <v>0.9642857142857143</v>
      </c>
      <c r="O49" s="29">
        <v>3.5714285714285712E-2</v>
      </c>
      <c r="P49" s="29"/>
      <c r="Q49" s="29">
        <v>0</v>
      </c>
      <c r="R49" s="29">
        <v>0.9642857142857143</v>
      </c>
      <c r="S49" s="56">
        <v>3.5714285714285712E-2</v>
      </c>
    </row>
    <row r="50" spans="1:19">
      <c r="A50">
        <v>2024</v>
      </c>
      <c r="B50" s="55">
        <v>1</v>
      </c>
      <c r="C50" s="29">
        <v>0</v>
      </c>
      <c r="D50" s="56">
        <v>0</v>
      </c>
      <c r="E50" s="29"/>
      <c r="F50" s="57">
        <v>0.98666666666666669</v>
      </c>
      <c r="G50" s="30">
        <v>1.3333333333333334E-2</v>
      </c>
      <c r="H50" s="30"/>
      <c r="I50" s="30"/>
      <c r="J50" s="30">
        <v>0</v>
      </c>
      <c r="K50" s="30">
        <v>0.98666666666666669</v>
      </c>
      <c r="L50" s="58">
        <v>1.3333333333333334E-2</v>
      </c>
      <c r="M50" s="29"/>
      <c r="N50" s="55">
        <v>0.9285714285714286</v>
      </c>
      <c r="O50" s="29">
        <v>7.1428571428571425E-2</v>
      </c>
      <c r="P50" s="29"/>
      <c r="Q50" s="29">
        <v>0</v>
      </c>
      <c r="R50" s="29">
        <v>0.9285714285714286</v>
      </c>
      <c r="S50" s="56">
        <v>7.1428571428571425E-2</v>
      </c>
    </row>
    <row r="51" spans="1:19">
      <c r="A51">
        <v>2025</v>
      </c>
      <c r="B51" s="55">
        <v>1</v>
      </c>
      <c r="C51" s="29">
        <v>0</v>
      </c>
      <c r="D51" s="56">
        <v>0</v>
      </c>
      <c r="E51" s="29"/>
      <c r="F51" s="57">
        <v>0.98</v>
      </c>
      <c r="G51" s="59">
        <v>0.02</v>
      </c>
      <c r="H51" s="30">
        <f>(G56-G51)/5</f>
        <v>6.4000000000000003E-3</v>
      </c>
      <c r="I51" s="30"/>
      <c r="J51" s="30">
        <v>5.0000000000000001E-3</v>
      </c>
      <c r="K51" s="30">
        <v>0.97509999999999997</v>
      </c>
      <c r="L51" s="58">
        <v>1.9900000000000001E-2</v>
      </c>
      <c r="M51" s="29"/>
      <c r="N51" s="55">
        <v>0.8928571428571429</v>
      </c>
      <c r="O51" s="29">
        <v>0.10714285714285714</v>
      </c>
      <c r="P51" s="29"/>
      <c r="Q51" s="29">
        <v>1.9230769230769232E-2</v>
      </c>
      <c r="R51" s="29">
        <v>0.87568681318681318</v>
      </c>
      <c r="S51" s="56">
        <v>0.10508241758241757</v>
      </c>
    </row>
    <row r="52" spans="1:19">
      <c r="A52">
        <v>2026</v>
      </c>
      <c r="B52" s="55">
        <v>1</v>
      </c>
      <c r="C52" s="29">
        <v>0</v>
      </c>
      <c r="D52" s="56">
        <v>0</v>
      </c>
      <c r="E52" s="29"/>
      <c r="F52" s="57">
        <v>0.97360000000000002</v>
      </c>
      <c r="G52" s="30">
        <v>2.64E-2</v>
      </c>
      <c r="H52" s="30"/>
      <c r="I52" s="30"/>
      <c r="J52" s="30">
        <v>0.01</v>
      </c>
      <c r="K52" s="30">
        <v>0.96386399999999994</v>
      </c>
      <c r="L52" s="58">
        <v>2.6136E-2</v>
      </c>
      <c r="M52" s="29"/>
      <c r="N52" s="55">
        <v>0.85714285714285721</v>
      </c>
      <c r="O52" s="29">
        <v>0.14285714285714285</v>
      </c>
      <c r="P52" s="29"/>
      <c r="Q52" s="29">
        <v>3.8461538461538464E-2</v>
      </c>
      <c r="R52" s="29">
        <v>0.82417582417582425</v>
      </c>
      <c r="S52" s="56">
        <v>0.13736263736263735</v>
      </c>
    </row>
    <row r="53" spans="1:19">
      <c r="A53">
        <v>2027</v>
      </c>
      <c r="B53" s="55">
        <v>1</v>
      </c>
      <c r="C53" s="29">
        <v>0</v>
      </c>
      <c r="D53" s="56">
        <v>0</v>
      </c>
      <c r="E53" s="29"/>
      <c r="F53" s="57">
        <v>0.96719999999999995</v>
      </c>
      <c r="G53" s="30">
        <v>3.2800000000000003E-2</v>
      </c>
      <c r="H53" s="30"/>
      <c r="I53" s="30"/>
      <c r="J53" s="30">
        <v>1.4999999999999999E-2</v>
      </c>
      <c r="K53" s="30">
        <v>0.95269199999999998</v>
      </c>
      <c r="L53" s="58">
        <v>3.2308000000000003E-2</v>
      </c>
      <c r="M53" s="29"/>
      <c r="N53" s="55">
        <v>0.8214285714285714</v>
      </c>
      <c r="O53" s="29">
        <v>0.17857142857142855</v>
      </c>
      <c r="P53" s="29"/>
      <c r="Q53" s="29">
        <v>5.7692307692307696E-2</v>
      </c>
      <c r="R53" s="29">
        <v>0.77403846153846145</v>
      </c>
      <c r="S53" s="56">
        <v>0.16826923076923075</v>
      </c>
    </row>
    <row r="54" spans="1:19">
      <c r="A54">
        <v>2028</v>
      </c>
      <c r="B54" s="55">
        <v>1</v>
      </c>
      <c r="C54" s="29">
        <v>0</v>
      </c>
      <c r="D54" s="56">
        <v>0</v>
      </c>
      <c r="E54" s="29"/>
      <c r="F54" s="57">
        <v>0.96079999999999999</v>
      </c>
      <c r="G54" s="30">
        <v>3.9200000000000006E-2</v>
      </c>
      <c r="H54" s="30"/>
      <c r="I54" s="30"/>
      <c r="J54" s="30">
        <v>0.02</v>
      </c>
      <c r="K54" s="30">
        <v>0.94158399999999998</v>
      </c>
      <c r="L54" s="58">
        <v>3.8416000000000006E-2</v>
      </c>
      <c r="M54" s="29"/>
      <c r="N54" s="55">
        <v>0.78571428571428581</v>
      </c>
      <c r="O54" s="29">
        <v>0.21428571428571425</v>
      </c>
      <c r="P54" s="29"/>
      <c r="Q54" s="29">
        <v>7.6923076923076927E-2</v>
      </c>
      <c r="R54" s="29">
        <v>0.72527472527472536</v>
      </c>
      <c r="S54" s="56">
        <v>0.19780219780219777</v>
      </c>
    </row>
    <row r="55" spans="1:19">
      <c r="A55">
        <v>2029</v>
      </c>
      <c r="B55" s="55">
        <v>1</v>
      </c>
      <c r="C55" s="29">
        <v>0</v>
      </c>
      <c r="D55" s="56">
        <v>0</v>
      </c>
      <c r="E55" s="29"/>
      <c r="F55" s="57">
        <v>0.95440000000000003</v>
      </c>
      <c r="G55" s="30">
        <v>4.5600000000000009E-2</v>
      </c>
      <c r="H55" s="30"/>
      <c r="I55" s="30"/>
      <c r="J55" s="30">
        <v>2.5000000000000001E-2</v>
      </c>
      <c r="K55" s="30">
        <v>0.93053999999999992</v>
      </c>
      <c r="L55" s="58">
        <v>4.4460000000000006E-2</v>
      </c>
      <c r="M55" s="29"/>
      <c r="N55" s="55">
        <v>0.75</v>
      </c>
      <c r="O55" s="29">
        <v>0.24999999999999994</v>
      </c>
      <c r="P55" s="29"/>
      <c r="Q55" s="29">
        <v>9.6153846153846159E-2</v>
      </c>
      <c r="R55" s="29">
        <v>0.67788461538461542</v>
      </c>
      <c r="S55" s="56">
        <v>0.22596153846153841</v>
      </c>
    </row>
    <row r="56" spans="1:19">
      <c r="A56">
        <v>2030</v>
      </c>
      <c r="B56" s="55">
        <v>1</v>
      </c>
      <c r="C56" s="29">
        <v>0</v>
      </c>
      <c r="D56" s="56">
        <v>0</v>
      </c>
      <c r="E56" s="29"/>
      <c r="F56" s="57">
        <v>0.94799999999999995</v>
      </c>
      <c r="G56" s="59">
        <v>5.1999999999999998E-2</v>
      </c>
      <c r="H56" s="30">
        <f>(G61-G56)/5</f>
        <v>2.3600000000000003E-2</v>
      </c>
      <c r="I56" s="30"/>
      <c r="J56" s="30">
        <v>3.0000000000000002E-2</v>
      </c>
      <c r="K56" s="30">
        <v>0.91955999999999993</v>
      </c>
      <c r="L56" s="58">
        <v>5.0439999999999999E-2</v>
      </c>
      <c r="M56" s="29"/>
      <c r="N56" s="55">
        <v>0.71428571428571441</v>
      </c>
      <c r="O56" s="29">
        <v>0.28571428571428564</v>
      </c>
      <c r="P56" s="29"/>
      <c r="Q56" s="29">
        <v>0.11538461538461539</v>
      </c>
      <c r="R56" s="29">
        <v>0.63186813186813195</v>
      </c>
      <c r="S56" s="56">
        <v>0.25274725274725268</v>
      </c>
    </row>
    <row r="57" spans="1:19">
      <c r="A57">
        <v>2031</v>
      </c>
      <c r="B57" s="55">
        <v>1</v>
      </c>
      <c r="C57" s="29">
        <v>0</v>
      </c>
      <c r="D57" s="56">
        <v>0</v>
      </c>
      <c r="E57" s="29"/>
      <c r="F57" s="57">
        <v>0.9244</v>
      </c>
      <c r="G57" s="30">
        <v>7.5600000000000001E-2</v>
      </c>
      <c r="H57" s="30"/>
      <c r="I57" s="30"/>
      <c r="J57" s="30">
        <v>3.5000000000000003E-2</v>
      </c>
      <c r="K57" s="30">
        <v>0.89204600000000001</v>
      </c>
      <c r="L57" s="58">
        <v>7.2954000000000005E-2</v>
      </c>
      <c r="M57" s="29"/>
      <c r="N57" s="55">
        <v>0.6785714285714286</v>
      </c>
      <c r="O57" s="29">
        <v>0.32142857142857134</v>
      </c>
      <c r="P57" s="29"/>
      <c r="Q57" s="29">
        <v>0.13461538461538464</v>
      </c>
      <c r="R57" s="29">
        <v>0.58722527472527475</v>
      </c>
      <c r="S57" s="56">
        <v>0.27815934065934061</v>
      </c>
    </row>
    <row r="58" spans="1:19">
      <c r="A58">
        <v>2032</v>
      </c>
      <c r="B58" s="55">
        <v>1</v>
      </c>
      <c r="C58" s="29">
        <v>0</v>
      </c>
      <c r="D58" s="56">
        <v>0</v>
      </c>
      <c r="E58" s="29"/>
      <c r="F58" s="57">
        <v>0.90080000000000005</v>
      </c>
      <c r="G58" s="30">
        <v>9.920000000000001E-2</v>
      </c>
      <c r="H58" s="30"/>
      <c r="I58" s="30"/>
      <c r="J58" s="30">
        <v>0.04</v>
      </c>
      <c r="K58" s="30">
        <v>0.86476799999999998</v>
      </c>
      <c r="L58" s="58">
        <v>9.5232000000000011E-2</v>
      </c>
      <c r="M58" s="29"/>
      <c r="N58" s="55">
        <v>0.64285714285714302</v>
      </c>
      <c r="O58" s="29">
        <v>0.35714285714285704</v>
      </c>
      <c r="P58" s="29"/>
      <c r="Q58" s="29">
        <v>0.15384615384615385</v>
      </c>
      <c r="R58" s="29">
        <v>0.54395604395604413</v>
      </c>
      <c r="S58" s="56">
        <v>0.30219780219780212</v>
      </c>
    </row>
    <row r="59" spans="1:19">
      <c r="A59">
        <v>2033</v>
      </c>
      <c r="B59" s="55">
        <v>1</v>
      </c>
      <c r="C59" s="29">
        <v>0</v>
      </c>
      <c r="D59" s="56">
        <v>0</v>
      </c>
      <c r="E59" s="29"/>
      <c r="F59" s="57">
        <v>0.87719999999999998</v>
      </c>
      <c r="G59" s="30">
        <v>0.12280000000000002</v>
      </c>
      <c r="H59" s="30"/>
      <c r="I59" s="30"/>
      <c r="J59" s="30">
        <v>4.4999999999999998E-2</v>
      </c>
      <c r="K59" s="30">
        <v>0.83772599999999997</v>
      </c>
      <c r="L59" s="58">
        <v>0.11727400000000002</v>
      </c>
      <c r="M59" s="29"/>
      <c r="N59" s="55">
        <v>0.60714285714285721</v>
      </c>
      <c r="O59" s="29">
        <v>0.39285714285714274</v>
      </c>
      <c r="P59" s="29"/>
      <c r="Q59" s="29">
        <v>0.17307692307692307</v>
      </c>
      <c r="R59" s="29">
        <v>0.50206043956043955</v>
      </c>
      <c r="S59" s="56">
        <v>0.32486263736263726</v>
      </c>
    </row>
    <row r="60" spans="1:19">
      <c r="A60">
        <v>2034</v>
      </c>
      <c r="B60" s="55">
        <v>1</v>
      </c>
      <c r="C60" s="29">
        <v>0</v>
      </c>
      <c r="D60" s="56">
        <v>0</v>
      </c>
      <c r="E60" s="29"/>
      <c r="F60" s="57">
        <v>0.85359999999999991</v>
      </c>
      <c r="G60" s="30">
        <v>0.14640000000000003</v>
      </c>
      <c r="H60" s="30"/>
      <c r="I60" s="30"/>
      <c r="J60" s="30">
        <v>4.9999999999999996E-2</v>
      </c>
      <c r="K60" s="30">
        <v>0.81091999999999997</v>
      </c>
      <c r="L60" s="58">
        <v>0.13908000000000001</v>
      </c>
      <c r="M60" s="29"/>
      <c r="N60" s="55">
        <v>0.57142857142857162</v>
      </c>
      <c r="O60" s="29">
        <v>0.42857142857142844</v>
      </c>
      <c r="P60" s="29"/>
      <c r="Q60" s="29">
        <v>0.19230769230769229</v>
      </c>
      <c r="R60" s="29">
        <v>0.46153846153846168</v>
      </c>
      <c r="S60" s="56">
        <v>0.34615384615384603</v>
      </c>
    </row>
    <row r="61" spans="1:19">
      <c r="A61">
        <v>2035</v>
      </c>
      <c r="B61" s="55">
        <v>1</v>
      </c>
      <c r="C61" s="29">
        <v>0</v>
      </c>
      <c r="D61" s="56">
        <v>0</v>
      </c>
      <c r="E61" s="29"/>
      <c r="F61" s="57">
        <v>0.83</v>
      </c>
      <c r="G61" s="59">
        <v>0.17</v>
      </c>
      <c r="H61" s="30">
        <f>(G66-G61)/5</f>
        <v>4.3999999999999997E-2</v>
      </c>
      <c r="I61" s="30"/>
      <c r="J61" s="30">
        <v>5.4999999999999993E-2</v>
      </c>
      <c r="K61" s="30">
        <v>0.7843500000000001</v>
      </c>
      <c r="L61" s="58">
        <v>0.16065000000000002</v>
      </c>
      <c r="M61" s="29"/>
      <c r="N61" s="55">
        <v>0.53571428571428581</v>
      </c>
      <c r="O61" s="29">
        <v>0.46428571428571414</v>
      </c>
      <c r="P61" s="29"/>
      <c r="Q61" s="29">
        <v>0.21153846153846151</v>
      </c>
      <c r="R61" s="29">
        <v>0.42239010989011</v>
      </c>
      <c r="S61" s="56">
        <v>0.36607142857142849</v>
      </c>
    </row>
    <row r="62" spans="1:19">
      <c r="A62">
        <v>2036</v>
      </c>
      <c r="B62" s="55">
        <v>1</v>
      </c>
      <c r="C62" s="29">
        <v>0</v>
      </c>
      <c r="D62" s="56">
        <v>0</v>
      </c>
      <c r="E62" s="29"/>
      <c r="F62" s="57">
        <v>0.78600000000000003</v>
      </c>
      <c r="G62" s="30">
        <v>0.21400000000000002</v>
      </c>
      <c r="H62" s="30"/>
      <c r="I62" s="30"/>
      <c r="J62" s="30">
        <v>5.9999999999999991E-2</v>
      </c>
      <c r="K62" s="30">
        <v>0.73884000000000005</v>
      </c>
      <c r="L62" s="58">
        <v>0.20116000000000003</v>
      </c>
      <c r="M62" s="29"/>
      <c r="N62" s="55">
        <v>0.50000000000000022</v>
      </c>
      <c r="O62" s="29">
        <v>0.49999999999999983</v>
      </c>
      <c r="P62" s="29"/>
      <c r="Q62" s="29">
        <v>0.23076923076923073</v>
      </c>
      <c r="R62" s="29">
        <v>0.3846153846153848</v>
      </c>
      <c r="S62" s="56">
        <v>0.38461538461538453</v>
      </c>
    </row>
    <row r="63" spans="1:19">
      <c r="A63">
        <v>2037</v>
      </c>
      <c r="B63" s="55">
        <v>1</v>
      </c>
      <c r="C63" s="29">
        <v>0</v>
      </c>
      <c r="D63" s="56">
        <v>0</v>
      </c>
      <c r="E63" s="29"/>
      <c r="F63" s="57">
        <v>0.74199999999999999</v>
      </c>
      <c r="G63" s="30">
        <v>0.25800000000000001</v>
      </c>
      <c r="H63" s="30"/>
      <c r="I63" s="30"/>
      <c r="J63" s="30">
        <v>6.4999999999999988E-2</v>
      </c>
      <c r="K63" s="30">
        <v>0.69377</v>
      </c>
      <c r="L63" s="58">
        <v>0.24123000000000003</v>
      </c>
      <c r="M63" s="29"/>
      <c r="N63" s="55">
        <v>0.46428571428571441</v>
      </c>
      <c r="O63" s="29">
        <v>0.53571428571428559</v>
      </c>
      <c r="P63" s="29"/>
      <c r="Q63" s="29">
        <v>0.24999999999999994</v>
      </c>
      <c r="R63" s="29">
        <v>0.34821428571428581</v>
      </c>
      <c r="S63" s="56">
        <v>0.40178571428571419</v>
      </c>
    </row>
    <row r="64" spans="1:19">
      <c r="A64">
        <v>2038</v>
      </c>
      <c r="B64" s="55">
        <v>1</v>
      </c>
      <c r="C64" s="29">
        <v>0</v>
      </c>
      <c r="D64" s="56">
        <v>0</v>
      </c>
      <c r="E64" s="29"/>
      <c r="F64" s="57">
        <v>0.69799999999999995</v>
      </c>
      <c r="G64" s="30">
        <v>0.30199999999999999</v>
      </c>
      <c r="H64" s="30"/>
      <c r="I64" s="30"/>
      <c r="J64" s="30">
        <v>6.9999999999999993E-2</v>
      </c>
      <c r="K64" s="30">
        <v>0.64914000000000005</v>
      </c>
      <c r="L64" s="58">
        <v>0.28086</v>
      </c>
      <c r="M64" s="29"/>
      <c r="N64" s="55">
        <v>0.42857142857142871</v>
      </c>
      <c r="O64" s="29">
        <v>0.57142857142857129</v>
      </c>
      <c r="P64" s="29"/>
      <c r="Q64" s="29">
        <v>0.26923076923076916</v>
      </c>
      <c r="R64" s="29">
        <v>0.3131868131868133</v>
      </c>
      <c r="S64" s="56">
        <v>0.41758241758241754</v>
      </c>
    </row>
    <row r="65" spans="1:19">
      <c r="A65">
        <v>2039</v>
      </c>
      <c r="B65" s="55">
        <v>1</v>
      </c>
      <c r="C65" s="29">
        <v>0</v>
      </c>
      <c r="D65" s="56">
        <v>0</v>
      </c>
      <c r="E65" s="29"/>
      <c r="F65" s="57">
        <v>0.65400000000000003</v>
      </c>
      <c r="G65" s="30">
        <v>0.34599999999999997</v>
      </c>
      <c r="H65" s="30"/>
      <c r="I65" s="30"/>
      <c r="J65" s="30">
        <v>7.4999999999999997E-2</v>
      </c>
      <c r="K65" s="30">
        <v>0.6049500000000001</v>
      </c>
      <c r="L65" s="58">
        <v>0.32005</v>
      </c>
      <c r="M65" s="29"/>
      <c r="N65" s="55">
        <v>0.39285714285714302</v>
      </c>
      <c r="O65" s="29">
        <v>0.60714285714285698</v>
      </c>
      <c r="P65" s="29"/>
      <c r="Q65" s="29">
        <v>0.28846153846153838</v>
      </c>
      <c r="R65" s="29">
        <v>0.27953296703296721</v>
      </c>
      <c r="S65" s="56">
        <v>0.43200549450549447</v>
      </c>
    </row>
    <row r="66" spans="1:19">
      <c r="A66">
        <v>2040</v>
      </c>
      <c r="B66" s="55">
        <v>1</v>
      </c>
      <c r="C66" s="29">
        <v>0</v>
      </c>
      <c r="D66" s="56">
        <v>0</v>
      </c>
      <c r="E66" s="29"/>
      <c r="F66" s="57">
        <v>0.61</v>
      </c>
      <c r="G66" s="59">
        <v>0.39</v>
      </c>
      <c r="H66" s="30">
        <f>(G71-G66)/5</f>
        <v>3.0000000000000006E-2</v>
      </c>
      <c r="I66" s="30"/>
      <c r="J66" s="30">
        <v>0.08</v>
      </c>
      <c r="K66" s="30">
        <v>0.56120000000000003</v>
      </c>
      <c r="L66" s="58">
        <v>0.35880000000000001</v>
      </c>
      <c r="M66" s="29"/>
      <c r="N66" s="55">
        <v>0.35714285714285732</v>
      </c>
      <c r="O66" s="29">
        <v>0.64285714285714268</v>
      </c>
      <c r="P66" s="29"/>
      <c r="Q66" s="29">
        <v>0.3076923076923076</v>
      </c>
      <c r="R66" s="29">
        <v>0.2472527472527474</v>
      </c>
      <c r="S66" s="56">
        <v>0.44505494505494497</v>
      </c>
    </row>
    <row r="67" spans="1:19">
      <c r="A67">
        <v>2041</v>
      </c>
      <c r="B67" s="55">
        <v>1</v>
      </c>
      <c r="C67" s="29">
        <v>0</v>
      </c>
      <c r="D67" s="56">
        <v>0</v>
      </c>
      <c r="E67" s="29"/>
      <c r="F67" s="57">
        <v>0.57999999999999996</v>
      </c>
      <c r="G67" s="30">
        <v>0.42000000000000004</v>
      </c>
      <c r="H67" s="30"/>
      <c r="I67" s="30"/>
      <c r="J67" s="30">
        <v>8.5000000000000006E-2</v>
      </c>
      <c r="K67" s="30">
        <v>0.53069999999999995</v>
      </c>
      <c r="L67" s="58">
        <v>0.38430000000000003</v>
      </c>
      <c r="M67" s="29"/>
      <c r="N67" s="55">
        <v>0.32142857142857162</v>
      </c>
      <c r="O67" s="29">
        <v>0.67857142857142838</v>
      </c>
      <c r="P67" s="29"/>
      <c r="Q67" s="29">
        <v>0.32692307692307682</v>
      </c>
      <c r="R67" s="29">
        <v>0.21634615384615399</v>
      </c>
      <c r="S67" s="56">
        <v>0.45673076923076916</v>
      </c>
    </row>
    <row r="68" spans="1:19">
      <c r="A68">
        <v>2042</v>
      </c>
      <c r="B68" s="55">
        <v>1</v>
      </c>
      <c r="C68" s="29">
        <v>0</v>
      </c>
      <c r="D68" s="56">
        <v>0</v>
      </c>
      <c r="E68" s="29"/>
      <c r="F68" s="57">
        <v>0.54999999999999993</v>
      </c>
      <c r="G68" s="30">
        <v>0.45000000000000007</v>
      </c>
      <c r="H68" s="30"/>
      <c r="I68" s="30"/>
      <c r="J68" s="30">
        <v>9.0000000000000011E-2</v>
      </c>
      <c r="K68" s="30">
        <v>0.50049999999999994</v>
      </c>
      <c r="L68" s="58">
        <v>0.40950000000000009</v>
      </c>
      <c r="M68" s="29"/>
      <c r="N68" s="55">
        <v>0.28571428571428592</v>
      </c>
      <c r="O68" s="29">
        <v>0.71428571428571408</v>
      </c>
      <c r="P68" s="29"/>
      <c r="Q68" s="29">
        <v>0.34615384615384603</v>
      </c>
      <c r="R68" s="29">
        <v>0.18681318681318698</v>
      </c>
      <c r="S68" s="56">
        <v>0.46703296703296698</v>
      </c>
    </row>
    <row r="69" spans="1:19">
      <c r="A69">
        <v>2043</v>
      </c>
      <c r="B69" s="55">
        <v>1</v>
      </c>
      <c r="C69" s="29">
        <v>0</v>
      </c>
      <c r="D69" s="56">
        <v>0</v>
      </c>
      <c r="E69" s="29"/>
      <c r="F69" s="57">
        <v>0.51999999999999991</v>
      </c>
      <c r="G69" s="30">
        <v>0.48000000000000009</v>
      </c>
      <c r="H69" s="30"/>
      <c r="I69" s="30"/>
      <c r="J69" s="30">
        <v>9.5000000000000015E-2</v>
      </c>
      <c r="K69" s="30">
        <v>0.47059999999999985</v>
      </c>
      <c r="L69" s="58">
        <v>0.43440000000000012</v>
      </c>
      <c r="M69" s="29"/>
      <c r="N69" s="55">
        <v>0.25000000000000022</v>
      </c>
      <c r="O69" s="29">
        <v>0.74999999999999978</v>
      </c>
      <c r="P69" s="29"/>
      <c r="Q69" s="29">
        <v>0.36538461538461525</v>
      </c>
      <c r="R69" s="29">
        <v>0.15865384615384634</v>
      </c>
      <c r="S69" s="56">
        <v>0.47596153846153844</v>
      </c>
    </row>
    <row r="70" spans="1:19">
      <c r="A70">
        <v>2044</v>
      </c>
      <c r="B70" s="55">
        <v>1</v>
      </c>
      <c r="C70" s="29">
        <v>0</v>
      </c>
      <c r="D70" s="56">
        <v>0</v>
      </c>
      <c r="E70" s="29"/>
      <c r="F70" s="57">
        <v>0.48999999999999988</v>
      </c>
      <c r="G70" s="30">
        <v>0.51000000000000012</v>
      </c>
      <c r="H70" s="30"/>
      <c r="I70" s="30"/>
      <c r="J70" s="30">
        <v>0.10000000000000002</v>
      </c>
      <c r="K70" s="30">
        <v>0.44099999999999989</v>
      </c>
      <c r="L70" s="58">
        <v>0.45900000000000013</v>
      </c>
      <c r="M70" s="29"/>
      <c r="N70" s="55">
        <v>0.21428571428571452</v>
      </c>
      <c r="O70" s="29">
        <v>0.78571428571428548</v>
      </c>
      <c r="P70" s="29"/>
      <c r="Q70" s="29">
        <v>0.38461538461538447</v>
      </c>
      <c r="R70" s="29">
        <v>0.13186813186813204</v>
      </c>
      <c r="S70" s="56">
        <v>0.48351648351648346</v>
      </c>
    </row>
    <row r="71" spans="1:19">
      <c r="A71">
        <v>2045</v>
      </c>
      <c r="B71" s="55">
        <v>1</v>
      </c>
      <c r="C71" s="29">
        <v>0</v>
      </c>
      <c r="D71" s="56">
        <v>0</v>
      </c>
      <c r="E71" s="29"/>
      <c r="F71" s="57">
        <v>0.45999999999999996</v>
      </c>
      <c r="G71" s="59">
        <v>0.54</v>
      </c>
      <c r="H71" s="30">
        <f>(G76-G71)/5</f>
        <v>2.1999999999999999E-2</v>
      </c>
      <c r="I71" s="30"/>
      <c r="J71" s="30">
        <v>0.10500000000000002</v>
      </c>
      <c r="K71" s="30">
        <v>0.4116999999999999</v>
      </c>
      <c r="L71" s="58">
        <v>0.48330000000000006</v>
      </c>
      <c r="M71" s="29"/>
      <c r="N71" s="55">
        <v>0.17857142857142883</v>
      </c>
      <c r="O71" s="29">
        <v>0.82142857142857117</v>
      </c>
      <c r="P71" s="29"/>
      <c r="Q71" s="29">
        <v>0.40384615384615369</v>
      </c>
      <c r="R71" s="29">
        <v>0.10645604395604412</v>
      </c>
      <c r="S71" s="56">
        <v>0.48969780219780212</v>
      </c>
    </row>
    <row r="72" spans="1:19">
      <c r="A72">
        <v>2046</v>
      </c>
      <c r="B72" s="55">
        <v>1</v>
      </c>
      <c r="C72" s="29">
        <v>0</v>
      </c>
      <c r="D72" s="56">
        <v>0</v>
      </c>
      <c r="E72" s="29"/>
      <c r="F72" s="57">
        <v>0.43799999999999994</v>
      </c>
      <c r="G72" s="30">
        <v>0.56200000000000006</v>
      </c>
      <c r="H72" s="30"/>
      <c r="I72" s="30"/>
      <c r="J72" s="30">
        <v>0.11000000000000003</v>
      </c>
      <c r="K72" s="30">
        <v>0.38981999999999989</v>
      </c>
      <c r="L72" s="58">
        <v>0.50018000000000007</v>
      </c>
      <c r="M72" s="29"/>
      <c r="N72" s="55">
        <v>0.14285714285714313</v>
      </c>
      <c r="O72" s="29">
        <v>0.85714285714285687</v>
      </c>
      <c r="P72" s="29"/>
      <c r="Q72" s="29">
        <v>0.42307692307692291</v>
      </c>
      <c r="R72" s="29">
        <v>8.2417582417582597E-2</v>
      </c>
      <c r="S72" s="56">
        <v>0.49450549450549447</v>
      </c>
    </row>
    <row r="73" spans="1:19">
      <c r="A73">
        <v>2047</v>
      </c>
      <c r="B73" s="55">
        <v>1</v>
      </c>
      <c r="C73" s="29">
        <v>0</v>
      </c>
      <c r="D73" s="56">
        <v>0</v>
      </c>
      <c r="E73" s="29"/>
      <c r="F73" s="57">
        <v>0.41599999999999993</v>
      </c>
      <c r="G73" s="30">
        <v>0.58400000000000007</v>
      </c>
      <c r="H73" s="30"/>
      <c r="I73" s="30"/>
      <c r="J73" s="30">
        <v>0.11500000000000003</v>
      </c>
      <c r="K73" s="30">
        <v>0.36815999999999988</v>
      </c>
      <c r="L73" s="58">
        <v>0.51684000000000008</v>
      </c>
      <c r="M73" s="29"/>
      <c r="N73" s="55">
        <v>0.10714285714285743</v>
      </c>
      <c r="O73" s="29">
        <v>0.89285714285714257</v>
      </c>
      <c r="P73" s="29"/>
      <c r="Q73" s="29">
        <v>0.44230769230769212</v>
      </c>
      <c r="R73" s="29">
        <v>5.9752747252747436E-2</v>
      </c>
      <c r="S73" s="56">
        <v>0.4979395604395605</v>
      </c>
    </row>
    <row r="74" spans="1:19">
      <c r="A74">
        <v>2048</v>
      </c>
      <c r="B74" s="55">
        <v>1</v>
      </c>
      <c r="C74" s="29">
        <v>0</v>
      </c>
      <c r="D74" s="56">
        <v>0</v>
      </c>
      <c r="E74" s="29"/>
      <c r="F74" s="57">
        <v>0.39399999999999991</v>
      </c>
      <c r="G74" s="30">
        <v>0.60600000000000009</v>
      </c>
      <c r="H74" s="30"/>
      <c r="I74" s="30"/>
      <c r="J74" s="30">
        <v>0.12000000000000004</v>
      </c>
      <c r="K74" s="30">
        <v>0.34671999999999986</v>
      </c>
      <c r="L74" s="58">
        <v>0.53328000000000009</v>
      </c>
      <c r="M74" s="29"/>
      <c r="N74" s="55">
        <v>7.142857142857173E-2</v>
      </c>
      <c r="O74" s="29">
        <v>0.92857142857142827</v>
      </c>
      <c r="P74" s="29"/>
      <c r="Q74" s="29">
        <v>0.46153846153846134</v>
      </c>
      <c r="R74" s="29">
        <v>3.8461538461538637E-2</v>
      </c>
      <c r="S74" s="56">
        <v>0.5</v>
      </c>
    </row>
    <row r="75" spans="1:19">
      <c r="A75">
        <v>2049</v>
      </c>
      <c r="B75" s="55">
        <v>1</v>
      </c>
      <c r="C75" s="29">
        <v>0</v>
      </c>
      <c r="D75" s="56">
        <v>0</v>
      </c>
      <c r="E75" s="29"/>
      <c r="F75" s="57">
        <v>0.37199999999999989</v>
      </c>
      <c r="G75" s="30">
        <v>0.62800000000000011</v>
      </c>
      <c r="H75" s="30"/>
      <c r="I75" s="30"/>
      <c r="J75" s="30">
        <v>0.12500000000000003</v>
      </c>
      <c r="K75" s="30">
        <v>0.3254999999999999</v>
      </c>
      <c r="L75" s="58">
        <v>0.5495000000000001</v>
      </c>
      <c r="M75" s="29"/>
      <c r="N75" s="55">
        <v>3.5714285714286031E-2</v>
      </c>
      <c r="O75" s="29">
        <v>0.96428571428571397</v>
      </c>
      <c r="P75" s="29"/>
      <c r="Q75" s="29">
        <v>0.48076923076923056</v>
      </c>
      <c r="R75" s="29">
        <v>1.8543956043956214E-2</v>
      </c>
      <c r="S75" s="56">
        <v>0.50068681318681318</v>
      </c>
    </row>
    <row r="76" spans="1:19">
      <c r="A76">
        <v>2050</v>
      </c>
      <c r="B76" s="60">
        <v>1</v>
      </c>
      <c r="C76" s="61">
        <v>0</v>
      </c>
      <c r="D76" s="62">
        <v>0</v>
      </c>
      <c r="E76" s="29"/>
      <c r="F76" s="63">
        <v>0.35</v>
      </c>
      <c r="G76" s="64">
        <v>0.65</v>
      </c>
      <c r="H76" s="65"/>
      <c r="I76" s="65"/>
      <c r="J76" s="64">
        <v>0.13</v>
      </c>
      <c r="K76" s="65">
        <v>0.30449999999999999</v>
      </c>
      <c r="L76" s="66">
        <v>0.5655</v>
      </c>
      <c r="M76" s="29"/>
      <c r="N76" s="60">
        <v>0</v>
      </c>
      <c r="O76" s="67">
        <v>1</v>
      </c>
      <c r="P76" s="61"/>
      <c r="Q76" s="67">
        <v>0.5</v>
      </c>
      <c r="R76" s="61">
        <v>0</v>
      </c>
      <c r="S76" s="62">
        <v>0.5</v>
      </c>
    </row>
  </sheetData>
  <mergeCells count="13">
    <mergeCell ref="Q46:S46"/>
    <mergeCell ref="B44:D44"/>
    <mergeCell ref="N44:S44"/>
    <mergeCell ref="B45:D45"/>
    <mergeCell ref="N45:S45"/>
    <mergeCell ref="F44:L44"/>
    <mergeCell ref="F45:L45"/>
    <mergeCell ref="C40:D40"/>
    <mergeCell ref="H1:J1"/>
    <mergeCell ref="D1:F1"/>
    <mergeCell ref="B46:D46"/>
    <mergeCell ref="F46:H46"/>
    <mergeCell ref="J46:L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E423-58FE-8D41-B5C6-D5AC74E673D4}">
  <dimension ref="A2:CC105"/>
  <sheetViews>
    <sheetView zoomScale="75" workbookViewId="0">
      <selection activeCell="I14" sqref="I14"/>
    </sheetView>
  </sheetViews>
  <sheetFormatPr baseColWidth="10" defaultRowHeight="16"/>
  <cols>
    <col min="2" max="5" width="0" hidden="1" customWidth="1"/>
    <col min="6" max="6" width="11" bestFit="1" customWidth="1"/>
    <col min="7" max="7" width="13.6640625" bestFit="1" customWidth="1"/>
    <col min="8" max="8" width="11.1640625" bestFit="1" customWidth="1"/>
    <col min="9" max="9" width="13.33203125" bestFit="1" customWidth="1"/>
    <col min="10" max="10" width="11" bestFit="1" customWidth="1"/>
    <col min="11" max="11" width="11.1640625" bestFit="1" customWidth="1"/>
    <col min="12" max="12" width="13.33203125" bestFit="1" customWidth="1"/>
    <col min="13" max="13" width="11.1640625" bestFit="1" customWidth="1"/>
    <col min="14" max="14" width="11" bestFit="1" customWidth="1"/>
    <col min="15" max="15" width="11.1640625" bestFit="1" customWidth="1"/>
    <col min="16" max="16" width="13.33203125" bestFit="1" customWidth="1"/>
    <col min="17" max="17" width="11.1640625" bestFit="1" customWidth="1"/>
    <col min="18" max="18" width="11" bestFit="1" customWidth="1"/>
    <col min="19" max="19" width="18.6640625" customWidth="1"/>
    <col min="20" max="20" width="12.5" bestFit="1" customWidth="1"/>
    <col min="21" max="25" width="11.1640625" bestFit="1" customWidth="1"/>
    <col min="27" max="29" width="11" bestFit="1" customWidth="1"/>
    <col min="31" max="34" width="11" bestFit="1" customWidth="1"/>
  </cols>
  <sheetData>
    <row r="2" spans="1:26">
      <c r="B2" s="363" t="s">
        <v>237</v>
      </c>
      <c r="C2" s="363"/>
      <c r="D2" s="363"/>
      <c r="E2" s="363"/>
      <c r="K2" s="330" t="s">
        <v>238</v>
      </c>
      <c r="L2" s="330"/>
      <c r="M2" s="330"/>
      <c r="O2" s="364" t="s">
        <v>239</v>
      </c>
      <c r="P2" s="364"/>
      <c r="Q2" s="364"/>
    </row>
    <row r="3" spans="1:26" ht="120" thickBot="1">
      <c r="A3" s="143" t="s">
        <v>0</v>
      </c>
      <c r="B3" s="143" t="s">
        <v>52</v>
      </c>
      <c r="C3" s="143" t="s">
        <v>53</v>
      </c>
      <c r="D3" s="143" t="s">
        <v>54</v>
      </c>
      <c r="E3" s="143" t="s">
        <v>55</v>
      </c>
      <c r="G3" s="365" t="s">
        <v>429</v>
      </c>
      <c r="H3" s="365"/>
      <c r="J3" s="144"/>
      <c r="K3" s="143" t="s">
        <v>56</v>
      </c>
      <c r="L3" s="143" t="s">
        <v>57</v>
      </c>
      <c r="M3" s="143" t="s">
        <v>58</v>
      </c>
      <c r="N3" s="144"/>
      <c r="O3" s="143" t="s">
        <v>240</v>
      </c>
      <c r="P3" s="143" t="s">
        <v>241</v>
      </c>
      <c r="Q3" s="143" t="s">
        <v>242</v>
      </c>
      <c r="R3" s="144"/>
    </row>
    <row r="4" spans="1:26">
      <c r="A4" s="10">
        <v>1990</v>
      </c>
      <c r="B4" s="301">
        <f>other_IEA_fuel_consumption!B2</f>
        <v>3786.6970000000001</v>
      </c>
      <c r="C4" s="301">
        <f>other_IEA_fuel_consumption!C2</f>
        <v>219787003.4036175</v>
      </c>
      <c r="D4" s="301">
        <f>other_IEA_fuel_consumption!D2</f>
        <v>7367260.3540892592</v>
      </c>
      <c r="E4" s="301">
        <f>other_IEA_fuel_consumption!E2</f>
        <v>7367260354089.2588</v>
      </c>
      <c r="J4" s="87"/>
      <c r="K4" s="30">
        <f>Fig1_historical_Kaya!B4</f>
        <v>542.69777999999997</v>
      </c>
      <c r="L4">
        <f t="shared" ref="L4:L35" si="0">K4/E4</f>
        <v>7.3663445285841036E-11</v>
      </c>
      <c r="M4" s="31">
        <f>L4*10^12</f>
        <v>73.663445285841036</v>
      </c>
      <c r="N4" s="87"/>
      <c r="O4" s="30">
        <f>K4*$V$9</f>
        <v>922.5862259999999</v>
      </c>
      <c r="P4">
        <f t="shared" ref="P4:P35" si="1">O4/E4</f>
        <v>1.2522785698592975E-10</v>
      </c>
      <c r="Q4" s="31">
        <f>P4*10^12</f>
        <v>125.22785698592975</v>
      </c>
    </row>
    <row r="5" spans="1:26">
      <c r="A5" s="10">
        <v>1991</v>
      </c>
      <c r="B5" s="301">
        <f>other_IEA_fuel_consumption!B3</f>
        <v>3662.864</v>
      </c>
      <c r="C5" s="301">
        <f>other_IEA_fuel_consumption!C3</f>
        <v>212599503.58715999</v>
      </c>
      <c r="D5" s="301">
        <f>other_IEA_fuel_consumption!D3</f>
        <v>7126335.360241604</v>
      </c>
      <c r="E5" s="301">
        <f>other_IEA_fuel_consumption!E3</f>
        <v>7126335360241.6045</v>
      </c>
      <c r="J5" s="87"/>
      <c r="K5" s="30">
        <f>Fig1_historical_Kaya!B5</f>
        <v>525.62075600000003</v>
      </c>
      <c r="L5">
        <f t="shared" si="0"/>
        <v>7.3757510617937001E-11</v>
      </c>
      <c r="M5" s="31">
        <f t="shared" ref="M5:M33" si="2">L5*10^12</f>
        <v>73.757510617937001</v>
      </c>
      <c r="N5" s="145"/>
      <c r="O5" s="30">
        <f t="shared" ref="O5:O35" si="3">K5*$V$9</f>
        <v>893.55528520000007</v>
      </c>
      <c r="P5">
        <f t="shared" si="1"/>
        <v>1.2538776805049291E-10</v>
      </c>
      <c r="Q5" s="31">
        <f t="shared" ref="Q5:Q32" si="4">P5*10^12</f>
        <v>125.38776805049291</v>
      </c>
    </row>
    <row r="6" spans="1:26">
      <c r="A6" s="10">
        <v>1992</v>
      </c>
      <c r="B6" s="301">
        <f>other_IEA_fuel_consumption!B4</f>
        <v>3673.36</v>
      </c>
      <c r="C6" s="301">
        <f>other_IEA_fuel_consumption!C4</f>
        <v>213208711.13339999</v>
      </c>
      <c r="D6" s="301">
        <f>other_IEA_fuel_consumption!D4</f>
        <v>7146755.9971915688</v>
      </c>
      <c r="E6" s="301">
        <f>other_IEA_fuel_consumption!E4</f>
        <v>7146755997191.5684</v>
      </c>
      <c r="J6" s="87"/>
      <c r="K6" s="30">
        <f>Fig1_historical_Kaya!B6</f>
        <v>529.16584599999999</v>
      </c>
      <c r="L6">
        <f t="shared" si="0"/>
        <v>7.404280294555238E-11</v>
      </c>
      <c r="M6" s="31">
        <f t="shared" si="2"/>
        <v>74.042802945552381</v>
      </c>
      <c r="N6" s="145"/>
      <c r="O6" s="30">
        <f t="shared" si="3"/>
        <v>899.58193819999997</v>
      </c>
      <c r="P6">
        <f t="shared" si="1"/>
        <v>1.2587276500743906E-10</v>
      </c>
      <c r="Q6" s="31">
        <f t="shared" si="4"/>
        <v>125.87276500743906</v>
      </c>
    </row>
    <row r="7" spans="1:26" ht="17" thickBot="1">
      <c r="A7" s="10">
        <v>1993</v>
      </c>
      <c r="B7" s="301">
        <f>other_IEA_fuel_consumption!B5</f>
        <v>3708.9369999999999</v>
      </c>
      <c r="C7" s="301">
        <f>other_IEA_fuel_consumption!C5</f>
        <v>215273667.0092175</v>
      </c>
      <c r="D7" s="301">
        <f>other_IEA_fuel_consumption!D5</f>
        <v>7215973.3181489706</v>
      </c>
      <c r="E7" s="301">
        <f>other_IEA_fuel_consumption!E5</f>
        <v>7215973318148.9707</v>
      </c>
      <c r="J7" s="87"/>
      <c r="K7" s="30">
        <f>Fig1_historical_Kaya!B7</f>
        <v>533.631754</v>
      </c>
      <c r="L7">
        <f t="shared" si="0"/>
        <v>7.3951458863887026E-11</v>
      </c>
      <c r="M7" s="31">
        <f t="shared" si="2"/>
        <v>73.951458863887026</v>
      </c>
      <c r="N7" s="145"/>
      <c r="O7" s="30">
        <f t="shared" si="3"/>
        <v>907.17398179999998</v>
      </c>
      <c r="P7">
        <f t="shared" si="1"/>
        <v>1.2571748006860794E-10</v>
      </c>
      <c r="Q7" s="31">
        <f t="shared" si="4"/>
        <v>125.71748006860794</v>
      </c>
      <c r="T7" t="s">
        <v>180</v>
      </c>
    </row>
    <row r="8" spans="1:26">
      <c r="A8" s="10">
        <v>1994</v>
      </c>
      <c r="B8" s="301">
        <f>other_IEA_fuel_consumption!B6</f>
        <v>3877.346</v>
      </c>
      <c r="C8" s="301">
        <f>other_IEA_fuel_consumption!C6</f>
        <v>225048441.55711499</v>
      </c>
      <c r="D8" s="301">
        <f>other_IEA_fuel_consumption!D6</f>
        <v>7543623.7609944958</v>
      </c>
      <c r="E8" s="301">
        <f>other_IEA_fuel_consumption!E6</f>
        <v>7543623760994.4961</v>
      </c>
      <c r="J8" s="87"/>
      <c r="K8" s="30">
        <f>Fig1_historical_Kaya!B8</f>
        <v>556.70766700000013</v>
      </c>
      <c r="L8">
        <f t="shared" si="0"/>
        <v>7.3798440197739643E-11</v>
      </c>
      <c r="M8" s="31">
        <f t="shared" si="2"/>
        <v>73.798440197739637</v>
      </c>
      <c r="N8" s="145"/>
      <c r="O8" s="30">
        <f t="shared" si="3"/>
        <v>946.4030339000002</v>
      </c>
      <c r="P8">
        <f t="shared" si="1"/>
        <v>1.2545734833615738E-10</v>
      </c>
      <c r="Q8" s="31">
        <f t="shared" si="4"/>
        <v>125.45734833615738</v>
      </c>
      <c r="T8" s="41" t="s">
        <v>181</v>
      </c>
      <c r="U8" s="42" t="s">
        <v>182</v>
      </c>
      <c r="V8" s="94" t="s">
        <v>183</v>
      </c>
      <c r="W8" s="42" t="s">
        <v>184</v>
      </c>
      <c r="X8" s="42" t="s">
        <v>185</v>
      </c>
      <c r="Y8" s="95" t="s">
        <v>186</v>
      </c>
    </row>
    <row r="9" spans="1:26" ht="17" thickBot="1">
      <c r="A9" s="10">
        <v>1995</v>
      </c>
      <c r="B9" s="301">
        <f>other_IEA_fuel_consumption!B7</f>
        <v>3974.6379999999999</v>
      </c>
      <c r="C9" s="301">
        <f>other_IEA_fuel_consumption!C7</f>
        <v>230695451.902845</v>
      </c>
      <c r="D9" s="301">
        <f>other_IEA_fuel_consumption!D7</f>
        <v>7732911.5477833655</v>
      </c>
      <c r="E9" s="301">
        <f>other_IEA_fuel_consumption!E7</f>
        <v>7732911547783.3652</v>
      </c>
      <c r="J9" s="87"/>
      <c r="K9" s="30">
        <f>Fig1_historical_Kaya!B9</f>
        <v>570.76552600000002</v>
      </c>
      <c r="L9">
        <f t="shared" si="0"/>
        <v>7.3809912666544027E-11</v>
      </c>
      <c r="M9" s="31">
        <f t="shared" si="2"/>
        <v>73.809912666544022</v>
      </c>
      <c r="N9" s="145"/>
      <c r="O9" s="30">
        <f t="shared" si="3"/>
        <v>970.3013942</v>
      </c>
      <c r="P9">
        <f t="shared" si="1"/>
        <v>1.2547685153312485E-10</v>
      </c>
      <c r="Q9" s="31">
        <f t="shared" si="4"/>
        <v>125.47685153312484</v>
      </c>
      <c r="T9" s="44">
        <v>4</v>
      </c>
      <c r="U9" s="45">
        <v>2.2999999999999998</v>
      </c>
      <c r="V9" s="96">
        <v>1.7</v>
      </c>
      <c r="W9" s="45">
        <v>1.3</v>
      </c>
      <c r="X9" s="45">
        <v>1</v>
      </c>
      <c r="Y9" s="97">
        <v>1.1000000000000001</v>
      </c>
    </row>
    <row r="10" spans="1:26">
      <c r="A10" s="10">
        <v>1996</v>
      </c>
      <c r="B10" s="301">
        <f>other_IEA_fuel_consumption!B8</f>
        <v>4143.3059999999996</v>
      </c>
      <c r="C10" s="301">
        <f>other_IEA_fuel_consumption!C8</f>
        <v>240485259.29701495</v>
      </c>
      <c r="D10" s="301">
        <f>other_IEA_fuel_consumption!D8</f>
        <v>8061065.8916359413</v>
      </c>
      <c r="E10" s="301">
        <f>other_IEA_fuel_consumption!E8</f>
        <v>8061065891635.9414</v>
      </c>
      <c r="J10" s="87"/>
      <c r="K10" s="30">
        <f>Fig1_historical_Kaya!B10</f>
        <v>597.12128200000018</v>
      </c>
      <c r="L10">
        <f t="shared" si="0"/>
        <v>7.4074730318178589E-11</v>
      </c>
      <c r="M10" s="31">
        <f t="shared" si="2"/>
        <v>74.074730318178595</v>
      </c>
      <c r="N10" s="145"/>
      <c r="O10" s="30">
        <f t="shared" si="3"/>
        <v>1015.1061794000003</v>
      </c>
      <c r="P10">
        <f t="shared" si="1"/>
        <v>1.259270415409036E-10</v>
      </c>
      <c r="Q10" s="31">
        <f t="shared" si="4"/>
        <v>125.9270415409036</v>
      </c>
    </row>
    <row r="11" spans="1:26">
      <c r="A11" s="10">
        <v>1997</v>
      </c>
      <c r="B11" s="301">
        <f>other_IEA_fuel_consumption!B9</f>
        <v>4285.2820000000002</v>
      </c>
      <c r="C11" s="301">
        <f>other_IEA_fuel_consumption!C9</f>
        <v>248725812.89695498</v>
      </c>
      <c r="D11" s="301">
        <f>other_IEA_fuel_consumption!D9</f>
        <v>8337289.2483059317</v>
      </c>
      <c r="E11" s="301">
        <f>other_IEA_fuel_consumption!E9</f>
        <v>8337289248305.9316</v>
      </c>
      <c r="J11" s="87"/>
      <c r="K11" s="30">
        <f>Fig1_historical_Kaya!B11</f>
        <v>616.2284830000001</v>
      </c>
      <c r="L11">
        <f t="shared" si="0"/>
        <v>7.3912331052351655E-11</v>
      </c>
      <c r="M11" s="31">
        <f t="shared" si="2"/>
        <v>73.912331052351661</v>
      </c>
      <c r="N11" s="145"/>
      <c r="O11" s="30">
        <f t="shared" si="3"/>
        <v>1047.5884211000002</v>
      </c>
      <c r="P11">
        <f t="shared" si="1"/>
        <v>1.2565096278899783E-10</v>
      </c>
      <c r="Q11" s="31">
        <f t="shared" si="4"/>
        <v>125.65096278899783</v>
      </c>
    </row>
    <row r="12" spans="1:26">
      <c r="A12" s="10">
        <v>1998</v>
      </c>
      <c r="B12" s="301">
        <f>other_IEA_fuel_consumption!B10</f>
        <v>4381.567</v>
      </c>
      <c r="C12" s="301">
        <f>other_IEA_fuel_consumption!C10</f>
        <v>254314375.0720425</v>
      </c>
      <c r="D12" s="301">
        <f>other_IEA_fuel_consumption!D10</f>
        <v>8524617.852414865</v>
      </c>
      <c r="E12" s="301">
        <f>other_IEA_fuel_consumption!E10</f>
        <v>8524617852414.8652</v>
      </c>
      <c r="J12" s="87"/>
      <c r="K12" s="30">
        <f>Fig1_historical_Kaya!B12</f>
        <v>628.00909200000001</v>
      </c>
      <c r="L12">
        <f t="shared" si="0"/>
        <v>7.3670058045135327E-11</v>
      </c>
      <c r="M12" s="31">
        <f t="shared" si="2"/>
        <v>73.67005804513532</v>
      </c>
      <c r="N12" s="145"/>
      <c r="O12" s="30">
        <f t="shared" si="3"/>
        <v>1067.6154564000001</v>
      </c>
      <c r="P12">
        <f t="shared" si="1"/>
        <v>1.2523909867673006E-10</v>
      </c>
      <c r="Q12" s="31">
        <f t="shared" si="4"/>
        <v>125.23909867673007</v>
      </c>
      <c r="S12" t="s">
        <v>411</v>
      </c>
      <c r="T12" s="31">
        <f>$K35*T9</f>
        <v>2905.1749429714046</v>
      </c>
      <c r="U12" s="31">
        <f t="shared" ref="U12:X12" si="5">$K35*U9</f>
        <v>1670.4755922085576</v>
      </c>
      <c r="V12" s="31">
        <f t="shared" si="5"/>
        <v>1234.699350762847</v>
      </c>
      <c r="W12" s="31">
        <f t="shared" si="5"/>
        <v>944.18185646570646</v>
      </c>
      <c r="X12" s="31">
        <f t="shared" si="5"/>
        <v>726.29373574285114</v>
      </c>
      <c r="Y12" s="31">
        <f>$K35*Y9</f>
        <v>798.92310931713632</v>
      </c>
    </row>
    <row r="13" spans="1:26">
      <c r="A13" s="10">
        <v>1999</v>
      </c>
      <c r="B13" s="301">
        <f>other_IEA_fuel_consumption!B11</f>
        <v>4533.4589999999998</v>
      </c>
      <c r="C13" s="301">
        <f>other_IEA_fuel_consumption!C11</f>
        <v>263130471.9292725</v>
      </c>
      <c r="D13" s="301">
        <f>other_IEA_fuel_consumption!D11</f>
        <v>8820133.4190692157</v>
      </c>
      <c r="E13" s="301">
        <f>other_IEA_fuel_consumption!E11</f>
        <v>8820133419069.2148</v>
      </c>
      <c r="J13" s="87"/>
      <c r="K13" s="30">
        <f>Fig1_historical_Kaya!B13</f>
        <v>649.14668200000006</v>
      </c>
      <c r="L13">
        <f t="shared" si="0"/>
        <v>7.3598283739851207E-11</v>
      </c>
      <c r="M13" s="31">
        <f t="shared" si="2"/>
        <v>73.598283739851212</v>
      </c>
      <c r="N13" s="145"/>
      <c r="O13" s="30">
        <f t="shared" si="3"/>
        <v>1103.5493594</v>
      </c>
      <c r="P13">
        <f t="shared" si="1"/>
        <v>1.2511708235774704E-10</v>
      </c>
      <c r="Q13" s="31">
        <f t="shared" si="4"/>
        <v>125.11708235774705</v>
      </c>
      <c r="S13" t="s">
        <v>412</v>
      </c>
      <c r="T13" s="31">
        <f t="shared" ref="T13:Y13" si="6">(T12/$E35)*10^12</f>
        <v>293.87097179105825</v>
      </c>
      <c r="U13" s="31">
        <f t="shared" si="6"/>
        <v>168.97580877985848</v>
      </c>
      <c r="V13" s="31">
        <f t="shared" si="6"/>
        <v>124.89516301119976</v>
      </c>
      <c r="W13" s="31">
        <f t="shared" si="6"/>
        <v>95.508065832093919</v>
      </c>
      <c r="X13" s="31">
        <f t="shared" si="6"/>
        <v>73.467742947764563</v>
      </c>
      <c r="Y13" s="31">
        <f t="shared" si="6"/>
        <v>80.814517242541029</v>
      </c>
      <c r="Z13" t="s">
        <v>427</v>
      </c>
    </row>
    <row r="14" spans="1:26">
      <c r="A14" s="10">
        <v>2000</v>
      </c>
      <c r="B14" s="301">
        <f>other_IEA_fuel_consumption!B12</f>
        <v>4690.3879999999999</v>
      </c>
      <c r="C14" s="301">
        <f>other_IEA_fuel_consumption!C12</f>
        <v>272238925.72346997</v>
      </c>
      <c r="D14" s="301">
        <f>other_IEA_fuel_consumption!D12</f>
        <v>9125448.7902507149</v>
      </c>
      <c r="E14" s="301">
        <f>other_IEA_fuel_consumption!E12</f>
        <v>9125448790250.7148</v>
      </c>
      <c r="J14" s="87"/>
      <c r="K14" s="30">
        <f>Fig1_historical_Kaya!B14</f>
        <v>674.77179700000011</v>
      </c>
      <c r="L14">
        <f t="shared" si="0"/>
        <v>7.3943957443594533E-11</v>
      </c>
      <c r="M14" s="31">
        <f t="shared" si="2"/>
        <v>73.943957443594527</v>
      </c>
      <c r="N14" s="145"/>
      <c r="O14" s="30">
        <f t="shared" si="3"/>
        <v>1147.1120549000002</v>
      </c>
      <c r="P14">
        <f t="shared" si="1"/>
        <v>1.2570472765411071E-10</v>
      </c>
      <c r="Q14" s="31">
        <f t="shared" si="4"/>
        <v>125.70472765411071</v>
      </c>
      <c r="S14" t="s">
        <v>413</v>
      </c>
      <c r="T14" s="31">
        <f>T13-$M35</f>
        <v>220.40322884329368</v>
      </c>
      <c r="U14" s="31">
        <f>U13-$M35</f>
        <v>95.508065832093919</v>
      </c>
      <c r="V14" s="31">
        <f t="shared" ref="V14:Y14" si="7">V13-$M35</f>
        <v>51.427420063435193</v>
      </c>
      <c r="W14" s="31">
        <f t="shared" si="7"/>
        <v>22.040322884329356</v>
      </c>
      <c r="X14" s="31">
        <f t="shared" si="7"/>
        <v>0</v>
      </c>
      <c r="Y14" s="31">
        <f t="shared" si="7"/>
        <v>7.3467742947764663</v>
      </c>
      <c r="Z14" t="s">
        <v>428</v>
      </c>
    </row>
    <row r="15" spans="1:26">
      <c r="A15" s="10">
        <v>2001</v>
      </c>
      <c r="B15" s="301">
        <f>other_IEA_fuel_consumption!B13</f>
        <v>4595.0309999999999</v>
      </c>
      <c r="C15" s="301">
        <f>other_IEA_fuel_consumption!C13</f>
        <v>266704226.4107025</v>
      </c>
      <c r="D15" s="301">
        <f>other_IEA_fuel_consumption!D13</f>
        <v>8939925.6692867484</v>
      </c>
      <c r="E15" s="301">
        <f>other_IEA_fuel_consumption!E13</f>
        <v>8939925669286.748</v>
      </c>
      <c r="J15" s="87"/>
      <c r="K15" s="30">
        <f>Fig1_historical_Kaya!B15</f>
        <v>659.39666399999999</v>
      </c>
      <c r="L15">
        <f t="shared" si="0"/>
        <v>7.375862936594287E-11</v>
      </c>
      <c r="M15" s="31">
        <f t="shared" si="2"/>
        <v>73.758629365942866</v>
      </c>
      <c r="N15" s="145"/>
      <c r="O15" s="30">
        <f t="shared" si="3"/>
        <v>1120.9743288</v>
      </c>
      <c r="P15">
        <f t="shared" si="1"/>
        <v>1.2538966992210287E-10</v>
      </c>
      <c r="Q15" s="31">
        <f t="shared" si="4"/>
        <v>125.38966992210287</v>
      </c>
    </row>
    <row r="16" spans="1:26">
      <c r="A16" s="10">
        <v>2002</v>
      </c>
      <c r="B16" s="301">
        <f>other_IEA_fuel_consumption!B14</f>
        <v>4632.232</v>
      </c>
      <c r="C16" s="301">
        <f>other_IEA_fuel_consumption!C14</f>
        <v>268863442.29557997</v>
      </c>
      <c r="D16" s="301">
        <f>other_IEA_fuel_consumption!D14</f>
        <v>9012302.5857478417</v>
      </c>
      <c r="E16" s="301">
        <f>other_IEA_fuel_consumption!E14</f>
        <v>9012302585747.8418</v>
      </c>
      <c r="J16" s="87"/>
      <c r="K16" s="30">
        <f>Fig1_historical_Kaya!B16</f>
        <v>665.41042200000004</v>
      </c>
      <c r="L16">
        <f t="shared" si="0"/>
        <v>7.3833564249416973E-11</v>
      </c>
      <c r="M16" s="31">
        <f t="shared" si="2"/>
        <v>73.833564249416966</v>
      </c>
      <c r="N16" s="145"/>
      <c r="O16" s="30">
        <f t="shared" si="3"/>
        <v>1131.1977174000001</v>
      </c>
      <c r="P16">
        <f t="shared" si="1"/>
        <v>1.2551705922400887E-10</v>
      </c>
      <c r="Q16" s="31">
        <f t="shared" si="4"/>
        <v>125.51705922400888</v>
      </c>
    </row>
    <row r="17" spans="1:25">
      <c r="A17" s="10">
        <v>2003</v>
      </c>
      <c r="B17" s="301">
        <f>other_IEA_fuel_consumption!B15</f>
        <v>4606.009</v>
      </c>
      <c r="C17" s="301">
        <f>other_IEA_fuel_consumption!C15</f>
        <v>267341410.1418975</v>
      </c>
      <c r="D17" s="301">
        <f>other_IEA_fuel_consumption!D15</f>
        <v>8961284.0679564048</v>
      </c>
      <c r="E17" s="301">
        <f>other_IEA_fuel_consumption!E15</f>
        <v>8961284067956.4043</v>
      </c>
      <c r="J17" s="87"/>
      <c r="K17" s="30">
        <f>Fig1_historical_Kaya!B17</f>
        <v>661.25329600000009</v>
      </c>
      <c r="L17">
        <f t="shared" si="0"/>
        <v>7.3790016138925624E-11</v>
      </c>
      <c r="M17" s="31">
        <f t="shared" si="2"/>
        <v>73.790016138925623</v>
      </c>
      <c r="N17" s="145"/>
      <c r="O17" s="30">
        <f t="shared" si="3"/>
        <v>1124.1306032000002</v>
      </c>
      <c r="P17">
        <f t="shared" si="1"/>
        <v>1.2544302743617356E-10</v>
      </c>
      <c r="Q17" s="31">
        <f t="shared" si="4"/>
        <v>125.44302743617355</v>
      </c>
    </row>
    <row r="18" spans="1:25" ht="17" thickBot="1">
      <c r="A18" s="10">
        <v>2004</v>
      </c>
      <c r="B18" s="301">
        <f>other_IEA_fuel_consumption!B16</f>
        <v>4900.1189999999997</v>
      </c>
      <c r="C18" s="301">
        <f>other_IEA_fuel_consumption!C16</f>
        <v>284412106.73342252</v>
      </c>
      <c r="D18" s="301">
        <f>other_IEA_fuel_consumption!D16</f>
        <v>9533493.8177043237</v>
      </c>
      <c r="E18" s="301">
        <f>other_IEA_fuel_consumption!E16</f>
        <v>9533493817704.3242</v>
      </c>
      <c r="J18" s="87"/>
      <c r="K18" s="30">
        <f>Fig1_historical_Kaya!B18</f>
        <v>703.9308860000001</v>
      </c>
      <c r="L18">
        <f t="shared" si="0"/>
        <v>7.3837661140845789E-11</v>
      </c>
      <c r="M18" s="31">
        <f t="shared" si="2"/>
        <v>73.837661140845782</v>
      </c>
      <c r="N18" s="145"/>
      <c r="O18" s="30">
        <f t="shared" si="3"/>
        <v>1196.6825062</v>
      </c>
      <c r="P18">
        <f t="shared" si="1"/>
        <v>1.2552402393943781E-10</v>
      </c>
      <c r="Q18" s="31">
        <f t="shared" si="4"/>
        <v>125.52402393943781</v>
      </c>
      <c r="S18" t="s">
        <v>120</v>
      </c>
      <c r="T18" t="s">
        <v>105</v>
      </c>
    </row>
    <row r="19" spans="1:25" ht="34">
      <c r="A19" s="10">
        <v>2005</v>
      </c>
      <c r="B19" s="301">
        <f>other_IEA_fuel_consumption!B17</f>
        <v>5115.6469999999999</v>
      </c>
      <c r="C19" s="301">
        <f>other_IEA_fuel_consumption!C17</f>
        <v>296921756.5072425</v>
      </c>
      <c r="D19" s="301">
        <f>other_IEA_fuel_consumption!D17</f>
        <v>9952817.2781227697</v>
      </c>
      <c r="E19" s="301">
        <f>other_IEA_fuel_consumption!E17</f>
        <v>9952817278122.7695</v>
      </c>
      <c r="J19" s="87"/>
      <c r="K19" s="30">
        <f>Fig1_historical_Kaya!B19</f>
        <v>732.05280799999991</v>
      </c>
      <c r="L19">
        <f t="shared" si="0"/>
        <v>7.3552320668954806E-11</v>
      </c>
      <c r="M19" s="31">
        <f t="shared" si="2"/>
        <v>73.552320668954806</v>
      </c>
      <c r="N19" s="145"/>
      <c r="O19" s="30">
        <f t="shared" si="3"/>
        <v>1244.4897735999998</v>
      </c>
      <c r="P19">
        <f t="shared" si="1"/>
        <v>1.2503894513722316E-10</v>
      </c>
      <c r="Q19" s="31">
        <f t="shared" si="4"/>
        <v>125.03894513722315</v>
      </c>
      <c r="T19" s="69" t="s">
        <v>106</v>
      </c>
      <c r="U19" s="70" t="s">
        <v>107</v>
      </c>
      <c r="V19" s="71" t="s">
        <v>108</v>
      </c>
      <c r="X19" s="253"/>
    </row>
    <row r="20" spans="1:25">
      <c r="A20" s="10">
        <v>2006</v>
      </c>
      <c r="B20" s="301">
        <f>other_IEA_fuel_consumption!B18</f>
        <v>5173.8010000000004</v>
      </c>
      <c r="C20" s="301">
        <f>other_IEA_fuel_consumption!C18</f>
        <v>300297123.85137749</v>
      </c>
      <c r="D20" s="301">
        <f>other_IEA_fuel_consumption!D18</f>
        <v>10065959.591498174</v>
      </c>
      <c r="E20" s="301">
        <f>other_IEA_fuel_consumption!E18</f>
        <v>10065959591498.174</v>
      </c>
      <c r="J20" s="87"/>
      <c r="K20" s="30">
        <f>Fig1_historical_Kaya!B20</f>
        <v>740.87568299999998</v>
      </c>
      <c r="L20">
        <f t="shared" si="0"/>
        <v>7.3602091908430889E-11</v>
      </c>
      <c r="M20" s="31">
        <f t="shared" si="2"/>
        <v>73.602091908430893</v>
      </c>
      <c r="N20" s="145"/>
      <c r="O20" s="30">
        <f t="shared" si="3"/>
        <v>1259.4886610999999</v>
      </c>
      <c r="P20">
        <f t="shared" si="1"/>
        <v>1.2512355624433249E-10</v>
      </c>
      <c r="Q20" s="31">
        <f t="shared" si="4"/>
        <v>125.12355624433249</v>
      </c>
      <c r="T20" s="72">
        <v>0.53920000000000001</v>
      </c>
      <c r="U20" s="73">
        <v>0.2485</v>
      </c>
      <c r="V20" s="74">
        <v>0.21229999999999999</v>
      </c>
      <c r="Y20" s="31"/>
    </row>
    <row r="21" spans="1:25" ht="17" thickBot="1">
      <c r="A21" s="10">
        <v>2007</v>
      </c>
      <c r="B21" s="301">
        <f>other_IEA_fuel_consumption!B19</f>
        <v>5314.1329999999998</v>
      </c>
      <c r="C21" s="301">
        <f>other_IEA_fuel_consumption!C19</f>
        <v>308442256.60470748</v>
      </c>
      <c r="D21" s="301">
        <f>other_IEA_fuel_consumption!D19</f>
        <v>10338984.441389795</v>
      </c>
      <c r="E21" s="301">
        <f>other_IEA_fuel_consumption!E19</f>
        <v>10338984441389.795</v>
      </c>
      <c r="J21" s="87"/>
      <c r="K21" s="30">
        <f>Fig1_historical_Kaya!B21</f>
        <v>759.77471099999991</v>
      </c>
      <c r="L21">
        <f t="shared" si="0"/>
        <v>7.3486396590211807E-11</v>
      </c>
      <c r="M21" s="31">
        <f t="shared" si="2"/>
        <v>73.486396590211811</v>
      </c>
      <c r="N21" s="145"/>
      <c r="O21" s="30">
        <f t="shared" si="3"/>
        <v>1291.6170086999998</v>
      </c>
      <c r="P21">
        <f t="shared" si="1"/>
        <v>1.2492687420336007E-10</v>
      </c>
      <c r="Q21" s="31">
        <f t="shared" si="4"/>
        <v>124.92687420336007</v>
      </c>
      <c r="T21" s="44"/>
      <c r="U21" s="341">
        <f>SUM(U20:V20)</f>
        <v>0.46079999999999999</v>
      </c>
      <c r="V21" s="342"/>
      <c r="Y21" s="31"/>
    </row>
    <row r="22" spans="1:25">
      <c r="A22" s="10">
        <v>2008</v>
      </c>
      <c r="B22" s="301">
        <f>other_IEA_fuel_consumption!B20</f>
        <v>5249.5510000000004</v>
      </c>
      <c r="C22" s="301">
        <f>other_IEA_fuel_consumption!C20</f>
        <v>304693796.07200247</v>
      </c>
      <c r="D22" s="301">
        <f>other_IEA_fuel_consumption!D20</f>
        <v>10213336.044333523</v>
      </c>
      <c r="E22" s="301">
        <f>other_IEA_fuel_consumption!E20</f>
        <v>10213336044333.523</v>
      </c>
      <c r="J22" s="87"/>
      <c r="K22" s="30">
        <f>Fig1_historical_Kaya!B22</f>
        <v>752.56760900000006</v>
      </c>
      <c r="L22">
        <f t="shared" si="0"/>
        <v>7.368479855487896E-11</v>
      </c>
      <c r="M22" s="31">
        <f t="shared" si="2"/>
        <v>73.684798554878967</v>
      </c>
      <c r="N22" s="145"/>
      <c r="O22" s="30">
        <f t="shared" si="3"/>
        <v>1279.3649353000001</v>
      </c>
      <c r="P22">
        <f t="shared" si="1"/>
        <v>1.2526415754329425E-10</v>
      </c>
      <c r="Q22" s="31">
        <f t="shared" si="4"/>
        <v>125.26415754329425</v>
      </c>
    </row>
    <row r="23" spans="1:25">
      <c r="A23" s="10">
        <v>2009</v>
      </c>
      <c r="B23" s="301">
        <f>other_IEA_fuel_consumption!B21</f>
        <v>4984.1499999999996</v>
      </c>
      <c r="C23" s="301">
        <f>other_IEA_fuel_consumption!C21</f>
        <v>289289423.74162501</v>
      </c>
      <c r="D23" s="301">
        <f>other_IEA_fuel_consumption!D21</f>
        <v>9696981.4838192724</v>
      </c>
      <c r="E23" s="301">
        <f>other_IEA_fuel_consumption!E21</f>
        <v>9696981483819.2715</v>
      </c>
      <c r="J23" s="87"/>
      <c r="K23" s="30">
        <f>Fig1_historical_Kaya!B23</f>
        <v>712.09145899999999</v>
      </c>
      <c r="L23">
        <f t="shared" si="0"/>
        <v>7.3434342448546608E-11</v>
      </c>
      <c r="M23" s="31">
        <f t="shared" si="2"/>
        <v>73.434342448546602</v>
      </c>
      <c r="N23" s="145"/>
      <c r="O23" s="30">
        <f t="shared" si="3"/>
        <v>1210.5554803</v>
      </c>
      <c r="P23">
        <f t="shared" si="1"/>
        <v>1.2483838216252924E-10</v>
      </c>
      <c r="Q23" s="31">
        <f t="shared" si="4"/>
        <v>124.83838216252924</v>
      </c>
    </row>
    <row r="24" spans="1:25">
      <c r="A24" s="10">
        <v>2010</v>
      </c>
      <c r="B24" s="301">
        <f>other_IEA_fuel_consumption!B22</f>
        <v>5254.7780000000002</v>
      </c>
      <c r="C24" s="301">
        <f>other_IEA_fuel_consumption!C22</f>
        <v>304997180.96569496</v>
      </c>
      <c r="D24" s="301">
        <f>other_IEA_fuel_consumption!D22</f>
        <v>10223505.505970096</v>
      </c>
      <c r="E24" s="301">
        <f>other_IEA_fuel_consumption!E22</f>
        <v>10223505505970.096</v>
      </c>
      <c r="J24" s="87"/>
      <c r="K24" s="30">
        <f>Fig1_historical_Kaya!B24</f>
        <v>750.39058399999999</v>
      </c>
      <c r="L24">
        <f t="shared" si="0"/>
        <v>7.3398560167234577E-11</v>
      </c>
      <c r="M24" s="31">
        <f t="shared" si="2"/>
        <v>73.398560167234578</v>
      </c>
      <c r="N24" s="145"/>
      <c r="O24" s="30">
        <f t="shared" si="3"/>
        <v>1275.6639928</v>
      </c>
      <c r="P24">
        <f t="shared" si="1"/>
        <v>1.2477755228429876E-10</v>
      </c>
      <c r="Q24" s="31">
        <f t="shared" si="4"/>
        <v>124.77755228429876</v>
      </c>
    </row>
    <row r="25" spans="1:25">
      <c r="A25" s="10">
        <v>2011</v>
      </c>
      <c r="B25" s="301">
        <f>other_IEA_fuel_consumption!B23</f>
        <v>5379.7709999999997</v>
      </c>
      <c r="C25" s="301">
        <f>other_IEA_fuel_consumption!C23</f>
        <v>312252009.36005247</v>
      </c>
      <c r="D25" s="301">
        <f>other_IEA_fuel_consumption!D23</f>
        <v>10466687.35374896</v>
      </c>
      <c r="E25" s="301">
        <f>other_IEA_fuel_consumption!E23</f>
        <v>10466687353748.961</v>
      </c>
      <c r="J25" s="87"/>
      <c r="K25" s="30">
        <f>Fig1_historical_Kaya!B25</f>
        <v>771.19166600000005</v>
      </c>
      <c r="L25">
        <f t="shared" si="0"/>
        <v>7.3680586792704229E-11</v>
      </c>
      <c r="M25" s="31">
        <f t="shared" si="2"/>
        <v>73.680586792704233</v>
      </c>
      <c r="N25" s="145"/>
      <c r="O25" s="30">
        <f t="shared" si="3"/>
        <v>1311.0258322</v>
      </c>
      <c r="P25">
        <f t="shared" si="1"/>
        <v>1.2525699754759717E-10</v>
      </c>
      <c r="Q25" s="31">
        <f t="shared" si="4"/>
        <v>125.25699754759717</v>
      </c>
    </row>
    <row r="26" spans="1:25">
      <c r="A26" s="10">
        <v>2012</v>
      </c>
      <c r="B26" s="301">
        <f>other_IEA_fuel_consumption!B24</f>
        <v>5419.1030000000001</v>
      </c>
      <c r="C26" s="301">
        <f>other_IEA_fuel_consumption!C24</f>
        <v>314534912.48588252</v>
      </c>
      <c r="D26" s="301">
        <f>other_IEA_fuel_consumption!D24</f>
        <v>10543210.266526783</v>
      </c>
      <c r="E26" s="301">
        <f>other_IEA_fuel_consumption!E24</f>
        <v>10543210266526.783</v>
      </c>
      <c r="J26" s="87"/>
      <c r="K26" s="30">
        <f>Fig1_historical_Kaya!B26</f>
        <v>780.59377800000004</v>
      </c>
      <c r="L26">
        <f t="shared" si="0"/>
        <v>7.403758042066903E-11</v>
      </c>
      <c r="M26" s="31">
        <f t="shared" si="2"/>
        <v>74.03758042066903</v>
      </c>
      <c r="N26" s="145"/>
      <c r="O26" s="30">
        <f t="shared" si="3"/>
        <v>1327.0094226000001</v>
      </c>
      <c r="P26">
        <f t="shared" si="1"/>
        <v>1.2586388671513734E-10</v>
      </c>
      <c r="Q26" s="31">
        <f t="shared" si="4"/>
        <v>125.86388671513734</v>
      </c>
    </row>
    <row r="27" spans="1:25">
      <c r="A27" s="10">
        <v>2013</v>
      </c>
      <c r="B27" s="301">
        <f>other_IEA_fuel_consumption!B25</f>
        <v>5592.1629999999996</v>
      </c>
      <c r="C27" s="301">
        <f>other_IEA_fuel_consumption!C25</f>
        <v>324579639.80603248</v>
      </c>
      <c r="D27" s="301">
        <f>other_IEA_fuel_consumption!D25</f>
        <v>10879909.52629821</v>
      </c>
      <c r="E27" s="301">
        <f>other_IEA_fuel_consumption!E25</f>
        <v>10879909526298.211</v>
      </c>
      <c r="J27" s="87"/>
      <c r="K27" s="30">
        <f>Fig1_historical_Kaya!B27</f>
        <v>799.93578000000002</v>
      </c>
      <c r="L27">
        <f t="shared" si="0"/>
        <v>7.3524120588176515E-11</v>
      </c>
      <c r="M27" s="31">
        <f t="shared" si="2"/>
        <v>73.524120588176515</v>
      </c>
      <c r="N27" s="145"/>
      <c r="O27" s="30">
        <f t="shared" si="3"/>
        <v>1359.8908260000001</v>
      </c>
      <c r="P27">
        <f t="shared" si="1"/>
        <v>1.2499100499990007E-10</v>
      </c>
      <c r="Q27" s="31">
        <f t="shared" si="4"/>
        <v>124.99100499990007</v>
      </c>
    </row>
    <row r="28" spans="1:25">
      <c r="A28" s="10">
        <v>2014</v>
      </c>
      <c r="B28" s="301">
        <f>other_IEA_fuel_consumption!B26</f>
        <v>5771.1890000000003</v>
      </c>
      <c r="C28" s="301">
        <f>other_IEA_fuel_consumption!C26</f>
        <v>334970644.9673475</v>
      </c>
      <c r="D28" s="301">
        <f>other_IEA_fuel_consumption!D26</f>
        <v>11228216.01930549</v>
      </c>
      <c r="E28" s="301">
        <f>other_IEA_fuel_consumption!E26</f>
        <v>11228216019305.49</v>
      </c>
      <c r="J28" s="87"/>
      <c r="K28" s="30">
        <f>Fig1_historical_Kaya!B28</f>
        <v>826.32976600000006</v>
      </c>
      <c r="L28">
        <f t="shared" si="0"/>
        <v>7.359403885525814E-11</v>
      </c>
      <c r="M28" s="31">
        <f t="shared" si="2"/>
        <v>73.594038855258134</v>
      </c>
      <c r="N28" s="145"/>
      <c r="O28" s="30">
        <f t="shared" si="3"/>
        <v>1404.7606022</v>
      </c>
      <c r="P28">
        <f t="shared" si="1"/>
        <v>1.2510986605393883E-10</v>
      </c>
      <c r="Q28" s="31">
        <f t="shared" si="4"/>
        <v>125.10986605393883</v>
      </c>
    </row>
    <row r="29" spans="1:25">
      <c r="A29" s="10">
        <v>2015</v>
      </c>
      <c r="B29" s="301">
        <f>other_IEA_fuel_consumption!B27</f>
        <v>6089.4709999999995</v>
      </c>
      <c r="C29" s="301">
        <f>other_IEA_fuel_consumption!C27</f>
        <v>353444329.8218025</v>
      </c>
      <c r="D29" s="301">
        <f>other_IEA_fuel_consumption!D27</f>
        <v>11847453.935626822</v>
      </c>
      <c r="E29" s="301">
        <f>other_IEA_fuel_consumption!E27</f>
        <v>11847453935626.822</v>
      </c>
      <c r="J29" s="87"/>
      <c r="K29" s="30">
        <f>Fig1_historical_Kaya!B29</f>
        <v>871.93010700000002</v>
      </c>
      <c r="L29">
        <f t="shared" si="0"/>
        <v>7.3596412506656274E-11</v>
      </c>
      <c r="M29" s="31">
        <f t="shared" si="2"/>
        <v>73.596412506656279</v>
      </c>
      <c r="N29" s="145"/>
      <c r="O29" s="30">
        <f t="shared" si="3"/>
        <v>1482.2811819000001</v>
      </c>
      <c r="P29">
        <f t="shared" si="1"/>
        <v>1.2511390126131568E-10</v>
      </c>
      <c r="Q29" s="31">
        <f t="shared" si="4"/>
        <v>125.11390126131568</v>
      </c>
    </row>
    <row r="30" spans="1:25">
      <c r="A30" s="10">
        <v>2016</v>
      </c>
      <c r="B30" s="301">
        <f>other_IEA_fuel_consumption!B28</f>
        <v>6355.7820000000002</v>
      </c>
      <c r="C30" s="301">
        <f>other_IEA_fuel_consumption!C28</f>
        <v>368901520.26070499</v>
      </c>
      <c r="D30" s="301">
        <f>other_IEA_fuel_consumption!D28</f>
        <v>12365578.959138831</v>
      </c>
      <c r="E30" s="301">
        <f>other_IEA_fuel_consumption!E28</f>
        <v>12365578959138.832</v>
      </c>
      <c r="J30" s="87"/>
      <c r="K30" s="30">
        <f>Fig1_historical_Kaya!B30</f>
        <v>913.1549940000001</v>
      </c>
      <c r="L30">
        <f t="shared" si="0"/>
        <v>7.3846521624054584E-11</v>
      </c>
      <c r="M30" s="31">
        <f t="shared" si="2"/>
        <v>73.846521624054589</v>
      </c>
      <c r="N30" s="145"/>
      <c r="O30" s="30">
        <f t="shared" si="3"/>
        <v>1552.3634898</v>
      </c>
      <c r="P30">
        <f t="shared" si="1"/>
        <v>1.2553908676089278E-10</v>
      </c>
      <c r="Q30" s="31">
        <f t="shared" si="4"/>
        <v>125.53908676089277</v>
      </c>
    </row>
    <row r="31" spans="1:25">
      <c r="A31" s="10">
        <v>2017</v>
      </c>
      <c r="B31" s="301">
        <f>other_IEA_fuel_consumption!B29</f>
        <v>6776.9219999999996</v>
      </c>
      <c r="C31" s="301">
        <f>other_IEA_fuel_consumption!C29</f>
        <v>393345276.55105501</v>
      </c>
      <c r="D31" s="301">
        <f>other_IEA_fuel_consumption!D29</f>
        <v>13184933.669991365</v>
      </c>
      <c r="E31" s="301">
        <f>other_IEA_fuel_consumption!E29</f>
        <v>13184933669991.365</v>
      </c>
      <c r="J31" s="87"/>
      <c r="K31" s="30">
        <f>Fig1_historical_Kaya!B31</f>
        <v>970.62137300000006</v>
      </c>
      <c r="L31">
        <f t="shared" si="0"/>
        <v>7.3615946601924442E-11</v>
      </c>
      <c r="M31" s="31">
        <f t="shared" si="2"/>
        <v>73.615946601924435</v>
      </c>
      <c r="N31" s="145"/>
      <c r="O31" s="30">
        <f t="shared" si="3"/>
        <v>1650.0563341</v>
      </c>
      <c r="P31">
        <f t="shared" si="1"/>
        <v>1.2514710922327154E-10</v>
      </c>
      <c r="Q31" s="31">
        <f t="shared" si="4"/>
        <v>125.14710922327154</v>
      </c>
    </row>
    <row r="32" spans="1:25">
      <c r="A32" s="10">
        <v>2018</v>
      </c>
      <c r="B32" s="301">
        <f>other_IEA_fuel_consumption!B30</f>
        <v>7076.4549999999999</v>
      </c>
      <c r="C32" s="301">
        <f>other_IEA_fuel_consumption!C30</f>
        <v>410730734.24426252</v>
      </c>
      <c r="D32" s="301">
        <f>other_IEA_fuel_consumption!D30</f>
        <v>13767694.211867681</v>
      </c>
      <c r="E32" s="301">
        <f>other_IEA_fuel_consumption!E30</f>
        <v>13767694211867.682</v>
      </c>
      <c r="J32" s="87"/>
      <c r="K32" s="30">
        <f>Fig1_historical_Kaya!B32</f>
        <v>1007.615221</v>
      </c>
      <c r="L32">
        <f t="shared" si="0"/>
        <v>7.3186926256064064E-11</v>
      </c>
      <c r="M32" s="31">
        <f t="shared" si="2"/>
        <v>73.186926256064069</v>
      </c>
      <c r="N32" s="145"/>
      <c r="O32" s="30">
        <f t="shared" si="3"/>
        <v>1712.9458757</v>
      </c>
      <c r="P32">
        <f t="shared" si="1"/>
        <v>1.244177746353089E-10</v>
      </c>
      <c r="Q32" s="31">
        <f t="shared" si="4"/>
        <v>124.4177746353089</v>
      </c>
    </row>
    <row r="33" spans="1:81">
      <c r="A33" s="10">
        <v>2019</v>
      </c>
      <c r="B33" s="301">
        <f>other_IEA_fuel_consumption!B31</f>
        <v>7185.0249999999996</v>
      </c>
      <c r="C33" s="301">
        <f>other_IEA_fuel_consumption!C31</f>
        <v>417032340.8844375</v>
      </c>
      <c r="D33" s="301">
        <f>other_IEA_fuel_consumption!D31</f>
        <v>13978924.066446345</v>
      </c>
      <c r="E33" s="301">
        <f>other_IEA_fuel_consumption!E31</f>
        <v>13978924066446.346</v>
      </c>
      <c r="J33" s="87"/>
      <c r="K33" s="30">
        <f>Fig1_historical_Kaya!B33</f>
        <v>1027</v>
      </c>
      <c r="L33">
        <f t="shared" si="0"/>
        <v>7.346774294776458E-11</v>
      </c>
      <c r="M33" s="31">
        <f t="shared" si="2"/>
        <v>73.467742947764577</v>
      </c>
      <c r="N33" s="145"/>
      <c r="O33" s="30">
        <f t="shared" si="3"/>
        <v>1745.8999999999999</v>
      </c>
      <c r="P33">
        <f t="shared" si="1"/>
        <v>1.2489516301119978E-10</v>
      </c>
      <c r="Q33" s="31">
        <f>P33*10^12</f>
        <v>124.89516301119977</v>
      </c>
    </row>
    <row r="34" spans="1:81">
      <c r="A34" s="10">
        <v>2020</v>
      </c>
      <c r="B34" s="301">
        <f>other_IEA_fuel_consumption!B32</f>
        <v>4239.6544790652379</v>
      </c>
      <c r="C34" s="301">
        <f>other_IEA_fuel_consumption!C32</f>
        <v>246077505.91623083</v>
      </c>
      <c r="D34" s="301">
        <f>other_IEA_fuel_consumption!D32</f>
        <v>8248517.9983120579</v>
      </c>
      <c r="E34" s="301">
        <f>other_IEA_fuel_consumption!E32</f>
        <v>8248517998312.0576</v>
      </c>
      <c r="J34" s="87"/>
      <c r="K34" s="30">
        <f>Fig1_historical_Kaya!B34</f>
        <v>606</v>
      </c>
      <c r="L34">
        <f t="shared" si="0"/>
        <v>7.3467742947764593E-11</v>
      </c>
      <c r="M34" s="31">
        <f>L34*10^12</f>
        <v>73.467742947764592</v>
      </c>
      <c r="N34" s="146"/>
      <c r="O34" s="30">
        <f t="shared" si="3"/>
        <v>1030.2</v>
      </c>
      <c r="P34">
        <f t="shared" si="1"/>
        <v>1.2489516301119983E-10</v>
      </c>
      <c r="Q34" s="31">
        <f>P34*10^12</f>
        <v>124.89516301119983</v>
      </c>
    </row>
    <row r="35" spans="1:81">
      <c r="A35" s="38">
        <v>2021</v>
      </c>
      <c r="B35" s="301">
        <f>other_IEA_fuel_consumption!B33</f>
        <v>5081.245032770963</v>
      </c>
      <c r="C35" s="301">
        <f>other_IEA_fuel_consumption!C33</f>
        <v>294925001.73957574</v>
      </c>
      <c r="D35" s="301">
        <f>other_IEA_fuel_consumption!D33</f>
        <v>9885886.0583105795</v>
      </c>
      <c r="E35" s="301">
        <f>other_IEA_fuel_consumption!E33</f>
        <v>9885886058310.5801</v>
      </c>
      <c r="J35" s="87"/>
      <c r="K35" s="30">
        <f>Fig1_historical_Kaya!B35</f>
        <v>726.29373574285114</v>
      </c>
      <c r="L35" s="68">
        <f t="shared" si="0"/>
        <v>7.3467742947764567E-11</v>
      </c>
      <c r="M35" s="258">
        <f>L35*10^12</f>
        <v>73.467742947764563</v>
      </c>
      <c r="N35" s="261"/>
      <c r="O35" s="30">
        <f t="shared" si="3"/>
        <v>1234.699350762847</v>
      </c>
      <c r="P35" s="68">
        <f t="shared" si="1"/>
        <v>1.2489516301119975E-10</v>
      </c>
      <c r="Q35" s="258">
        <f>P35*10^12</f>
        <v>124.89516301119976</v>
      </c>
      <c r="AD35" s="87"/>
      <c r="AQ35" s="87"/>
      <c r="BD35" s="87"/>
      <c r="BQ35" s="87"/>
    </row>
    <row r="36" spans="1:81" s="93" customFormat="1">
      <c r="K36" s="113"/>
      <c r="L36" s="112"/>
      <c r="M36" s="260"/>
      <c r="N36" s="262"/>
      <c r="O36" s="113"/>
      <c r="P36" s="112"/>
      <c r="Q36" s="285"/>
      <c r="AD36" s="87"/>
      <c r="AQ36" s="87"/>
      <c r="BD36" s="87"/>
      <c r="BQ36" s="87"/>
    </row>
    <row r="37" spans="1:81" s="93" customFormat="1" ht="24">
      <c r="F37" s="359" t="s">
        <v>183</v>
      </c>
      <c r="G37" s="359"/>
      <c r="H37" s="359"/>
      <c r="I37" s="359"/>
      <c r="J37" s="359"/>
      <c r="K37" s="359"/>
      <c r="L37" s="359"/>
      <c r="M37" s="359"/>
      <c r="N37" s="359"/>
      <c r="O37" s="359"/>
      <c r="P37" s="359"/>
      <c r="Q37" s="285"/>
      <c r="R37" s="259"/>
      <c r="S37" s="359" t="s">
        <v>181</v>
      </c>
      <c r="T37" s="359"/>
      <c r="U37" s="359"/>
      <c r="V37" s="359"/>
      <c r="W37" s="359"/>
      <c r="X37" s="359"/>
      <c r="Y37" s="359"/>
      <c r="Z37" s="359"/>
      <c r="AA37" s="359"/>
      <c r="AB37" s="359"/>
      <c r="AC37" s="359"/>
      <c r="AD37" s="87"/>
      <c r="AE37" s="259"/>
      <c r="AF37" s="359" t="s">
        <v>182</v>
      </c>
      <c r="AG37" s="359"/>
      <c r="AH37" s="359"/>
      <c r="AI37" s="359"/>
      <c r="AJ37" s="359"/>
      <c r="AK37" s="359"/>
      <c r="AL37" s="359"/>
      <c r="AM37" s="359"/>
      <c r="AN37" s="359"/>
      <c r="AO37" s="359"/>
      <c r="AP37" s="359"/>
      <c r="AQ37" s="87"/>
      <c r="AR37" s="259"/>
      <c r="AS37" s="359" t="s">
        <v>184</v>
      </c>
      <c r="AT37" s="359"/>
      <c r="AU37" s="359"/>
      <c r="AV37" s="359"/>
      <c r="AW37" s="359"/>
      <c r="AX37" s="359"/>
      <c r="AY37" s="359"/>
      <c r="AZ37" s="359"/>
      <c r="BA37" s="359"/>
      <c r="BB37" s="359"/>
      <c r="BC37" s="359"/>
      <c r="BD37" s="87"/>
      <c r="BE37" s="259"/>
      <c r="BF37" s="359" t="s">
        <v>185</v>
      </c>
      <c r="BG37" s="359"/>
      <c r="BH37" s="359"/>
      <c r="BI37" s="359"/>
      <c r="BJ37" s="359"/>
      <c r="BK37" s="359"/>
      <c r="BL37" s="359"/>
      <c r="BM37" s="359"/>
      <c r="BN37" s="359"/>
      <c r="BO37" s="359"/>
      <c r="BP37" s="359"/>
      <c r="BQ37" s="87"/>
      <c r="BR37" s="259"/>
      <c r="BS37" s="359" t="s">
        <v>186</v>
      </c>
      <c r="BT37" s="359"/>
      <c r="BU37" s="359"/>
      <c r="BV37" s="359"/>
      <c r="BW37" s="359"/>
      <c r="BX37" s="359"/>
      <c r="BY37" s="359"/>
      <c r="BZ37" s="359"/>
      <c r="CA37" s="359"/>
      <c r="CB37" s="359"/>
      <c r="CC37" s="359"/>
    </row>
    <row r="38" spans="1:81" s="3" customFormat="1" ht="45" customHeight="1">
      <c r="F38" s="360" t="s">
        <v>243</v>
      </c>
      <c r="G38" s="360"/>
      <c r="H38" s="360"/>
      <c r="I38" s="88"/>
      <c r="J38" s="361" t="s">
        <v>245</v>
      </c>
      <c r="K38" s="361"/>
      <c r="L38" s="361"/>
      <c r="M38" s="87"/>
      <c r="N38" s="362" t="s">
        <v>246</v>
      </c>
      <c r="O38" s="362"/>
      <c r="P38" s="362"/>
      <c r="Q38" s="88"/>
      <c r="R38" s="19"/>
      <c r="S38" s="360" t="s">
        <v>243</v>
      </c>
      <c r="T38" s="360"/>
      <c r="U38" s="360"/>
      <c r="V38" s="88"/>
      <c r="W38" s="361" t="s">
        <v>245</v>
      </c>
      <c r="X38" s="361"/>
      <c r="Y38" s="361"/>
      <c r="Z38" s="87"/>
      <c r="AA38" s="362" t="s">
        <v>246</v>
      </c>
      <c r="AB38" s="362"/>
      <c r="AC38" s="362"/>
      <c r="AD38" s="147"/>
      <c r="AE38" s="19"/>
      <c r="AF38" s="360" t="s">
        <v>243</v>
      </c>
      <c r="AG38" s="360"/>
      <c r="AH38" s="360"/>
      <c r="AI38" s="88"/>
      <c r="AJ38" s="361" t="s">
        <v>245</v>
      </c>
      <c r="AK38" s="361"/>
      <c r="AL38" s="361"/>
      <c r="AM38" s="87"/>
      <c r="AN38" s="362" t="s">
        <v>246</v>
      </c>
      <c r="AO38" s="362"/>
      <c r="AP38" s="362"/>
      <c r="AQ38" s="147"/>
      <c r="AR38" s="19"/>
      <c r="AS38" s="360" t="s">
        <v>243</v>
      </c>
      <c r="AT38" s="360"/>
      <c r="AU38" s="360"/>
      <c r="AV38" s="88"/>
      <c r="AW38" s="361" t="s">
        <v>245</v>
      </c>
      <c r="AX38" s="361"/>
      <c r="AY38" s="361"/>
      <c r="AZ38" s="87"/>
      <c r="BA38" s="362" t="s">
        <v>246</v>
      </c>
      <c r="BB38" s="362"/>
      <c r="BC38" s="362"/>
      <c r="BD38" s="147"/>
      <c r="BE38" s="19"/>
      <c r="BF38" s="360" t="s">
        <v>243</v>
      </c>
      <c r="BG38" s="360"/>
      <c r="BH38" s="360"/>
      <c r="BI38" s="88"/>
      <c r="BJ38" s="361" t="s">
        <v>245</v>
      </c>
      <c r="BK38" s="361"/>
      <c r="BL38" s="361"/>
      <c r="BM38" s="87"/>
      <c r="BN38" s="362" t="s">
        <v>246</v>
      </c>
      <c r="BO38" s="362"/>
      <c r="BP38" s="362"/>
      <c r="BQ38" s="147"/>
      <c r="BR38" s="19"/>
      <c r="BS38" s="360" t="s">
        <v>243</v>
      </c>
      <c r="BT38" s="360"/>
      <c r="BU38" s="360"/>
      <c r="BV38" s="88"/>
      <c r="BW38" s="361" t="s">
        <v>245</v>
      </c>
      <c r="BX38" s="361"/>
      <c r="BY38" s="361"/>
      <c r="BZ38" s="87"/>
      <c r="CA38" s="362" t="s">
        <v>246</v>
      </c>
      <c r="CB38" s="362"/>
      <c r="CC38" s="362"/>
    </row>
    <row r="39" spans="1:81" s="252" customFormat="1" ht="51">
      <c r="A39" s="282"/>
      <c r="B39" s="282"/>
      <c r="C39" s="282"/>
      <c r="D39" s="282"/>
      <c r="E39" s="282"/>
      <c r="F39" s="254" t="s">
        <v>409</v>
      </c>
      <c r="G39" s="255" t="s">
        <v>410</v>
      </c>
      <c r="H39" s="255" t="s">
        <v>154</v>
      </c>
      <c r="I39" s="88"/>
      <c r="J39" s="254" t="s">
        <v>409</v>
      </c>
      <c r="K39" s="255" t="s">
        <v>410</v>
      </c>
      <c r="L39" s="255" t="s">
        <v>154</v>
      </c>
      <c r="M39" s="87"/>
      <c r="N39" s="254" t="s">
        <v>409</v>
      </c>
      <c r="O39" s="255" t="s">
        <v>410</v>
      </c>
      <c r="P39" s="255" t="s">
        <v>154</v>
      </c>
      <c r="Q39" s="88"/>
      <c r="R39" s="8"/>
      <c r="S39" s="254" t="s">
        <v>409</v>
      </c>
      <c r="T39" s="255" t="s">
        <v>410</v>
      </c>
      <c r="U39" s="255" t="s">
        <v>154</v>
      </c>
      <c r="V39" s="88"/>
      <c r="W39" s="254" t="s">
        <v>409</v>
      </c>
      <c r="X39" s="255" t="s">
        <v>410</v>
      </c>
      <c r="Y39" s="255" t="s">
        <v>154</v>
      </c>
      <c r="Z39" s="87"/>
      <c r="AA39" s="254" t="s">
        <v>409</v>
      </c>
      <c r="AB39" s="255" t="s">
        <v>410</v>
      </c>
      <c r="AC39" s="255" t="s">
        <v>154</v>
      </c>
      <c r="AD39" s="88"/>
      <c r="AE39" s="8"/>
      <c r="AF39" s="254" t="s">
        <v>409</v>
      </c>
      <c r="AG39" s="255" t="s">
        <v>410</v>
      </c>
      <c r="AH39" s="255" t="s">
        <v>154</v>
      </c>
      <c r="AI39" s="88"/>
      <c r="AJ39" s="254" t="s">
        <v>409</v>
      </c>
      <c r="AK39" s="255" t="s">
        <v>410</v>
      </c>
      <c r="AL39" s="255" t="s">
        <v>154</v>
      </c>
      <c r="AM39" s="87"/>
      <c r="AN39" s="254" t="s">
        <v>409</v>
      </c>
      <c r="AO39" s="255" t="s">
        <v>410</v>
      </c>
      <c r="AP39" s="255" t="s">
        <v>154</v>
      </c>
      <c r="AQ39" s="88"/>
      <c r="AR39" s="8"/>
      <c r="AS39" s="254" t="s">
        <v>409</v>
      </c>
      <c r="AT39" s="255" t="s">
        <v>410</v>
      </c>
      <c r="AU39" s="255" t="s">
        <v>154</v>
      </c>
      <c r="AV39" s="88"/>
      <c r="AW39" s="254" t="s">
        <v>409</v>
      </c>
      <c r="AX39" s="255" t="s">
        <v>410</v>
      </c>
      <c r="AY39" s="255" t="s">
        <v>154</v>
      </c>
      <c r="AZ39" s="87"/>
      <c r="BA39" s="254" t="s">
        <v>409</v>
      </c>
      <c r="BB39" s="255" t="s">
        <v>410</v>
      </c>
      <c r="BC39" s="255" t="s">
        <v>154</v>
      </c>
      <c r="BD39" s="88"/>
      <c r="BE39" s="8"/>
      <c r="BF39" s="254" t="s">
        <v>409</v>
      </c>
      <c r="BG39" s="255" t="s">
        <v>410</v>
      </c>
      <c r="BH39" s="255" t="s">
        <v>154</v>
      </c>
      <c r="BI39" s="88"/>
      <c r="BJ39" s="254" t="s">
        <v>409</v>
      </c>
      <c r="BK39" s="255" t="s">
        <v>410</v>
      </c>
      <c r="BL39" s="255" t="s">
        <v>154</v>
      </c>
      <c r="BM39" s="87"/>
      <c r="BN39" s="254" t="s">
        <v>409</v>
      </c>
      <c r="BO39" s="255" t="s">
        <v>410</v>
      </c>
      <c r="BP39" s="255" t="s">
        <v>154</v>
      </c>
      <c r="BQ39" s="88"/>
      <c r="BR39" s="8"/>
      <c r="BS39" s="254" t="s">
        <v>409</v>
      </c>
      <c r="BT39" s="255" t="s">
        <v>410</v>
      </c>
      <c r="BU39" s="255" t="s">
        <v>154</v>
      </c>
      <c r="BV39" s="88"/>
      <c r="BW39" s="254" t="s">
        <v>409</v>
      </c>
      <c r="BX39" s="255" t="s">
        <v>410</v>
      </c>
      <c r="BY39" s="255" t="s">
        <v>154</v>
      </c>
      <c r="BZ39" s="87"/>
      <c r="CA39" s="254" t="s">
        <v>409</v>
      </c>
      <c r="CB39" s="255" t="s">
        <v>410</v>
      </c>
      <c r="CC39" s="255" t="s">
        <v>154</v>
      </c>
    </row>
    <row r="40" spans="1:81" s="252" customFormat="1">
      <c r="A40" s="282"/>
      <c r="B40" s="282"/>
      <c r="C40" s="282"/>
      <c r="D40" s="282"/>
      <c r="E40" s="8">
        <v>2022</v>
      </c>
      <c r="F40" s="256">
        <f>($U$21*$F77*$V$13)+($U$21*$G77*$V$14)</f>
        <v>57.551691115560843</v>
      </c>
      <c r="G40" s="256">
        <f t="shared" ref="G40:G68" si="8">($T$20*$F77*$V$13)+($T$20*$G77*$V$14)</f>
        <v>67.343471895638913</v>
      </c>
      <c r="H40" s="256">
        <f>SUM(F40:G40)</f>
        <v>124.89516301119976</v>
      </c>
      <c r="I40" s="88"/>
      <c r="J40" s="256">
        <f>($U$21*$J77*$V$13)+($U$21*$K77*$V$14)</f>
        <v>57.551691115560843</v>
      </c>
      <c r="K40" s="256">
        <f>($T$20*$O77*$V$13)+($T$20*$P77*$V$14)</f>
        <v>67.343471895638913</v>
      </c>
      <c r="L40" s="256">
        <f>SUM(J40:K40)</f>
        <v>124.89516301119976</v>
      </c>
      <c r="M40" s="87"/>
      <c r="N40" s="256">
        <f t="shared" ref="N40:N67" si="9">($U$21*$R77*$V$13)+($U$21*$S77*$V$14)</f>
        <v>57.551691115560843</v>
      </c>
      <c r="O40" s="256">
        <f>($T$20*$V77*$V$13)+($T$20*$W77*$V$14)</f>
        <v>67.343471895638913</v>
      </c>
      <c r="P40" s="256">
        <f>SUM(N40:O40)</f>
        <v>124.89516301119976</v>
      </c>
      <c r="Q40" s="88"/>
      <c r="R40" s="8">
        <v>2022</v>
      </c>
      <c r="S40" s="256">
        <f t="shared" ref="S40:S68" si="10">($U$21*$F77*$T$13)+($U$21*$G77*$T$14)</f>
        <v>135.41574380131965</v>
      </c>
      <c r="T40" s="256">
        <f t="shared" ref="T40:T68" si="11">($T$20*$F77*$T$13)+($T$20*$G77*$T$14)</f>
        <v>158.4552279897386</v>
      </c>
      <c r="U40" s="256">
        <f>SUM(S40:T40)</f>
        <v>293.87097179105825</v>
      </c>
      <c r="V40" s="88"/>
      <c r="W40" s="256">
        <f t="shared" ref="W40:W68" si="12">($U$21*$J77*$T$13)+($U$21*$K77*$T$14)</f>
        <v>135.41574380131965</v>
      </c>
      <c r="X40" s="256">
        <f t="shared" ref="X40:X68" si="13">($T$20*$O77*$T$13)+($T$20*$P77*$T$14)</f>
        <v>158.4552279897386</v>
      </c>
      <c r="Y40" s="256">
        <f>SUM(W40:X40)</f>
        <v>293.87097179105825</v>
      </c>
      <c r="Z40" s="87"/>
      <c r="AA40" s="256">
        <f t="shared" ref="AA40:AA68" si="14">($U$21*$R77*$T$13)+($U$21*$S77*$T$14)</f>
        <v>135.41574380131965</v>
      </c>
      <c r="AB40" s="256">
        <f t="shared" ref="AB40:AB68" si="15">($T$20*$V77*$T$13)+($T$20*$W77*$T$14)</f>
        <v>158.4552279897386</v>
      </c>
      <c r="AC40" s="256">
        <f>SUM(AA40:AB40)</f>
        <v>293.87097179105825</v>
      </c>
      <c r="AD40" s="88"/>
      <c r="AE40" s="8">
        <v>2022</v>
      </c>
      <c r="AF40" s="256">
        <f t="shared" ref="AF40:AF68" si="16">($U$21*$F77*$U$13)+($U$21*$G77*$U$14)</f>
        <v>77.864052685758793</v>
      </c>
      <c r="AG40" s="256">
        <f t="shared" ref="AG40:AG68" si="17">($T$20*$F77*$U$13)+($T$20*$G77*$U$14)</f>
        <v>91.11175609409969</v>
      </c>
      <c r="AH40" s="256">
        <f>SUM(AF40:AG40)</f>
        <v>168.97580877985848</v>
      </c>
      <c r="AI40" s="88"/>
      <c r="AJ40" s="256">
        <f t="shared" ref="AJ40:AJ68" si="18">($U$21*$J77*$U$13)+($U$21*$K77*$U$14)</f>
        <v>77.864052685758793</v>
      </c>
      <c r="AK40" s="256">
        <f t="shared" ref="AK40:AK68" si="19">($T$20*$O77*$U$13)+($T$20*$P77*$U$14)</f>
        <v>91.11175609409969</v>
      </c>
      <c r="AL40" s="256">
        <f>SUM(AJ40:AK40)</f>
        <v>168.97580877985848</v>
      </c>
      <c r="AM40" s="87"/>
      <c r="AN40" s="256">
        <f t="shared" ref="AN40:AN68" si="20">($U$21*$R77*$U$13)+($U$21*$S77*$U$14)</f>
        <v>77.864052685758793</v>
      </c>
      <c r="AO40" s="256">
        <f t="shared" ref="AO40:AO68" si="21">($T$20*$V77*$U$13)+($T$20*$W77*$U$14)</f>
        <v>91.11175609409969</v>
      </c>
      <c r="AP40" s="256">
        <f>SUM(AN40:AO40)</f>
        <v>168.97580877985848</v>
      </c>
      <c r="AQ40" s="88"/>
      <c r="AR40" s="8">
        <v>2022</v>
      </c>
      <c r="AS40" s="256">
        <f t="shared" ref="AS40:AS68" si="22">($U$21*$F77*$W$13)+($U$21*$G77*$W$14)</f>
        <v>44.010116735428873</v>
      </c>
      <c r="AT40" s="256">
        <f t="shared" ref="AT40:AT68" si="23">($T$20*$F77*$W$13)+($T$20*$G77*$W$14)</f>
        <v>51.497949096665046</v>
      </c>
      <c r="AU40" s="256">
        <f>SUM(AS40:AT40)</f>
        <v>95.508065832093919</v>
      </c>
      <c r="AV40" s="88"/>
      <c r="AW40" s="256">
        <f t="shared" ref="AW40:AW68" si="24">($U$21*$J77*$W$13)+($U$21*$K77*$W$14)</f>
        <v>44.010116735428873</v>
      </c>
      <c r="AX40" s="256">
        <f t="shared" ref="AX40:AX68" si="25">($T$20*$O77*$W$13)+($T$20*$P77*$W$14)</f>
        <v>51.497949096665046</v>
      </c>
      <c r="AY40" s="256">
        <f>SUM(AW40:AX40)</f>
        <v>95.508065832093919</v>
      </c>
      <c r="AZ40" s="87"/>
      <c r="BA40" s="256">
        <f t="shared" ref="BA40:BA68" si="26">($U$21*$R77*$W$13)+($U$21*$S77*$W$14)</f>
        <v>44.010116735428873</v>
      </c>
      <c r="BB40" s="256">
        <f t="shared" ref="BB40:BB68" si="27">($T$20*$V77*$W$13)+($T$20*$W77*$W$14)</f>
        <v>51.497949096665046</v>
      </c>
      <c r="BC40" s="256">
        <f>SUM(BA40:BB40)</f>
        <v>95.508065832093919</v>
      </c>
      <c r="BD40" s="88"/>
      <c r="BE40" s="8">
        <v>2022</v>
      </c>
      <c r="BF40" s="256">
        <f t="shared" ref="BF40:BF68" si="28">($U$21*$F77*$X$13)+($U$21*$G77*$X$14)</f>
        <v>33.853935950329912</v>
      </c>
      <c r="BG40" s="256">
        <f t="shared" ref="BG40:BG68" si="29">($T$20*$F77*$X$13)+($T$20*$G77*$X$14)</f>
        <v>39.613806997434651</v>
      </c>
      <c r="BH40" s="256">
        <f>SUM(BF40:BG40)</f>
        <v>73.467742947764563</v>
      </c>
      <c r="BI40" s="88"/>
      <c r="BJ40" s="256">
        <f t="shared" ref="BJ40:BJ68" si="30">($U$21*$J77*$X$13)+($U$21*$K77*$X$14)</f>
        <v>33.853935950329912</v>
      </c>
      <c r="BK40" s="256">
        <f t="shared" ref="BK40:BK68" si="31">($T$20*$O77*$X$13)+($T$20*$P77*$X$14)</f>
        <v>39.613806997434651</v>
      </c>
      <c r="BL40" s="256">
        <f>SUM(BJ40:BK40)</f>
        <v>73.467742947764563</v>
      </c>
      <c r="BM40" s="87"/>
      <c r="BN40" s="256">
        <f t="shared" ref="BN40:BN68" si="32">($U$21*$R77*$X$13)+($U$21*$S77*$X$14)</f>
        <v>33.853935950329912</v>
      </c>
      <c r="BO40" s="256">
        <f t="shared" ref="BO40:BO68" si="33">($T$20*$V77*$X$13)+($T$20*$W77*$X$14)</f>
        <v>39.613806997434651</v>
      </c>
      <c r="BP40" s="256">
        <f>SUM(BN40:BO40)</f>
        <v>73.467742947764563</v>
      </c>
      <c r="BQ40" s="88"/>
      <c r="BR40" s="8">
        <v>2022</v>
      </c>
      <c r="BS40" s="256">
        <f t="shared" ref="BS40:BS68" si="34">($U$21*$F77*$Y$13)+($U$21*$G77*$Y$14)</f>
        <v>37.239329545362907</v>
      </c>
      <c r="BT40" s="256">
        <f t="shared" ref="BT40:BT68" si="35">($T$20*$F77*$Y$13)+($T$20*$G77*$Y$14)</f>
        <v>43.575187697178123</v>
      </c>
      <c r="BU40" s="256">
        <f>SUM(BS40:BT40)</f>
        <v>80.814517242541029</v>
      </c>
      <c r="BV40" s="88"/>
      <c r="BW40" s="256">
        <f t="shared" ref="BW40:BW68" si="36">($U$21*$J77*$Y$13)+($U$21*$K77*$Y$14)</f>
        <v>37.239329545362907</v>
      </c>
      <c r="BX40" s="256">
        <f t="shared" ref="BX40:BX68" si="37">($T$20*$O77*$Y$13)+($T$20*$P77*$Y$14)</f>
        <v>43.575187697178123</v>
      </c>
      <c r="BY40" s="256">
        <f>SUM(BW40:BX40)</f>
        <v>80.814517242541029</v>
      </c>
      <c r="BZ40" s="87"/>
      <c r="CA40" s="256">
        <f t="shared" ref="CA40:CA68" si="38">($U$21*$R77*$Y$13)+($U$21*$S77*$Y$14)</f>
        <v>37.239329545362907</v>
      </c>
      <c r="CB40" s="256">
        <f t="shared" ref="CB40:CB68" si="39">($T$20*$V77*$Y$13)+($T$20*$W77*$Y$14)</f>
        <v>43.575187697178123</v>
      </c>
      <c r="CC40" s="256">
        <f>SUM(CA40:CB40)</f>
        <v>80.814517242541029</v>
      </c>
    </row>
    <row r="41" spans="1:81" s="252" customFormat="1">
      <c r="A41" s="282"/>
      <c r="B41" s="282"/>
      <c r="C41" s="282"/>
      <c r="D41" s="282"/>
      <c r="E41" s="8">
        <v>2023</v>
      </c>
      <c r="F41" s="256">
        <f t="shared" ref="F41:F67" si="40">($U$21*$F78*$V$13)+($U$21*$G78*$V$14)</f>
        <v>57.551691115560843</v>
      </c>
      <c r="G41" s="256">
        <f t="shared" si="8"/>
        <v>67.343471895638913</v>
      </c>
      <c r="H41" s="256">
        <f t="shared" ref="H41:H68" si="41">SUM(F41:G41)</f>
        <v>124.89516301119976</v>
      </c>
      <c r="I41" s="88"/>
      <c r="J41" s="256">
        <f t="shared" ref="J41:J68" si="42">($U$21*$J78*$V$13)+($U$21*$K78*$V$14)</f>
        <v>57.325998209225311</v>
      </c>
      <c r="K41" s="256">
        <f t="shared" ref="K41:K68" si="43">($T$20*$O78*$V$13)+($T$20*$P78*$V$14)</f>
        <v>67.079379848989348</v>
      </c>
      <c r="L41" s="256">
        <f t="shared" ref="L41:L67" si="44">SUM(J41:K41)</f>
        <v>124.40537805821467</v>
      </c>
      <c r="M41" s="87"/>
      <c r="N41" s="256">
        <f t="shared" si="9"/>
        <v>56.342621974477638</v>
      </c>
      <c r="O41" s="256">
        <f t="shared" ref="O41:O68" si="45">($T$20*$V78*$V$13)+($T$20*$W78*$V$14)</f>
        <v>65.928693074301961</v>
      </c>
      <c r="P41" s="256">
        <f t="shared" ref="P41:P68" si="46">SUM(N41:O41)</f>
        <v>122.2713150487796</v>
      </c>
      <c r="Q41" s="88"/>
      <c r="R41" s="8">
        <v>2023</v>
      </c>
      <c r="S41" s="256">
        <f t="shared" si="10"/>
        <v>135.41574380131965</v>
      </c>
      <c r="T41" s="256">
        <f t="shared" si="11"/>
        <v>158.4552279897386</v>
      </c>
      <c r="U41" s="256">
        <f t="shared" ref="U41:U68" si="47">SUM(S41:T41)</f>
        <v>293.87097179105825</v>
      </c>
      <c r="V41" s="88"/>
      <c r="W41" s="256">
        <f t="shared" si="12"/>
        <v>135.1900508949841</v>
      </c>
      <c r="X41" s="256">
        <f t="shared" si="13"/>
        <v>158.19113594308905</v>
      </c>
      <c r="Y41" s="256">
        <f t="shared" ref="Y41:Y68" si="48">SUM(W41:X41)</f>
        <v>293.38118683807318</v>
      </c>
      <c r="Z41" s="87"/>
      <c r="AA41" s="256">
        <f t="shared" si="14"/>
        <v>134.20667466023644</v>
      </c>
      <c r="AB41" s="256">
        <f t="shared" si="15"/>
        <v>157.04044916840164</v>
      </c>
      <c r="AC41" s="256">
        <f t="shared" ref="AC41:AC67" si="49">SUM(AA41:AB41)</f>
        <v>291.24712382863811</v>
      </c>
      <c r="AD41" s="88"/>
      <c r="AE41" s="8">
        <v>2023</v>
      </c>
      <c r="AF41" s="256">
        <f t="shared" si="16"/>
        <v>77.864052685758793</v>
      </c>
      <c r="AG41" s="256">
        <f t="shared" si="17"/>
        <v>91.11175609409969</v>
      </c>
      <c r="AH41" s="256">
        <f t="shared" ref="AH41:AH68" si="50">SUM(AF41:AG41)</f>
        <v>168.97580877985848</v>
      </c>
      <c r="AI41" s="88"/>
      <c r="AJ41" s="256">
        <f t="shared" si="18"/>
        <v>77.638359779423254</v>
      </c>
      <c r="AK41" s="256">
        <f t="shared" si="19"/>
        <v>90.847664047450138</v>
      </c>
      <c r="AL41" s="256">
        <f t="shared" ref="AL41:AL68" si="51">SUM(AJ41:AK41)</f>
        <v>168.48602382687341</v>
      </c>
      <c r="AM41" s="87"/>
      <c r="AN41" s="256">
        <f t="shared" si="20"/>
        <v>76.654983544675574</v>
      </c>
      <c r="AO41" s="256">
        <f t="shared" si="21"/>
        <v>89.696977272762737</v>
      </c>
      <c r="AP41" s="256">
        <f t="shared" ref="AP41:AP68" si="52">SUM(AN41:AO41)</f>
        <v>166.35196081743831</v>
      </c>
      <c r="AQ41" s="88"/>
      <c r="AR41" s="8">
        <v>2023</v>
      </c>
      <c r="AS41" s="256">
        <f t="shared" si="22"/>
        <v>44.010116735428873</v>
      </c>
      <c r="AT41" s="256">
        <f t="shared" si="23"/>
        <v>51.497949096665046</v>
      </c>
      <c r="AU41" s="256">
        <f t="shared" ref="AU41:AU68" si="53">SUM(AS41:AT41)</f>
        <v>95.508065832093919</v>
      </c>
      <c r="AV41" s="88"/>
      <c r="AW41" s="256">
        <f t="shared" si="24"/>
        <v>43.784423829093342</v>
      </c>
      <c r="AX41" s="256">
        <f t="shared" si="25"/>
        <v>51.23385705001548</v>
      </c>
      <c r="AY41" s="256">
        <f t="shared" ref="AY41:AY68" si="54">SUM(AW41:AX41)</f>
        <v>95.018280879108829</v>
      </c>
      <c r="AZ41" s="87"/>
      <c r="BA41" s="256">
        <f t="shared" si="26"/>
        <v>42.801047594345661</v>
      </c>
      <c r="BB41" s="256">
        <f t="shared" si="27"/>
        <v>50.083170275328087</v>
      </c>
      <c r="BC41" s="256">
        <f t="shared" ref="BC41:BC68" si="55">SUM(BA41:BB41)</f>
        <v>92.884217869673748</v>
      </c>
      <c r="BD41" s="88"/>
      <c r="BE41" s="8">
        <v>2023</v>
      </c>
      <c r="BF41" s="256">
        <f t="shared" si="28"/>
        <v>33.853935950329912</v>
      </c>
      <c r="BG41" s="256">
        <f t="shared" si="29"/>
        <v>39.613806997434651</v>
      </c>
      <c r="BH41" s="256">
        <f t="shared" ref="BH41:BH68" si="56">SUM(BF41:BG41)</f>
        <v>73.467742947764563</v>
      </c>
      <c r="BI41" s="88"/>
      <c r="BJ41" s="256">
        <f t="shared" si="30"/>
        <v>33.628243043994374</v>
      </c>
      <c r="BK41" s="256">
        <f t="shared" si="31"/>
        <v>39.349714950785092</v>
      </c>
      <c r="BL41" s="256">
        <f t="shared" ref="BL41:BL68" si="57">SUM(BJ41:BK41)</f>
        <v>72.977957994779473</v>
      </c>
      <c r="BM41" s="87"/>
      <c r="BN41" s="256">
        <f t="shared" si="32"/>
        <v>32.6448668092467</v>
      </c>
      <c r="BO41" s="256">
        <f t="shared" si="33"/>
        <v>38.199028176097698</v>
      </c>
      <c r="BP41" s="256">
        <f t="shared" ref="BP41:BP68" si="58">SUM(BN41:BO41)</f>
        <v>70.843894985344406</v>
      </c>
      <c r="BQ41" s="88"/>
      <c r="BR41" s="8">
        <v>2023</v>
      </c>
      <c r="BS41" s="256">
        <f t="shared" si="34"/>
        <v>37.239329545362907</v>
      </c>
      <c r="BT41" s="256">
        <f t="shared" si="35"/>
        <v>43.575187697178123</v>
      </c>
      <c r="BU41" s="256">
        <f t="shared" ref="BU41:BU68" si="59">SUM(BS41:BT41)</f>
        <v>80.814517242541029</v>
      </c>
      <c r="BV41" s="88"/>
      <c r="BW41" s="256">
        <f t="shared" si="36"/>
        <v>37.013636639027375</v>
      </c>
      <c r="BX41" s="256">
        <f t="shared" si="37"/>
        <v>43.311095650528564</v>
      </c>
      <c r="BY41" s="256">
        <f t="shared" ref="BY41:BY68" si="60">SUM(BW41:BX41)</f>
        <v>80.324732289555939</v>
      </c>
      <c r="BZ41" s="87"/>
      <c r="CA41" s="256">
        <f t="shared" si="38"/>
        <v>36.030260404279701</v>
      </c>
      <c r="CB41" s="256">
        <f t="shared" si="39"/>
        <v>42.160408875841171</v>
      </c>
      <c r="CC41" s="256">
        <f t="shared" ref="CC41:CC68" si="61">SUM(CA41:CB41)</f>
        <v>78.190669280120872</v>
      </c>
    </row>
    <row r="42" spans="1:81" s="252" customFormat="1">
      <c r="A42" s="282"/>
      <c r="B42" s="282"/>
      <c r="C42" s="282"/>
      <c r="D42" s="282"/>
      <c r="E42" s="8">
        <v>2024</v>
      </c>
      <c r="F42" s="256">
        <f t="shared" si="40"/>
        <v>57.551691115560843</v>
      </c>
      <c r="G42" s="256">
        <f t="shared" si="8"/>
        <v>67.343471895638913</v>
      </c>
      <c r="H42" s="256">
        <f t="shared" si="41"/>
        <v>124.89516301119976</v>
      </c>
      <c r="I42" s="88"/>
      <c r="J42" s="256">
        <f t="shared" si="42"/>
        <v>57.10030530288978</v>
      </c>
      <c r="K42" s="256">
        <f t="shared" si="43"/>
        <v>66.815287802339782</v>
      </c>
      <c r="L42" s="256">
        <f t="shared" si="44"/>
        <v>123.91559310522956</v>
      </c>
      <c r="M42" s="87"/>
      <c r="N42" s="256">
        <f t="shared" si="9"/>
        <v>55.133552833394432</v>
      </c>
      <c r="O42" s="256">
        <f t="shared" si="45"/>
        <v>64.513914252965009</v>
      </c>
      <c r="P42" s="256">
        <f t="shared" si="46"/>
        <v>119.64746708635944</v>
      </c>
      <c r="Q42" s="88"/>
      <c r="R42" s="8">
        <v>2024</v>
      </c>
      <c r="S42" s="256">
        <f t="shared" si="10"/>
        <v>135.41574380131965</v>
      </c>
      <c r="T42" s="256">
        <f t="shared" si="11"/>
        <v>158.4552279897386</v>
      </c>
      <c r="U42" s="256">
        <f t="shared" si="47"/>
        <v>293.87097179105825</v>
      </c>
      <c r="V42" s="88"/>
      <c r="W42" s="256">
        <f t="shared" si="12"/>
        <v>134.96435798864857</v>
      </c>
      <c r="X42" s="256">
        <f t="shared" si="13"/>
        <v>157.9270438964395</v>
      </c>
      <c r="Y42" s="256">
        <f t="shared" si="48"/>
        <v>292.89140188508804</v>
      </c>
      <c r="Z42" s="87"/>
      <c r="AA42" s="256">
        <f t="shared" si="14"/>
        <v>132.99760551915324</v>
      </c>
      <c r="AB42" s="256">
        <f t="shared" si="15"/>
        <v>155.6256703470647</v>
      </c>
      <c r="AC42" s="256">
        <f t="shared" si="49"/>
        <v>288.62327586621791</v>
      </c>
      <c r="AD42" s="88"/>
      <c r="AE42" s="8">
        <v>2024</v>
      </c>
      <c r="AF42" s="256">
        <f t="shared" si="16"/>
        <v>77.864052685758793</v>
      </c>
      <c r="AG42" s="256">
        <f t="shared" si="17"/>
        <v>91.11175609409969</v>
      </c>
      <c r="AH42" s="256">
        <f t="shared" si="50"/>
        <v>168.97580877985848</v>
      </c>
      <c r="AI42" s="88"/>
      <c r="AJ42" s="256">
        <f t="shared" si="18"/>
        <v>77.412666873087716</v>
      </c>
      <c r="AK42" s="256">
        <f t="shared" si="19"/>
        <v>90.583572000800572</v>
      </c>
      <c r="AL42" s="256">
        <f t="shared" si="51"/>
        <v>167.99623887388827</v>
      </c>
      <c r="AM42" s="87"/>
      <c r="AN42" s="256">
        <f t="shared" si="20"/>
        <v>75.445914403592369</v>
      </c>
      <c r="AO42" s="256">
        <f t="shared" si="21"/>
        <v>88.282198451425785</v>
      </c>
      <c r="AP42" s="256">
        <f t="shared" si="52"/>
        <v>163.72811285501814</v>
      </c>
      <c r="AQ42" s="88"/>
      <c r="AR42" s="8">
        <v>2024</v>
      </c>
      <c r="AS42" s="256">
        <f t="shared" si="22"/>
        <v>44.010116735428873</v>
      </c>
      <c r="AT42" s="256">
        <f t="shared" si="23"/>
        <v>51.497949096665046</v>
      </c>
      <c r="AU42" s="256">
        <f t="shared" si="53"/>
        <v>95.508065832093919</v>
      </c>
      <c r="AV42" s="88"/>
      <c r="AW42" s="256">
        <f t="shared" si="24"/>
        <v>43.55873092275781</v>
      </c>
      <c r="AX42" s="256">
        <f t="shared" si="25"/>
        <v>50.969765003365922</v>
      </c>
      <c r="AY42" s="256">
        <f t="shared" si="54"/>
        <v>94.528495926123725</v>
      </c>
      <c r="AZ42" s="87"/>
      <c r="BA42" s="256">
        <f t="shared" si="26"/>
        <v>41.591978453262456</v>
      </c>
      <c r="BB42" s="256">
        <f t="shared" si="27"/>
        <v>48.668391453991134</v>
      </c>
      <c r="BC42" s="256">
        <f t="shared" si="55"/>
        <v>90.26036990725359</v>
      </c>
      <c r="BD42" s="88"/>
      <c r="BE42" s="8">
        <v>2024</v>
      </c>
      <c r="BF42" s="256">
        <f t="shared" si="28"/>
        <v>33.853935950329912</v>
      </c>
      <c r="BG42" s="256">
        <f t="shared" si="29"/>
        <v>39.613806997434651</v>
      </c>
      <c r="BH42" s="256">
        <f t="shared" si="56"/>
        <v>73.467742947764563</v>
      </c>
      <c r="BI42" s="88"/>
      <c r="BJ42" s="256">
        <f t="shared" si="30"/>
        <v>33.402550137658842</v>
      </c>
      <c r="BK42" s="256">
        <f t="shared" si="31"/>
        <v>39.085622904135526</v>
      </c>
      <c r="BL42" s="256">
        <f t="shared" si="57"/>
        <v>72.488173041794369</v>
      </c>
      <c r="BM42" s="87"/>
      <c r="BN42" s="256">
        <f t="shared" si="32"/>
        <v>31.435797668163492</v>
      </c>
      <c r="BO42" s="256">
        <f t="shared" si="33"/>
        <v>36.784249354760746</v>
      </c>
      <c r="BP42" s="256">
        <f t="shared" si="58"/>
        <v>68.220047022924234</v>
      </c>
      <c r="BQ42" s="88"/>
      <c r="BR42" s="8">
        <v>2024</v>
      </c>
      <c r="BS42" s="256">
        <f t="shared" si="34"/>
        <v>37.239329545362907</v>
      </c>
      <c r="BT42" s="256">
        <f t="shared" si="35"/>
        <v>43.575187697178123</v>
      </c>
      <c r="BU42" s="256">
        <f t="shared" si="59"/>
        <v>80.814517242541029</v>
      </c>
      <c r="BV42" s="88"/>
      <c r="BW42" s="256">
        <f t="shared" si="36"/>
        <v>36.787943732691836</v>
      </c>
      <c r="BX42" s="256">
        <f t="shared" si="37"/>
        <v>43.047003603879006</v>
      </c>
      <c r="BY42" s="256">
        <f t="shared" si="60"/>
        <v>79.834947336570849</v>
      </c>
      <c r="BZ42" s="87"/>
      <c r="CA42" s="256">
        <f t="shared" si="38"/>
        <v>34.821191263196489</v>
      </c>
      <c r="CB42" s="256">
        <f t="shared" si="39"/>
        <v>40.745630054504218</v>
      </c>
      <c r="CC42" s="256">
        <f t="shared" si="61"/>
        <v>75.566821317700715</v>
      </c>
    </row>
    <row r="43" spans="1:81" s="252" customFormat="1">
      <c r="A43" s="282"/>
      <c r="B43" s="282"/>
      <c r="C43" s="282"/>
      <c r="D43" s="282"/>
      <c r="E43" s="8">
        <v>2025</v>
      </c>
      <c r="F43" s="256">
        <f t="shared" si="40"/>
        <v>57.551691115560843</v>
      </c>
      <c r="G43" s="256">
        <f t="shared" si="8"/>
        <v>67.343471895638913</v>
      </c>
      <c r="H43" s="256">
        <f t="shared" si="41"/>
        <v>124.89516301119976</v>
      </c>
      <c r="I43" s="88"/>
      <c r="J43" s="256">
        <f t="shared" si="42"/>
        <v>56.874612396554248</v>
      </c>
      <c r="K43" s="256">
        <f t="shared" si="43"/>
        <v>66.218439776911765</v>
      </c>
      <c r="L43" s="256">
        <f t="shared" si="44"/>
        <v>123.09305217346602</v>
      </c>
      <c r="M43" s="87"/>
      <c r="N43" s="256">
        <f t="shared" si="9"/>
        <v>53.924483692311213</v>
      </c>
      <c r="O43" s="256">
        <f t="shared" si="45"/>
        <v>61.885690519481365</v>
      </c>
      <c r="P43" s="256">
        <f t="shared" si="46"/>
        <v>115.81017421179257</v>
      </c>
      <c r="Q43" s="88"/>
      <c r="R43" s="8">
        <v>2025</v>
      </c>
      <c r="S43" s="256">
        <f t="shared" si="10"/>
        <v>135.41574380131965</v>
      </c>
      <c r="T43" s="256">
        <f t="shared" si="11"/>
        <v>158.4552279897386</v>
      </c>
      <c r="U43" s="256">
        <f t="shared" si="47"/>
        <v>293.87097179105825</v>
      </c>
      <c r="V43" s="88"/>
      <c r="W43" s="256">
        <f t="shared" si="12"/>
        <v>134.73866508231305</v>
      </c>
      <c r="X43" s="256">
        <f t="shared" si="13"/>
        <v>156.87463709054097</v>
      </c>
      <c r="Y43" s="256">
        <f t="shared" si="48"/>
        <v>291.61330217285399</v>
      </c>
      <c r="Z43" s="87"/>
      <c r="AA43" s="256">
        <f t="shared" si="14"/>
        <v>131.78853637807001</v>
      </c>
      <c r="AB43" s="256">
        <f t="shared" si="15"/>
        <v>151.24529745792532</v>
      </c>
      <c r="AC43" s="256">
        <f t="shared" si="49"/>
        <v>283.03383383599532</v>
      </c>
      <c r="AD43" s="88"/>
      <c r="AE43" s="8">
        <v>2025</v>
      </c>
      <c r="AF43" s="256">
        <f t="shared" si="16"/>
        <v>77.864052685758793</v>
      </c>
      <c r="AG43" s="256">
        <f t="shared" si="17"/>
        <v>91.11175609409969</v>
      </c>
      <c r="AH43" s="256">
        <f t="shared" si="50"/>
        <v>168.97580877985848</v>
      </c>
      <c r="AI43" s="88"/>
      <c r="AJ43" s="256">
        <f t="shared" si="18"/>
        <v>77.186973966752177</v>
      </c>
      <c r="AK43" s="256">
        <f t="shared" si="19"/>
        <v>89.867882554380245</v>
      </c>
      <c r="AL43" s="256">
        <f t="shared" si="51"/>
        <v>167.05485652113242</v>
      </c>
      <c r="AM43" s="87"/>
      <c r="AN43" s="256">
        <f t="shared" si="20"/>
        <v>74.236845262509149</v>
      </c>
      <c r="AO43" s="256">
        <f t="shared" si="21"/>
        <v>85.196892329510206</v>
      </c>
      <c r="AP43" s="256">
        <f t="shared" si="52"/>
        <v>159.43373759201936</v>
      </c>
      <c r="AQ43" s="88"/>
      <c r="AR43" s="8">
        <v>2025</v>
      </c>
      <c r="AS43" s="256">
        <f t="shared" si="22"/>
        <v>44.010116735428873</v>
      </c>
      <c r="AT43" s="256">
        <f t="shared" si="23"/>
        <v>51.497949096665046</v>
      </c>
      <c r="AU43" s="256">
        <f t="shared" si="53"/>
        <v>95.508065832093919</v>
      </c>
      <c r="AV43" s="88"/>
      <c r="AW43" s="256">
        <f t="shared" si="24"/>
        <v>43.333038016422279</v>
      </c>
      <c r="AX43" s="256">
        <f t="shared" si="25"/>
        <v>50.452144591932772</v>
      </c>
      <c r="AY43" s="256">
        <f t="shared" si="54"/>
        <v>93.785182608355058</v>
      </c>
      <c r="AZ43" s="87"/>
      <c r="BA43" s="256">
        <f t="shared" si="26"/>
        <v>40.382909312179244</v>
      </c>
      <c r="BB43" s="256">
        <f t="shared" si="27"/>
        <v>46.344889312795452</v>
      </c>
      <c r="BC43" s="256">
        <f t="shared" si="55"/>
        <v>86.727798624974696</v>
      </c>
      <c r="BD43" s="88"/>
      <c r="BE43" s="8">
        <v>2025</v>
      </c>
      <c r="BF43" s="256">
        <f t="shared" si="28"/>
        <v>33.853935950329912</v>
      </c>
      <c r="BG43" s="256">
        <f t="shared" si="29"/>
        <v>39.613806997434651</v>
      </c>
      <c r="BH43" s="256">
        <f t="shared" si="56"/>
        <v>73.467742947764563</v>
      </c>
      <c r="BI43" s="88"/>
      <c r="BJ43" s="256">
        <f t="shared" si="30"/>
        <v>33.176857231323311</v>
      </c>
      <c r="BK43" s="256">
        <f t="shared" si="31"/>
        <v>38.627423203198532</v>
      </c>
      <c r="BL43" s="256">
        <f t="shared" si="57"/>
        <v>71.804280434521843</v>
      </c>
      <c r="BM43" s="87"/>
      <c r="BN43" s="256">
        <f t="shared" si="32"/>
        <v>30.226728527080276</v>
      </c>
      <c r="BO43" s="256">
        <f t="shared" si="33"/>
        <v>34.689288407781035</v>
      </c>
      <c r="BP43" s="256">
        <f t="shared" si="58"/>
        <v>64.916016934861318</v>
      </c>
      <c r="BQ43" s="88"/>
      <c r="BR43" s="8">
        <v>2025</v>
      </c>
      <c r="BS43" s="256">
        <f t="shared" si="34"/>
        <v>37.239329545362907</v>
      </c>
      <c r="BT43" s="256">
        <f t="shared" si="35"/>
        <v>43.575187697178123</v>
      </c>
      <c r="BU43" s="256">
        <f t="shared" si="59"/>
        <v>80.814517242541029</v>
      </c>
      <c r="BV43" s="88"/>
      <c r="BW43" s="256">
        <f t="shared" si="36"/>
        <v>36.562250826356305</v>
      </c>
      <c r="BX43" s="256">
        <f t="shared" si="37"/>
        <v>42.568996999443279</v>
      </c>
      <c r="BY43" s="256">
        <f t="shared" si="60"/>
        <v>79.131247825799591</v>
      </c>
      <c r="BZ43" s="87"/>
      <c r="CA43" s="256">
        <f t="shared" si="38"/>
        <v>33.612122122113277</v>
      </c>
      <c r="CB43" s="256">
        <f t="shared" si="39"/>
        <v>38.57448870945251</v>
      </c>
      <c r="CC43" s="256">
        <f t="shared" si="61"/>
        <v>72.186610831565787</v>
      </c>
    </row>
    <row r="44" spans="1:81" s="252" customFormat="1">
      <c r="A44" s="282"/>
      <c r="B44" s="282"/>
      <c r="C44" s="282"/>
      <c r="D44" s="282"/>
      <c r="E44" s="8">
        <v>2026</v>
      </c>
      <c r="F44" s="256">
        <f t="shared" si="40"/>
        <v>57.551691115560843</v>
      </c>
      <c r="G44" s="256">
        <f t="shared" si="8"/>
        <v>67.343471895638913</v>
      </c>
      <c r="H44" s="256">
        <f t="shared" si="41"/>
        <v>124.89516301119976</v>
      </c>
      <c r="I44" s="88"/>
      <c r="J44" s="256">
        <f t="shared" si="42"/>
        <v>56.657947206472137</v>
      </c>
      <c r="K44" s="256">
        <f t="shared" si="43"/>
        <v>65.634690716997554</v>
      </c>
      <c r="L44" s="256">
        <f t="shared" si="44"/>
        <v>122.2926379234697</v>
      </c>
      <c r="M44" s="87"/>
      <c r="N44" s="256">
        <f t="shared" si="9"/>
        <v>52.715414551228008</v>
      </c>
      <c r="O44" s="256">
        <f t="shared" si="45"/>
        <v>59.311881356049142</v>
      </c>
      <c r="P44" s="256">
        <f t="shared" si="46"/>
        <v>112.02729590727715</v>
      </c>
      <c r="Q44" s="88"/>
      <c r="R44" s="8">
        <v>2026</v>
      </c>
      <c r="S44" s="256">
        <f t="shared" si="10"/>
        <v>135.41574380131965</v>
      </c>
      <c r="T44" s="256">
        <f t="shared" si="11"/>
        <v>158.4552279897386</v>
      </c>
      <c r="U44" s="256">
        <f t="shared" si="47"/>
        <v>293.87097179105825</v>
      </c>
      <c r="V44" s="88"/>
      <c r="W44" s="256">
        <f t="shared" si="12"/>
        <v>134.52199989223092</v>
      </c>
      <c r="X44" s="256">
        <f t="shared" si="13"/>
        <v>155.83532925015626</v>
      </c>
      <c r="Y44" s="256">
        <f t="shared" si="48"/>
        <v>290.35732914238719</v>
      </c>
      <c r="Z44" s="87"/>
      <c r="AA44" s="256">
        <f t="shared" si="14"/>
        <v>130.5794672369868</v>
      </c>
      <c r="AB44" s="256">
        <f t="shared" si="15"/>
        <v>146.9193391388373</v>
      </c>
      <c r="AC44" s="256">
        <f t="shared" si="49"/>
        <v>277.49880637582407</v>
      </c>
      <c r="AD44" s="88"/>
      <c r="AE44" s="8">
        <v>2026</v>
      </c>
      <c r="AF44" s="256">
        <f t="shared" si="16"/>
        <v>77.864052685758793</v>
      </c>
      <c r="AG44" s="256">
        <f t="shared" si="17"/>
        <v>91.11175609409969</v>
      </c>
      <c r="AH44" s="256">
        <f t="shared" si="50"/>
        <v>168.97580877985848</v>
      </c>
      <c r="AI44" s="88"/>
      <c r="AJ44" s="256">
        <f t="shared" si="18"/>
        <v>76.97030877667008</v>
      </c>
      <c r="AK44" s="256">
        <f t="shared" si="19"/>
        <v>89.165292073473751</v>
      </c>
      <c r="AL44" s="256">
        <f t="shared" si="51"/>
        <v>166.13560085014382</v>
      </c>
      <c r="AM44" s="87"/>
      <c r="AN44" s="256">
        <f t="shared" si="20"/>
        <v>73.027776121425944</v>
      </c>
      <c r="AO44" s="256">
        <f t="shared" si="21"/>
        <v>82.166000777646062</v>
      </c>
      <c r="AP44" s="256">
        <f t="shared" si="52"/>
        <v>155.19377689907202</v>
      </c>
      <c r="AQ44" s="88"/>
      <c r="AR44" s="8">
        <v>2026</v>
      </c>
      <c r="AS44" s="256">
        <f t="shared" si="22"/>
        <v>44.010116735428873</v>
      </c>
      <c r="AT44" s="256">
        <f t="shared" si="23"/>
        <v>51.497949096665046</v>
      </c>
      <c r="AU44" s="256">
        <f t="shared" si="53"/>
        <v>95.508065832093919</v>
      </c>
      <c r="AV44" s="88"/>
      <c r="AW44" s="256">
        <f t="shared" si="24"/>
        <v>43.116372826340168</v>
      </c>
      <c r="AX44" s="256">
        <f t="shared" si="25"/>
        <v>49.947623146013434</v>
      </c>
      <c r="AY44" s="256">
        <f t="shared" si="54"/>
        <v>93.063995972353609</v>
      </c>
      <c r="AZ44" s="87"/>
      <c r="BA44" s="256">
        <f t="shared" si="26"/>
        <v>39.173840171096039</v>
      </c>
      <c r="BB44" s="256">
        <f t="shared" si="27"/>
        <v>44.07580174165119</v>
      </c>
      <c r="BC44" s="256">
        <f t="shared" si="55"/>
        <v>83.249641912747222</v>
      </c>
      <c r="BD44" s="88"/>
      <c r="BE44" s="8">
        <v>2026</v>
      </c>
      <c r="BF44" s="256">
        <f t="shared" si="28"/>
        <v>33.853935950329912</v>
      </c>
      <c r="BG44" s="256">
        <f t="shared" si="29"/>
        <v>39.613806997434651</v>
      </c>
      <c r="BH44" s="256">
        <f t="shared" si="56"/>
        <v>73.467742947764563</v>
      </c>
      <c r="BI44" s="88"/>
      <c r="BJ44" s="256">
        <f t="shared" si="30"/>
        <v>32.9601920412412</v>
      </c>
      <c r="BK44" s="256">
        <f t="shared" si="31"/>
        <v>38.18232246777535</v>
      </c>
      <c r="BL44" s="256">
        <f t="shared" si="57"/>
        <v>71.14251450901655</v>
      </c>
      <c r="BM44" s="87"/>
      <c r="BN44" s="256">
        <f t="shared" si="32"/>
        <v>29.017659385997067</v>
      </c>
      <c r="BO44" s="256">
        <f t="shared" si="33"/>
        <v>32.648742030852738</v>
      </c>
      <c r="BP44" s="256">
        <f t="shared" si="58"/>
        <v>61.666401416849808</v>
      </c>
      <c r="BQ44" s="88"/>
      <c r="BR44" s="8">
        <v>2026</v>
      </c>
      <c r="BS44" s="256">
        <f t="shared" si="34"/>
        <v>37.239329545362907</v>
      </c>
      <c r="BT44" s="256">
        <f t="shared" si="35"/>
        <v>43.575187697178123</v>
      </c>
      <c r="BU44" s="256">
        <f t="shared" si="59"/>
        <v>80.814517242541029</v>
      </c>
      <c r="BV44" s="88"/>
      <c r="BW44" s="256">
        <f t="shared" si="36"/>
        <v>36.345585636274201</v>
      </c>
      <c r="BX44" s="256">
        <f t="shared" si="37"/>
        <v>42.104089360521385</v>
      </c>
      <c r="BY44" s="256">
        <f t="shared" si="60"/>
        <v>78.449674996795579</v>
      </c>
      <c r="BZ44" s="87"/>
      <c r="CA44" s="256">
        <f t="shared" si="38"/>
        <v>32.403052981030065</v>
      </c>
      <c r="CB44" s="256">
        <f t="shared" si="39"/>
        <v>36.457761934452229</v>
      </c>
      <c r="CC44" s="256">
        <f t="shared" si="61"/>
        <v>68.860814915482294</v>
      </c>
    </row>
    <row r="45" spans="1:81" s="252" customFormat="1">
      <c r="A45" s="282"/>
      <c r="B45" s="282"/>
      <c r="C45" s="282"/>
      <c r="D45" s="282"/>
      <c r="E45" s="8">
        <v>2027</v>
      </c>
      <c r="F45" s="256">
        <f t="shared" si="40"/>
        <v>57.551691115560843</v>
      </c>
      <c r="G45" s="256">
        <f t="shared" si="8"/>
        <v>67.343471895638913</v>
      </c>
      <c r="H45" s="256">
        <f t="shared" si="41"/>
        <v>124.89516301119976</v>
      </c>
      <c r="I45" s="88"/>
      <c r="J45" s="256">
        <f t="shared" si="42"/>
        <v>56.441282016390026</v>
      </c>
      <c r="K45" s="256">
        <f t="shared" si="43"/>
        <v>65.053476940731215</v>
      </c>
      <c r="L45" s="256">
        <f t="shared" si="44"/>
        <v>121.49475895712123</v>
      </c>
      <c r="M45" s="87"/>
      <c r="N45" s="256">
        <f t="shared" si="9"/>
        <v>51.506345410144789</v>
      </c>
      <c r="O45" s="256">
        <f t="shared" si="45"/>
        <v>56.792486762668325</v>
      </c>
      <c r="P45" s="256">
        <f t="shared" si="46"/>
        <v>108.29883217281312</v>
      </c>
      <c r="Q45" s="88"/>
      <c r="R45" s="8">
        <v>2027</v>
      </c>
      <c r="S45" s="256">
        <f t="shared" si="10"/>
        <v>135.41574380131965</v>
      </c>
      <c r="T45" s="256">
        <f t="shared" si="11"/>
        <v>158.4552279897386</v>
      </c>
      <c r="U45" s="256">
        <f t="shared" si="47"/>
        <v>293.87097179105825</v>
      </c>
      <c r="V45" s="88"/>
      <c r="W45" s="256">
        <f t="shared" si="12"/>
        <v>134.30533470214883</v>
      </c>
      <c r="X45" s="256">
        <f t="shared" si="13"/>
        <v>154.79855669341944</v>
      </c>
      <c r="Y45" s="256">
        <f t="shared" si="48"/>
        <v>289.10389139556827</v>
      </c>
      <c r="Z45" s="87"/>
      <c r="AA45" s="256">
        <f t="shared" si="14"/>
        <v>129.37039809590357</v>
      </c>
      <c r="AB45" s="256">
        <f t="shared" si="15"/>
        <v>142.64779538980073</v>
      </c>
      <c r="AC45" s="256">
        <f t="shared" si="49"/>
        <v>272.01819348570427</v>
      </c>
      <c r="AD45" s="88"/>
      <c r="AE45" s="8">
        <v>2027</v>
      </c>
      <c r="AF45" s="256">
        <f t="shared" si="16"/>
        <v>77.864052685758793</v>
      </c>
      <c r="AG45" s="256">
        <f t="shared" si="17"/>
        <v>91.11175609409969</v>
      </c>
      <c r="AH45" s="256">
        <f t="shared" si="50"/>
        <v>168.97580877985848</v>
      </c>
      <c r="AI45" s="88"/>
      <c r="AJ45" s="256">
        <f t="shared" si="18"/>
        <v>76.753643586587955</v>
      </c>
      <c r="AK45" s="256">
        <f t="shared" si="19"/>
        <v>88.465236876215087</v>
      </c>
      <c r="AL45" s="256">
        <f t="shared" si="51"/>
        <v>165.21888046280304</v>
      </c>
      <c r="AM45" s="87"/>
      <c r="AN45" s="256">
        <f t="shared" si="20"/>
        <v>71.818706980342725</v>
      </c>
      <c r="AO45" s="256">
        <f t="shared" si="21"/>
        <v>79.189523795833296</v>
      </c>
      <c r="AP45" s="256">
        <f t="shared" si="52"/>
        <v>151.00823077617602</v>
      </c>
      <c r="AQ45" s="88"/>
      <c r="AR45" s="8">
        <v>2027</v>
      </c>
      <c r="AS45" s="256">
        <f t="shared" si="22"/>
        <v>44.010116735428873</v>
      </c>
      <c r="AT45" s="256">
        <f t="shared" si="23"/>
        <v>51.497949096665046</v>
      </c>
      <c r="AU45" s="256">
        <f t="shared" si="53"/>
        <v>95.508065832093919</v>
      </c>
      <c r="AV45" s="88"/>
      <c r="AW45" s="256">
        <f t="shared" si="24"/>
        <v>42.899707636258057</v>
      </c>
      <c r="AX45" s="256">
        <f t="shared" si="25"/>
        <v>49.445636983741949</v>
      </c>
      <c r="AY45" s="256">
        <f t="shared" si="54"/>
        <v>92.345344620000006</v>
      </c>
      <c r="AZ45" s="87"/>
      <c r="BA45" s="256">
        <f t="shared" si="26"/>
        <v>37.96477103001282</v>
      </c>
      <c r="BB45" s="256">
        <f t="shared" si="27"/>
        <v>41.861128740558343</v>
      </c>
      <c r="BC45" s="256">
        <f t="shared" si="55"/>
        <v>79.825899770571169</v>
      </c>
      <c r="BD45" s="88"/>
      <c r="BE45" s="8">
        <v>2027</v>
      </c>
      <c r="BF45" s="256">
        <f t="shared" si="28"/>
        <v>33.853935950329912</v>
      </c>
      <c r="BG45" s="256">
        <f t="shared" si="29"/>
        <v>39.613806997434651</v>
      </c>
      <c r="BH45" s="256">
        <f t="shared" si="56"/>
        <v>73.467742947764563</v>
      </c>
      <c r="BI45" s="88"/>
      <c r="BJ45" s="256">
        <f t="shared" si="30"/>
        <v>32.743526851159089</v>
      </c>
      <c r="BK45" s="256">
        <f t="shared" si="31"/>
        <v>37.73975701600002</v>
      </c>
      <c r="BL45" s="256">
        <f t="shared" si="57"/>
        <v>70.483283867159116</v>
      </c>
      <c r="BM45" s="87"/>
      <c r="BN45" s="256">
        <f t="shared" si="32"/>
        <v>27.808590244913855</v>
      </c>
      <c r="BO45" s="256">
        <f t="shared" si="33"/>
        <v>30.662610223975861</v>
      </c>
      <c r="BP45" s="256">
        <f t="shared" si="58"/>
        <v>58.47120046888972</v>
      </c>
      <c r="BQ45" s="88"/>
      <c r="BR45" s="8">
        <v>2027</v>
      </c>
      <c r="BS45" s="256">
        <f t="shared" si="34"/>
        <v>37.239329545362907</v>
      </c>
      <c r="BT45" s="256">
        <f t="shared" si="35"/>
        <v>43.575187697178123</v>
      </c>
      <c r="BU45" s="256">
        <f t="shared" si="59"/>
        <v>80.814517242541029</v>
      </c>
      <c r="BV45" s="88"/>
      <c r="BW45" s="256">
        <f t="shared" si="36"/>
        <v>36.128920446192083</v>
      </c>
      <c r="BX45" s="256">
        <f t="shared" si="37"/>
        <v>41.641717005247337</v>
      </c>
      <c r="BY45" s="256">
        <f t="shared" si="60"/>
        <v>77.770637451439427</v>
      </c>
      <c r="BZ45" s="87"/>
      <c r="CA45" s="256">
        <f t="shared" si="38"/>
        <v>31.193983839946849</v>
      </c>
      <c r="CB45" s="256">
        <f t="shared" si="39"/>
        <v>34.395449729503362</v>
      </c>
      <c r="CC45" s="256">
        <f t="shared" si="61"/>
        <v>65.589433569450208</v>
      </c>
    </row>
    <row r="46" spans="1:81" s="252" customFormat="1">
      <c r="A46" s="282"/>
      <c r="B46" s="282"/>
      <c r="C46" s="282"/>
      <c r="D46" s="282"/>
      <c r="E46" s="8">
        <v>2028</v>
      </c>
      <c r="F46" s="256">
        <f t="shared" si="40"/>
        <v>57.551691115560843</v>
      </c>
      <c r="G46" s="256">
        <f t="shared" si="8"/>
        <v>67.343471895638913</v>
      </c>
      <c r="H46" s="256">
        <f t="shared" si="41"/>
        <v>124.89516301119976</v>
      </c>
      <c r="I46" s="88"/>
      <c r="J46" s="256">
        <f t="shared" si="42"/>
        <v>56.224616826307908</v>
      </c>
      <c r="K46" s="256">
        <f t="shared" si="43"/>
        <v>64.474798448112679</v>
      </c>
      <c r="L46" s="256">
        <f t="shared" si="44"/>
        <v>120.69941527442059</v>
      </c>
      <c r="M46" s="87"/>
      <c r="N46" s="256">
        <f t="shared" si="9"/>
        <v>50.297276269061584</v>
      </c>
      <c r="O46" s="256">
        <f t="shared" si="45"/>
        <v>54.327506739338958</v>
      </c>
      <c r="P46" s="256">
        <f t="shared" si="46"/>
        <v>104.62478300840054</v>
      </c>
      <c r="Q46" s="88"/>
      <c r="R46" s="8">
        <v>2028</v>
      </c>
      <c r="S46" s="256">
        <f t="shared" si="10"/>
        <v>135.41574380131965</v>
      </c>
      <c r="T46" s="256">
        <f t="shared" si="11"/>
        <v>158.4552279897386</v>
      </c>
      <c r="U46" s="256">
        <f t="shared" si="47"/>
        <v>293.87097179105825</v>
      </c>
      <c r="V46" s="88"/>
      <c r="W46" s="256">
        <f t="shared" si="12"/>
        <v>134.0886695120667</v>
      </c>
      <c r="X46" s="256">
        <f t="shared" si="13"/>
        <v>153.76431942033039</v>
      </c>
      <c r="Y46" s="256">
        <f t="shared" si="48"/>
        <v>287.85298893239712</v>
      </c>
      <c r="Z46" s="87"/>
      <c r="AA46" s="256">
        <f t="shared" si="14"/>
        <v>128.16132895482039</v>
      </c>
      <c r="AB46" s="256">
        <f t="shared" si="15"/>
        <v>138.43066621081562</v>
      </c>
      <c r="AC46" s="256">
        <f t="shared" si="49"/>
        <v>266.59199516563604</v>
      </c>
      <c r="AD46" s="88"/>
      <c r="AE46" s="8">
        <v>2028</v>
      </c>
      <c r="AF46" s="256">
        <f t="shared" si="16"/>
        <v>77.864052685758793</v>
      </c>
      <c r="AG46" s="256">
        <f t="shared" si="17"/>
        <v>91.11175609409969</v>
      </c>
      <c r="AH46" s="256">
        <f t="shared" si="50"/>
        <v>168.97580877985848</v>
      </c>
      <c r="AI46" s="88"/>
      <c r="AJ46" s="256">
        <f t="shared" si="18"/>
        <v>76.536978396505845</v>
      </c>
      <c r="AK46" s="256">
        <f t="shared" si="19"/>
        <v>87.767716962604254</v>
      </c>
      <c r="AL46" s="256">
        <f t="shared" si="51"/>
        <v>164.3046953591101</v>
      </c>
      <c r="AM46" s="87"/>
      <c r="AN46" s="256">
        <f t="shared" si="20"/>
        <v>70.609637839259534</v>
      </c>
      <c r="AO46" s="256">
        <f t="shared" si="21"/>
        <v>76.267461384071993</v>
      </c>
      <c r="AP46" s="256">
        <f t="shared" si="52"/>
        <v>146.87709922333153</v>
      </c>
      <c r="AQ46" s="88"/>
      <c r="AR46" s="8">
        <v>2028</v>
      </c>
      <c r="AS46" s="256">
        <f t="shared" si="22"/>
        <v>44.010116735428873</v>
      </c>
      <c r="AT46" s="256">
        <f t="shared" si="23"/>
        <v>51.497949096665046</v>
      </c>
      <c r="AU46" s="256">
        <f t="shared" si="53"/>
        <v>95.508065832093919</v>
      </c>
      <c r="AV46" s="88"/>
      <c r="AW46" s="256">
        <f t="shared" si="24"/>
        <v>42.683042446175939</v>
      </c>
      <c r="AX46" s="256">
        <f t="shared" si="25"/>
        <v>48.946186105118286</v>
      </c>
      <c r="AY46" s="256">
        <f t="shared" si="54"/>
        <v>91.629228551294233</v>
      </c>
      <c r="AZ46" s="87"/>
      <c r="BA46" s="256">
        <f t="shared" si="26"/>
        <v>36.755701888929622</v>
      </c>
      <c r="BB46" s="256">
        <f t="shared" si="27"/>
        <v>39.700870309516922</v>
      </c>
      <c r="BC46" s="256">
        <f t="shared" si="55"/>
        <v>76.456572198446537</v>
      </c>
      <c r="BD46" s="88"/>
      <c r="BE46" s="8">
        <v>2028</v>
      </c>
      <c r="BF46" s="256">
        <f t="shared" si="28"/>
        <v>33.853935950329912</v>
      </c>
      <c r="BG46" s="256">
        <f t="shared" si="29"/>
        <v>39.613806997434651</v>
      </c>
      <c r="BH46" s="256">
        <f t="shared" si="56"/>
        <v>73.467742947764563</v>
      </c>
      <c r="BI46" s="88"/>
      <c r="BJ46" s="256">
        <f t="shared" si="30"/>
        <v>32.526861661076978</v>
      </c>
      <c r="BK46" s="256">
        <f t="shared" si="31"/>
        <v>37.299726847872513</v>
      </c>
      <c r="BL46" s="256">
        <f t="shared" si="57"/>
        <v>69.826588508949499</v>
      </c>
      <c r="BM46" s="87"/>
      <c r="BN46" s="256">
        <f t="shared" si="32"/>
        <v>26.599521103830646</v>
      </c>
      <c r="BO46" s="256">
        <f t="shared" si="33"/>
        <v>28.730892987150412</v>
      </c>
      <c r="BP46" s="256">
        <f t="shared" si="58"/>
        <v>55.330414090981058</v>
      </c>
      <c r="BQ46" s="88"/>
      <c r="BR46" s="8">
        <v>2028</v>
      </c>
      <c r="BS46" s="256">
        <f t="shared" si="34"/>
        <v>37.239329545362907</v>
      </c>
      <c r="BT46" s="256">
        <f t="shared" si="35"/>
        <v>43.575187697178123</v>
      </c>
      <c r="BU46" s="256">
        <f t="shared" si="59"/>
        <v>80.814517242541029</v>
      </c>
      <c r="BV46" s="88"/>
      <c r="BW46" s="256">
        <f t="shared" si="36"/>
        <v>35.912255256109972</v>
      </c>
      <c r="BX46" s="256">
        <f t="shared" si="37"/>
        <v>41.181879933621111</v>
      </c>
      <c r="BY46" s="256">
        <f t="shared" si="60"/>
        <v>77.094135189731077</v>
      </c>
      <c r="BZ46" s="87"/>
      <c r="CA46" s="256">
        <f t="shared" si="38"/>
        <v>29.984914698863644</v>
      </c>
      <c r="CB46" s="256">
        <f t="shared" si="39"/>
        <v>32.387552094605923</v>
      </c>
      <c r="CC46" s="256">
        <f t="shared" si="61"/>
        <v>62.37246679346957</v>
      </c>
    </row>
    <row r="47" spans="1:81" s="252" customFormat="1">
      <c r="A47" s="282"/>
      <c r="B47" s="282"/>
      <c r="C47" s="282"/>
      <c r="D47" s="282"/>
      <c r="E47" s="8">
        <v>2029</v>
      </c>
      <c r="F47" s="256">
        <f t="shared" si="40"/>
        <v>57.551691115560843</v>
      </c>
      <c r="G47" s="256">
        <f t="shared" si="8"/>
        <v>67.343471895638913</v>
      </c>
      <c r="H47" s="256">
        <f t="shared" si="41"/>
        <v>124.89516301119976</v>
      </c>
      <c r="I47" s="88"/>
      <c r="J47" s="256">
        <f t="shared" si="42"/>
        <v>56.007951636225805</v>
      </c>
      <c r="K47" s="256">
        <f t="shared" si="43"/>
        <v>63.898655239141988</v>
      </c>
      <c r="L47" s="256">
        <f t="shared" si="44"/>
        <v>119.9066068753678</v>
      </c>
      <c r="M47" s="87"/>
      <c r="N47" s="256">
        <f t="shared" si="9"/>
        <v>49.088207127978364</v>
      </c>
      <c r="O47" s="256">
        <f t="shared" si="45"/>
        <v>51.91694128606099</v>
      </c>
      <c r="P47" s="256">
        <f t="shared" si="46"/>
        <v>101.00514841403935</v>
      </c>
      <c r="Q47" s="88"/>
      <c r="R47" s="8">
        <v>2029</v>
      </c>
      <c r="S47" s="256">
        <f t="shared" si="10"/>
        <v>135.41574380131965</v>
      </c>
      <c r="T47" s="256">
        <f t="shared" si="11"/>
        <v>158.4552279897386</v>
      </c>
      <c r="U47" s="256">
        <f t="shared" si="47"/>
        <v>293.87097179105825</v>
      </c>
      <c r="V47" s="88"/>
      <c r="W47" s="256">
        <f t="shared" si="12"/>
        <v>133.8720043219846</v>
      </c>
      <c r="X47" s="256">
        <f t="shared" si="13"/>
        <v>152.73261743088918</v>
      </c>
      <c r="Y47" s="256">
        <f t="shared" si="48"/>
        <v>286.60462175287375</v>
      </c>
      <c r="Z47" s="87"/>
      <c r="AA47" s="256">
        <f t="shared" si="14"/>
        <v>126.95225981373716</v>
      </c>
      <c r="AB47" s="256">
        <f t="shared" si="15"/>
        <v>134.26795160188186</v>
      </c>
      <c r="AC47" s="256">
        <f t="shared" si="49"/>
        <v>261.22021141561902</v>
      </c>
      <c r="AD47" s="88"/>
      <c r="AE47" s="8">
        <v>2029</v>
      </c>
      <c r="AF47" s="256">
        <f t="shared" si="16"/>
        <v>77.864052685758793</v>
      </c>
      <c r="AG47" s="256">
        <f t="shared" si="17"/>
        <v>91.11175609409969</v>
      </c>
      <c r="AH47" s="256">
        <f t="shared" si="50"/>
        <v>168.97580877985848</v>
      </c>
      <c r="AI47" s="88"/>
      <c r="AJ47" s="256">
        <f t="shared" si="18"/>
        <v>76.320313206423734</v>
      </c>
      <c r="AK47" s="256">
        <f t="shared" si="19"/>
        <v>87.072732332641252</v>
      </c>
      <c r="AL47" s="256">
        <f t="shared" si="51"/>
        <v>163.39304553906499</v>
      </c>
      <c r="AM47" s="87"/>
      <c r="AN47" s="256">
        <f t="shared" si="20"/>
        <v>69.400568698176315</v>
      </c>
      <c r="AO47" s="256">
        <f t="shared" si="21"/>
        <v>73.399813542362082</v>
      </c>
      <c r="AP47" s="256">
        <f t="shared" si="52"/>
        <v>142.8003822405384</v>
      </c>
      <c r="AQ47" s="88"/>
      <c r="AR47" s="8">
        <v>2029</v>
      </c>
      <c r="AS47" s="256">
        <f t="shared" si="22"/>
        <v>44.010116735428873</v>
      </c>
      <c r="AT47" s="256">
        <f t="shared" si="23"/>
        <v>51.497949096665046</v>
      </c>
      <c r="AU47" s="256">
        <f t="shared" si="53"/>
        <v>95.508065832093919</v>
      </c>
      <c r="AV47" s="88"/>
      <c r="AW47" s="256">
        <f t="shared" si="24"/>
        <v>42.466377256093836</v>
      </c>
      <c r="AX47" s="256">
        <f t="shared" si="25"/>
        <v>48.449270510142469</v>
      </c>
      <c r="AY47" s="256">
        <f t="shared" si="54"/>
        <v>90.915647766236305</v>
      </c>
      <c r="AZ47" s="87"/>
      <c r="BA47" s="256">
        <f t="shared" si="26"/>
        <v>35.546632747846402</v>
      </c>
      <c r="BB47" s="256">
        <f t="shared" si="27"/>
        <v>37.595026448526923</v>
      </c>
      <c r="BC47" s="256">
        <f t="shared" si="55"/>
        <v>73.141659196373325</v>
      </c>
      <c r="BD47" s="88"/>
      <c r="BE47" s="8">
        <v>2029</v>
      </c>
      <c r="BF47" s="256">
        <f t="shared" si="28"/>
        <v>33.853935950329912</v>
      </c>
      <c r="BG47" s="256">
        <f t="shared" si="29"/>
        <v>39.613806997434651</v>
      </c>
      <c r="BH47" s="256">
        <f t="shared" si="56"/>
        <v>73.467742947764563</v>
      </c>
      <c r="BI47" s="88"/>
      <c r="BJ47" s="256">
        <f t="shared" si="30"/>
        <v>32.310196470994867</v>
      </c>
      <c r="BK47" s="256">
        <f t="shared" si="31"/>
        <v>36.862231963392837</v>
      </c>
      <c r="BL47" s="256">
        <f t="shared" si="57"/>
        <v>69.172428434387712</v>
      </c>
      <c r="BM47" s="87"/>
      <c r="BN47" s="256">
        <f t="shared" si="32"/>
        <v>25.390451962747434</v>
      </c>
      <c r="BO47" s="256">
        <f t="shared" si="33"/>
        <v>26.853590320376377</v>
      </c>
      <c r="BP47" s="256">
        <f t="shared" si="58"/>
        <v>52.244042283123811</v>
      </c>
      <c r="BQ47" s="88"/>
      <c r="BR47" s="8">
        <v>2029</v>
      </c>
      <c r="BS47" s="256">
        <f t="shared" si="34"/>
        <v>37.239329545362907</v>
      </c>
      <c r="BT47" s="256">
        <f t="shared" si="35"/>
        <v>43.575187697178123</v>
      </c>
      <c r="BU47" s="256">
        <f t="shared" si="59"/>
        <v>80.814517242541029</v>
      </c>
      <c r="BV47" s="88"/>
      <c r="BW47" s="256">
        <f t="shared" si="36"/>
        <v>35.695590066027862</v>
      </c>
      <c r="BX47" s="256">
        <f t="shared" si="37"/>
        <v>40.724578145642724</v>
      </c>
      <c r="BY47" s="256">
        <f t="shared" si="60"/>
        <v>76.420168211670585</v>
      </c>
      <c r="BZ47" s="87"/>
      <c r="CA47" s="256">
        <f t="shared" si="38"/>
        <v>28.775845557780428</v>
      </c>
      <c r="CB47" s="256">
        <f t="shared" si="39"/>
        <v>30.4340690297599</v>
      </c>
      <c r="CC47" s="256">
        <f t="shared" si="61"/>
        <v>59.209914587540325</v>
      </c>
    </row>
    <row r="48" spans="1:81" s="252" customFormat="1">
      <c r="A48" s="282"/>
      <c r="B48" s="282"/>
      <c r="C48" s="282"/>
      <c r="D48" s="282"/>
      <c r="E48" s="8">
        <v>2030</v>
      </c>
      <c r="F48" s="256">
        <f t="shared" si="40"/>
        <v>57.551691115560843</v>
      </c>
      <c r="G48" s="256">
        <f t="shared" si="8"/>
        <v>67.343471895638913</v>
      </c>
      <c r="H48" s="256">
        <f t="shared" si="41"/>
        <v>124.89516301119976</v>
      </c>
      <c r="I48" s="88"/>
      <c r="J48" s="256">
        <f t="shared" si="42"/>
        <v>55.791286446143687</v>
      </c>
      <c r="K48" s="256">
        <f t="shared" si="43"/>
        <v>63.325047313819134</v>
      </c>
      <c r="L48" s="256">
        <f t="shared" si="44"/>
        <v>119.11633375996283</v>
      </c>
      <c r="M48" s="87"/>
      <c r="N48" s="256">
        <f t="shared" si="9"/>
        <v>47.879137986895159</v>
      </c>
      <c r="O48" s="256">
        <f t="shared" si="45"/>
        <v>49.560790402834456</v>
      </c>
      <c r="P48" s="256">
        <f t="shared" si="46"/>
        <v>97.439928389729616</v>
      </c>
      <c r="Q48" s="88"/>
      <c r="R48" s="8">
        <v>2030</v>
      </c>
      <c r="S48" s="256">
        <f t="shared" si="10"/>
        <v>135.41574380131965</v>
      </c>
      <c r="T48" s="256">
        <f t="shared" si="11"/>
        <v>158.4552279897386</v>
      </c>
      <c r="U48" s="256">
        <f t="shared" si="47"/>
        <v>293.87097179105825</v>
      </c>
      <c r="V48" s="88"/>
      <c r="W48" s="256">
        <f t="shared" si="12"/>
        <v>133.65533913190245</v>
      </c>
      <c r="X48" s="256">
        <f t="shared" si="13"/>
        <v>151.70345072509582</v>
      </c>
      <c r="Y48" s="256">
        <f t="shared" si="48"/>
        <v>285.35878985699827</v>
      </c>
      <c r="Z48" s="87"/>
      <c r="AA48" s="256">
        <f t="shared" si="14"/>
        <v>125.74319067265397</v>
      </c>
      <c r="AB48" s="256">
        <f t="shared" si="15"/>
        <v>130.15965156299956</v>
      </c>
      <c r="AC48" s="256">
        <f t="shared" si="49"/>
        <v>255.90284223565351</v>
      </c>
      <c r="AD48" s="88"/>
      <c r="AE48" s="8">
        <v>2030</v>
      </c>
      <c r="AF48" s="256">
        <f t="shared" si="16"/>
        <v>77.864052685758793</v>
      </c>
      <c r="AG48" s="256">
        <f t="shared" si="17"/>
        <v>91.11175609409969</v>
      </c>
      <c r="AH48" s="256">
        <f t="shared" si="50"/>
        <v>168.97580877985848</v>
      </c>
      <c r="AI48" s="88"/>
      <c r="AJ48" s="256">
        <f t="shared" si="18"/>
        <v>76.103648016341623</v>
      </c>
      <c r="AK48" s="256">
        <f t="shared" si="19"/>
        <v>86.380282986326108</v>
      </c>
      <c r="AL48" s="256">
        <f t="shared" si="51"/>
        <v>162.48393100266773</v>
      </c>
      <c r="AM48" s="87"/>
      <c r="AN48" s="256">
        <f t="shared" si="20"/>
        <v>68.191499557093096</v>
      </c>
      <c r="AO48" s="256">
        <f t="shared" si="21"/>
        <v>70.586580270703607</v>
      </c>
      <c r="AP48" s="256">
        <f t="shared" si="52"/>
        <v>138.77807982779672</v>
      </c>
      <c r="AQ48" s="88"/>
      <c r="AR48" s="8">
        <v>2030</v>
      </c>
      <c r="AS48" s="256">
        <f t="shared" si="22"/>
        <v>44.010116735428873</v>
      </c>
      <c r="AT48" s="256">
        <f t="shared" si="23"/>
        <v>51.497949096665046</v>
      </c>
      <c r="AU48" s="256">
        <f t="shared" si="53"/>
        <v>95.508065832093919</v>
      </c>
      <c r="AV48" s="88"/>
      <c r="AW48" s="256">
        <f t="shared" si="24"/>
        <v>42.249712066011725</v>
      </c>
      <c r="AX48" s="256">
        <f t="shared" si="25"/>
        <v>47.954890198814489</v>
      </c>
      <c r="AY48" s="256">
        <f t="shared" si="54"/>
        <v>90.204602264826207</v>
      </c>
      <c r="AZ48" s="87"/>
      <c r="BA48" s="256">
        <f t="shared" si="26"/>
        <v>34.33756360676319</v>
      </c>
      <c r="BB48" s="256">
        <f t="shared" si="27"/>
        <v>35.543597157588337</v>
      </c>
      <c r="BC48" s="256">
        <f t="shared" si="55"/>
        <v>69.881160764351534</v>
      </c>
      <c r="BD48" s="88"/>
      <c r="BE48" s="8">
        <v>2030</v>
      </c>
      <c r="BF48" s="256">
        <f t="shared" si="28"/>
        <v>33.853935950329912</v>
      </c>
      <c r="BG48" s="256">
        <f t="shared" si="29"/>
        <v>39.613806997434651</v>
      </c>
      <c r="BH48" s="256">
        <f t="shared" si="56"/>
        <v>73.467742947764563</v>
      </c>
      <c r="BI48" s="88"/>
      <c r="BJ48" s="256">
        <f t="shared" si="30"/>
        <v>32.09353128091275</v>
      </c>
      <c r="BK48" s="256">
        <f t="shared" si="31"/>
        <v>36.427272362561006</v>
      </c>
      <c r="BL48" s="256">
        <f t="shared" si="57"/>
        <v>68.520803643473755</v>
      </c>
      <c r="BM48" s="87"/>
      <c r="BN48" s="256">
        <f t="shared" si="32"/>
        <v>24.181382821664226</v>
      </c>
      <c r="BO48" s="256">
        <f t="shared" si="33"/>
        <v>25.030702223653766</v>
      </c>
      <c r="BP48" s="256">
        <f t="shared" si="58"/>
        <v>49.212085045317991</v>
      </c>
      <c r="BQ48" s="88"/>
      <c r="BR48" s="8">
        <v>2030</v>
      </c>
      <c r="BS48" s="256">
        <f t="shared" si="34"/>
        <v>37.239329545362907</v>
      </c>
      <c r="BT48" s="256">
        <f t="shared" si="35"/>
        <v>43.575187697178123</v>
      </c>
      <c r="BU48" s="256">
        <f t="shared" si="59"/>
        <v>80.814517242541029</v>
      </c>
      <c r="BV48" s="88"/>
      <c r="BW48" s="256">
        <f t="shared" si="36"/>
        <v>35.478924875945744</v>
      </c>
      <c r="BX48" s="256">
        <f t="shared" si="37"/>
        <v>40.269811641312174</v>
      </c>
      <c r="BY48" s="256">
        <f t="shared" si="60"/>
        <v>75.748736517257925</v>
      </c>
      <c r="BZ48" s="87"/>
      <c r="CA48" s="256">
        <f t="shared" si="38"/>
        <v>27.56677641669722</v>
      </c>
      <c r="CB48" s="256">
        <f t="shared" si="39"/>
        <v>28.535000534965299</v>
      </c>
      <c r="CC48" s="256">
        <f t="shared" si="61"/>
        <v>56.101776951662515</v>
      </c>
    </row>
    <row r="49" spans="1:81" s="252" customFormat="1">
      <c r="A49" s="282"/>
      <c r="B49" s="282"/>
      <c r="C49" s="282"/>
      <c r="D49" s="282"/>
      <c r="E49" s="8">
        <v>2031</v>
      </c>
      <c r="F49" s="256">
        <f t="shared" si="40"/>
        <v>57.551691115560843</v>
      </c>
      <c r="G49" s="256">
        <f t="shared" si="8"/>
        <v>67.343471895638913</v>
      </c>
      <c r="H49" s="256">
        <f t="shared" si="41"/>
        <v>124.89516301119976</v>
      </c>
      <c r="I49" s="88"/>
      <c r="J49" s="256">
        <f t="shared" si="42"/>
        <v>54.992333557715902</v>
      </c>
      <c r="K49" s="256">
        <f t="shared" si="43"/>
        <v>62.096464703600702</v>
      </c>
      <c r="L49" s="256">
        <f t="shared" si="44"/>
        <v>117.08879826131661</v>
      </c>
      <c r="M49" s="87"/>
      <c r="N49" s="256">
        <f t="shared" si="9"/>
        <v>46.670068845811947</v>
      </c>
      <c r="O49" s="256">
        <f t="shared" si="45"/>
        <v>47.259054089659337</v>
      </c>
      <c r="P49" s="256">
        <f t="shared" si="46"/>
        <v>93.929122935471284</v>
      </c>
      <c r="Q49" s="88"/>
      <c r="R49" s="8">
        <v>2031</v>
      </c>
      <c r="S49" s="256">
        <f t="shared" si="10"/>
        <v>135.41574380131965</v>
      </c>
      <c r="T49" s="256">
        <f t="shared" si="11"/>
        <v>158.4552279897386</v>
      </c>
      <c r="U49" s="256">
        <f t="shared" si="47"/>
        <v>293.87097179105825</v>
      </c>
      <c r="V49" s="88"/>
      <c r="W49" s="256">
        <f t="shared" si="12"/>
        <v>132.8563862434747</v>
      </c>
      <c r="X49" s="256">
        <f t="shared" si="13"/>
        <v>150.0193093344069</v>
      </c>
      <c r="Y49" s="256">
        <f t="shared" si="48"/>
        <v>282.87569557788163</v>
      </c>
      <c r="Z49" s="87"/>
      <c r="AA49" s="256">
        <f t="shared" si="14"/>
        <v>124.53412153157072</v>
      </c>
      <c r="AB49" s="256">
        <f t="shared" si="15"/>
        <v>126.10576609416869</v>
      </c>
      <c r="AC49" s="256">
        <f t="shared" si="49"/>
        <v>250.63988762573939</v>
      </c>
      <c r="AD49" s="88"/>
      <c r="AE49" s="8">
        <v>2031</v>
      </c>
      <c r="AF49" s="256">
        <f t="shared" si="16"/>
        <v>77.864052685758793</v>
      </c>
      <c r="AG49" s="256">
        <f t="shared" si="17"/>
        <v>91.11175609409969</v>
      </c>
      <c r="AH49" s="256">
        <f t="shared" si="50"/>
        <v>168.97580877985848</v>
      </c>
      <c r="AI49" s="88"/>
      <c r="AJ49" s="256">
        <f t="shared" si="18"/>
        <v>75.304695127913845</v>
      </c>
      <c r="AK49" s="256">
        <f t="shared" si="19"/>
        <v>85.032858955115358</v>
      </c>
      <c r="AL49" s="256">
        <f t="shared" si="51"/>
        <v>160.3375540830292</v>
      </c>
      <c r="AM49" s="87"/>
      <c r="AN49" s="256">
        <f t="shared" si="20"/>
        <v>66.982430416009876</v>
      </c>
      <c r="AO49" s="256">
        <f t="shared" si="21"/>
        <v>67.827761569096566</v>
      </c>
      <c r="AP49" s="256">
        <f t="shared" si="52"/>
        <v>134.81019198510643</v>
      </c>
      <c r="AQ49" s="88"/>
      <c r="AR49" s="8">
        <v>2031</v>
      </c>
      <c r="AS49" s="256">
        <f t="shared" si="22"/>
        <v>44.010116735428873</v>
      </c>
      <c r="AT49" s="256">
        <f t="shared" si="23"/>
        <v>51.497949096665046</v>
      </c>
      <c r="AU49" s="256">
        <f t="shared" si="53"/>
        <v>95.508065832093919</v>
      </c>
      <c r="AV49" s="88"/>
      <c r="AW49" s="256">
        <f t="shared" si="24"/>
        <v>41.450759177583933</v>
      </c>
      <c r="AX49" s="256">
        <f t="shared" si="25"/>
        <v>46.805535202590917</v>
      </c>
      <c r="AY49" s="256">
        <f t="shared" si="54"/>
        <v>88.25629438017485</v>
      </c>
      <c r="AZ49" s="87"/>
      <c r="BA49" s="256">
        <f t="shared" si="26"/>
        <v>33.128494465679978</v>
      </c>
      <c r="BB49" s="256">
        <f t="shared" si="27"/>
        <v>33.546582436701186</v>
      </c>
      <c r="BC49" s="256">
        <f t="shared" si="55"/>
        <v>66.675076902381164</v>
      </c>
      <c r="BD49" s="88"/>
      <c r="BE49" s="8">
        <v>2031</v>
      </c>
      <c r="BF49" s="256">
        <f t="shared" si="28"/>
        <v>33.853935950329912</v>
      </c>
      <c r="BG49" s="256">
        <f t="shared" si="29"/>
        <v>39.613806997434651</v>
      </c>
      <c r="BH49" s="256">
        <f t="shared" si="56"/>
        <v>73.467742947764563</v>
      </c>
      <c r="BI49" s="88"/>
      <c r="BJ49" s="256">
        <f t="shared" si="30"/>
        <v>31.294578392484969</v>
      </c>
      <c r="BK49" s="256">
        <f t="shared" si="31"/>
        <v>35.337338076833589</v>
      </c>
      <c r="BL49" s="256">
        <f t="shared" si="57"/>
        <v>66.631916469318554</v>
      </c>
      <c r="BM49" s="87"/>
      <c r="BN49" s="256">
        <f t="shared" si="32"/>
        <v>22.97231368058101</v>
      </c>
      <c r="BO49" s="256">
        <f t="shared" si="33"/>
        <v>23.262228696982575</v>
      </c>
      <c r="BP49" s="256">
        <f t="shared" si="58"/>
        <v>46.234542377563585</v>
      </c>
      <c r="BQ49" s="88"/>
      <c r="BR49" s="8">
        <v>2031</v>
      </c>
      <c r="BS49" s="256">
        <f t="shared" si="34"/>
        <v>37.239329545362907</v>
      </c>
      <c r="BT49" s="256">
        <f t="shared" si="35"/>
        <v>43.575187697178123</v>
      </c>
      <c r="BU49" s="256">
        <f t="shared" si="59"/>
        <v>80.814517242541029</v>
      </c>
      <c r="BV49" s="88"/>
      <c r="BW49" s="256">
        <f t="shared" si="36"/>
        <v>34.679971987517959</v>
      </c>
      <c r="BX49" s="256">
        <f t="shared" si="37"/>
        <v>39.160070452086046</v>
      </c>
      <c r="BY49" s="256">
        <f t="shared" si="60"/>
        <v>73.840042439604005</v>
      </c>
      <c r="BZ49" s="87"/>
      <c r="CA49" s="256">
        <f t="shared" si="38"/>
        <v>26.357707275614008</v>
      </c>
      <c r="CB49" s="256">
        <f t="shared" si="39"/>
        <v>26.690346610222118</v>
      </c>
      <c r="CC49" s="256">
        <f t="shared" si="61"/>
        <v>53.048053885836126</v>
      </c>
    </row>
    <row r="50" spans="1:81" s="252" customFormat="1">
      <c r="A50" s="282"/>
      <c r="B50" s="282"/>
      <c r="C50" s="282"/>
      <c r="D50" s="282"/>
      <c r="E50" s="8">
        <v>2032</v>
      </c>
      <c r="F50" s="256">
        <f t="shared" si="40"/>
        <v>57.551691115560843</v>
      </c>
      <c r="G50" s="256">
        <f t="shared" si="8"/>
        <v>67.343471895638913</v>
      </c>
      <c r="H50" s="256">
        <f t="shared" si="41"/>
        <v>124.89516301119976</v>
      </c>
      <c r="I50" s="88"/>
      <c r="J50" s="256">
        <f t="shared" si="42"/>
        <v>54.193380669288125</v>
      </c>
      <c r="K50" s="256">
        <f t="shared" si="43"/>
        <v>60.877230951833653</v>
      </c>
      <c r="L50" s="256">
        <f t="shared" si="44"/>
        <v>115.07061162112177</v>
      </c>
      <c r="M50" s="87"/>
      <c r="N50" s="256">
        <f t="shared" si="9"/>
        <v>45.460999704728749</v>
      </c>
      <c r="O50" s="256">
        <f t="shared" si="45"/>
        <v>45.011732346535645</v>
      </c>
      <c r="P50" s="256">
        <f t="shared" si="46"/>
        <v>90.472732051264387</v>
      </c>
      <c r="Q50" s="88"/>
      <c r="R50" s="8">
        <v>2032</v>
      </c>
      <c r="S50" s="256">
        <f t="shared" si="10"/>
        <v>135.41574380131965</v>
      </c>
      <c r="T50" s="256">
        <f t="shared" si="11"/>
        <v>158.4552279897386</v>
      </c>
      <c r="U50" s="256">
        <f t="shared" si="47"/>
        <v>293.87097179105825</v>
      </c>
      <c r="V50" s="88"/>
      <c r="W50" s="256">
        <f t="shared" si="12"/>
        <v>132.05743335504692</v>
      </c>
      <c r="X50" s="256">
        <f t="shared" si="13"/>
        <v>148.34451680216938</v>
      </c>
      <c r="Y50" s="256">
        <f t="shared" si="48"/>
        <v>280.40195015721633</v>
      </c>
      <c r="Z50" s="87"/>
      <c r="AA50" s="256">
        <f t="shared" si="14"/>
        <v>123.32505239048754</v>
      </c>
      <c r="AB50" s="256">
        <f t="shared" si="15"/>
        <v>122.10629519538924</v>
      </c>
      <c r="AC50" s="256">
        <f t="shared" si="49"/>
        <v>245.43134758587678</v>
      </c>
      <c r="AD50" s="88"/>
      <c r="AE50" s="8">
        <v>2032</v>
      </c>
      <c r="AF50" s="256">
        <f t="shared" si="16"/>
        <v>77.864052685758793</v>
      </c>
      <c r="AG50" s="256">
        <f t="shared" si="17"/>
        <v>91.11175609409969</v>
      </c>
      <c r="AH50" s="256">
        <f t="shared" si="50"/>
        <v>168.97580877985848</v>
      </c>
      <c r="AI50" s="88"/>
      <c r="AJ50" s="256">
        <f t="shared" si="18"/>
        <v>74.505742239486068</v>
      </c>
      <c r="AK50" s="256">
        <f t="shared" si="19"/>
        <v>83.694783782356012</v>
      </c>
      <c r="AL50" s="256">
        <f t="shared" si="51"/>
        <v>158.20052602184208</v>
      </c>
      <c r="AM50" s="87"/>
      <c r="AN50" s="256">
        <f t="shared" si="20"/>
        <v>65.773361274926685</v>
      </c>
      <c r="AO50" s="256">
        <f t="shared" si="21"/>
        <v>65.123357437540932</v>
      </c>
      <c r="AP50" s="256">
        <f t="shared" si="52"/>
        <v>130.89671871246762</v>
      </c>
      <c r="AQ50" s="88"/>
      <c r="AR50" s="8">
        <v>2032</v>
      </c>
      <c r="AS50" s="256">
        <f t="shared" si="22"/>
        <v>44.010116735428873</v>
      </c>
      <c r="AT50" s="256">
        <f t="shared" si="23"/>
        <v>51.497949096665046</v>
      </c>
      <c r="AU50" s="256">
        <f t="shared" si="53"/>
        <v>95.508065832093919</v>
      </c>
      <c r="AV50" s="88"/>
      <c r="AW50" s="256">
        <f t="shared" si="24"/>
        <v>40.651806289156148</v>
      </c>
      <c r="AX50" s="256">
        <f t="shared" si="25"/>
        <v>45.665529064818742</v>
      </c>
      <c r="AY50" s="256">
        <f t="shared" si="54"/>
        <v>86.317335353974897</v>
      </c>
      <c r="AZ50" s="87"/>
      <c r="BA50" s="256">
        <f t="shared" si="26"/>
        <v>31.919425324596773</v>
      </c>
      <c r="BB50" s="256">
        <f t="shared" si="27"/>
        <v>31.603982285865452</v>
      </c>
      <c r="BC50" s="256">
        <f t="shared" si="55"/>
        <v>63.523407610462229</v>
      </c>
      <c r="BD50" s="88"/>
      <c r="BE50" s="8">
        <v>2032</v>
      </c>
      <c r="BF50" s="256">
        <f t="shared" si="28"/>
        <v>33.853935950329912</v>
      </c>
      <c r="BG50" s="256">
        <f t="shared" si="29"/>
        <v>39.613806997434651</v>
      </c>
      <c r="BH50" s="256">
        <f t="shared" si="56"/>
        <v>73.467742947764563</v>
      </c>
      <c r="BI50" s="88"/>
      <c r="BJ50" s="256">
        <f t="shared" si="30"/>
        <v>30.495625504057184</v>
      </c>
      <c r="BK50" s="256">
        <f t="shared" si="31"/>
        <v>34.256752649557569</v>
      </c>
      <c r="BL50" s="256">
        <f t="shared" si="57"/>
        <v>64.752378153614757</v>
      </c>
      <c r="BM50" s="87"/>
      <c r="BN50" s="256">
        <f t="shared" si="32"/>
        <v>21.763244539497805</v>
      </c>
      <c r="BO50" s="256">
        <f t="shared" si="33"/>
        <v>21.548169740362813</v>
      </c>
      <c r="BP50" s="256">
        <f t="shared" si="58"/>
        <v>43.311414279860614</v>
      </c>
      <c r="BQ50" s="88"/>
      <c r="BR50" s="8">
        <v>2032</v>
      </c>
      <c r="BS50" s="256">
        <f t="shared" si="34"/>
        <v>37.239329545362907</v>
      </c>
      <c r="BT50" s="256">
        <f t="shared" si="35"/>
        <v>43.575187697178123</v>
      </c>
      <c r="BU50" s="256">
        <f t="shared" si="59"/>
        <v>80.814517242541029</v>
      </c>
      <c r="BV50" s="88"/>
      <c r="BW50" s="256">
        <f t="shared" si="36"/>
        <v>33.881019099090182</v>
      </c>
      <c r="BX50" s="256">
        <f t="shared" si="37"/>
        <v>38.0596781213113</v>
      </c>
      <c r="BY50" s="256">
        <f t="shared" si="60"/>
        <v>71.940697220401489</v>
      </c>
      <c r="BZ50" s="87"/>
      <c r="CA50" s="256">
        <f t="shared" si="38"/>
        <v>25.148638134530803</v>
      </c>
      <c r="CB50" s="256">
        <f t="shared" si="39"/>
        <v>24.900107255530369</v>
      </c>
      <c r="CC50" s="256">
        <f t="shared" si="61"/>
        <v>50.048745390061171</v>
      </c>
    </row>
    <row r="51" spans="1:81" s="252" customFormat="1">
      <c r="A51" s="282"/>
      <c r="B51" s="282"/>
      <c r="C51" s="282"/>
      <c r="D51" s="282"/>
      <c r="E51" s="8">
        <v>2033</v>
      </c>
      <c r="F51" s="256">
        <f t="shared" si="40"/>
        <v>57.551691115560843</v>
      </c>
      <c r="G51" s="256">
        <f t="shared" si="8"/>
        <v>67.343471895638913</v>
      </c>
      <c r="H51" s="256">
        <f t="shared" si="41"/>
        <v>124.89516301119976</v>
      </c>
      <c r="I51" s="88"/>
      <c r="J51" s="256">
        <f t="shared" si="42"/>
        <v>53.394427780860333</v>
      </c>
      <c r="K51" s="256">
        <f t="shared" si="43"/>
        <v>59.667346058518007</v>
      </c>
      <c r="L51" s="256">
        <f t="shared" si="44"/>
        <v>113.06177383937833</v>
      </c>
      <c r="M51" s="87"/>
      <c r="N51" s="256">
        <f t="shared" si="9"/>
        <v>44.25193056364553</v>
      </c>
      <c r="O51" s="256">
        <f t="shared" si="45"/>
        <v>42.818825173463352</v>
      </c>
      <c r="P51" s="256">
        <f t="shared" si="46"/>
        <v>87.070755737108882</v>
      </c>
      <c r="Q51" s="88"/>
      <c r="R51" s="8">
        <v>2033</v>
      </c>
      <c r="S51" s="256">
        <f t="shared" si="10"/>
        <v>135.41574380131965</v>
      </c>
      <c r="T51" s="256">
        <f t="shared" si="11"/>
        <v>158.4552279897386</v>
      </c>
      <c r="U51" s="256">
        <f t="shared" si="47"/>
        <v>293.87097179105825</v>
      </c>
      <c r="V51" s="88"/>
      <c r="W51" s="256">
        <f t="shared" si="12"/>
        <v>131.25848046661912</v>
      </c>
      <c r="X51" s="256">
        <f t="shared" si="13"/>
        <v>146.67907312838321</v>
      </c>
      <c r="Y51" s="256">
        <f t="shared" si="48"/>
        <v>277.93755359500233</v>
      </c>
      <c r="Z51" s="87"/>
      <c r="AA51" s="256">
        <f t="shared" si="14"/>
        <v>122.11598324940432</v>
      </c>
      <c r="AB51" s="256">
        <f t="shared" si="15"/>
        <v>118.16123886666117</v>
      </c>
      <c r="AC51" s="256">
        <f t="shared" si="49"/>
        <v>240.2772221160655</v>
      </c>
      <c r="AD51" s="88"/>
      <c r="AE51" s="8">
        <v>2033</v>
      </c>
      <c r="AF51" s="256">
        <f t="shared" si="16"/>
        <v>77.864052685758793</v>
      </c>
      <c r="AG51" s="256">
        <f t="shared" si="17"/>
        <v>91.11175609409969</v>
      </c>
      <c r="AH51" s="256">
        <f t="shared" si="50"/>
        <v>168.97580877985848</v>
      </c>
      <c r="AI51" s="88"/>
      <c r="AJ51" s="256">
        <f t="shared" si="18"/>
        <v>73.706789351058276</v>
      </c>
      <c r="AK51" s="256">
        <f t="shared" si="19"/>
        <v>82.366057468048055</v>
      </c>
      <c r="AL51" s="256">
        <f t="shared" si="51"/>
        <v>156.07284681910633</v>
      </c>
      <c r="AM51" s="87"/>
      <c r="AN51" s="256">
        <f t="shared" si="20"/>
        <v>64.564292133843466</v>
      </c>
      <c r="AO51" s="256">
        <f t="shared" si="21"/>
        <v>62.473367876036697</v>
      </c>
      <c r="AP51" s="256">
        <f t="shared" si="52"/>
        <v>127.03766000988017</v>
      </c>
      <c r="AQ51" s="88"/>
      <c r="AR51" s="8">
        <v>2033</v>
      </c>
      <c r="AS51" s="256">
        <f t="shared" si="22"/>
        <v>44.010116735428873</v>
      </c>
      <c r="AT51" s="256">
        <f t="shared" si="23"/>
        <v>51.497949096665046</v>
      </c>
      <c r="AU51" s="256">
        <f t="shared" si="53"/>
        <v>95.508065832093919</v>
      </c>
      <c r="AV51" s="88"/>
      <c r="AW51" s="256">
        <f t="shared" si="24"/>
        <v>39.852853400728364</v>
      </c>
      <c r="AX51" s="256">
        <f t="shared" si="25"/>
        <v>44.534871785497963</v>
      </c>
      <c r="AY51" s="256">
        <f t="shared" si="54"/>
        <v>84.387725186226334</v>
      </c>
      <c r="AZ51" s="87"/>
      <c r="BA51" s="256">
        <f t="shared" si="26"/>
        <v>30.710356183513557</v>
      </c>
      <c r="BB51" s="256">
        <f t="shared" si="27"/>
        <v>29.715796705081122</v>
      </c>
      <c r="BC51" s="256">
        <f t="shared" si="55"/>
        <v>60.426152888594679</v>
      </c>
      <c r="BD51" s="88"/>
      <c r="BE51" s="8">
        <v>2033</v>
      </c>
      <c r="BF51" s="256">
        <f t="shared" si="28"/>
        <v>33.853935950329912</v>
      </c>
      <c r="BG51" s="256">
        <f t="shared" si="29"/>
        <v>39.613806997434651</v>
      </c>
      <c r="BH51" s="256">
        <f t="shared" si="56"/>
        <v>73.467742947764563</v>
      </c>
      <c r="BI51" s="88"/>
      <c r="BJ51" s="256">
        <f t="shared" si="30"/>
        <v>29.696672615629396</v>
      </c>
      <c r="BK51" s="256">
        <f t="shared" si="31"/>
        <v>33.185516080732938</v>
      </c>
      <c r="BL51" s="256">
        <f t="shared" si="57"/>
        <v>62.882188696362334</v>
      </c>
      <c r="BM51" s="87"/>
      <c r="BN51" s="256">
        <f t="shared" si="32"/>
        <v>20.554175398414593</v>
      </c>
      <c r="BO51" s="256">
        <f t="shared" si="33"/>
        <v>19.888525353794456</v>
      </c>
      <c r="BP51" s="256">
        <f t="shared" si="58"/>
        <v>40.442700752209049</v>
      </c>
      <c r="BQ51" s="88"/>
      <c r="BR51" s="8">
        <v>2033</v>
      </c>
      <c r="BS51" s="256">
        <f t="shared" si="34"/>
        <v>37.239329545362907</v>
      </c>
      <c r="BT51" s="256">
        <f t="shared" si="35"/>
        <v>43.575187697178123</v>
      </c>
      <c r="BU51" s="256">
        <f t="shared" si="59"/>
        <v>80.814517242541029</v>
      </c>
      <c r="BV51" s="88"/>
      <c r="BW51" s="256">
        <f t="shared" si="36"/>
        <v>33.082066210662397</v>
      </c>
      <c r="BX51" s="256">
        <f t="shared" si="37"/>
        <v>36.968634648987951</v>
      </c>
      <c r="BY51" s="256">
        <f t="shared" si="60"/>
        <v>70.050700859650348</v>
      </c>
      <c r="BZ51" s="87"/>
      <c r="CA51" s="256">
        <f t="shared" si="38"/>
        <v>23.939568993447587</v>
      </c>
      <c r="CB51" s="256">
        <f t="shared" si="39"/>
        <v>23.164282470890022</v>
      </c>
      <c r="CC51" s="256">
        <f t="shared" si="61"/>
        <v>47.103851464337609</v>
      </c>
    </row>
    <row r="52" spans="1:81" s="252" customFormat="1">
      <c r="A52" s="282"/>
      <c r="B52" s="282"/>
      <c r="C52" s="282"/>
      <c r="D52" s="282"/>
      <c r="E52" s="8">
        <v>2034</v>
      </c>
      <c r="F52" s="256">
        <f t="shared" si="40"/>
        <v>57.551691115560843</v>
      </c>
      <c r="G52" s="256">
        <f t="shared" si="8"/>
        <v>67.343471895638913</v>
      </c>
      <c r="H52" s="256">
        <f t="shared" si="41"/>
        <v>124.89516301119976</v>
      </c>
      <c r="I52" s="88"/>
      <c r="J52" s="256">
        <f t="shared" si="42"/>
        <v>52.595474892432541</v>
      </c>
      <c r="K52" s="256">
        <f t="shared" si="43"/>
        <v>58.46681002365375</v>
      </c>
      <c r="L52" s="256">
        <f t="shared" si="44"/>
        <v>111.0622849160863</v>
      </c>
      <c r="M52" s="87"/>
      <c r="N52" s="256">
        <f t="shared" si="9"/>
        <v>43.042861422562318</v>
      </c>
      <c r="O52" s="256">
        <f t="shared" si="45"/>
        <v>40.680332570442516</v>
      </c>
      <c r="P52" s="256">
        <f t="shared" si="46"/>
        <v>83.723193993004827</v>
      </c>
      <c r="Q52" s="88"/>
      <c r="R52" s="8">
        <v>2034</v>
      </c>
      <c r="S52" s="256">
        <f t="shared" si="10"/>
        <v>135.41574380131965</v>
      </c>
      <c r="T52" s="256">
        <f t="shared" si="11"/>
        <v>158.4552279897386</v>
      </c>
      <c r="U52" s="256">
        <f t="shared" si="47"/>
        <v>293.87097179105825</v>
      </c>
      <c r="V52" s="88"/>
      <c r="W52" s="256">
        <f t="shared" si="12"/>
        <v>130.45952757819134</v>
      </c>
      <c r="X52" s="256">
        <f t="shared" si="13"/>
        <v>145.02297831304847</v>
      </c>
      <c r="Y52" s="256">
        <f t="shared" si="48"/>
        <v>275.48250589123984</v>
      </c>
      <c r="Z52" s="87"/>
      <c r="AA52" s="256">
        <f t="shared" si="14"/>
        <v>120.9069141083211</v>
      </c>
      <c r="AB52" s="256">
        <f t="shared" si="15"/>
        <v>114.27059710798459</v>
      </c>
      <c r="AC52" s="256">
        <f t="shared" si="49"/>
        <v>235.17751121630567</v>
      </c>
      <c r="AD52" s="88"/>
      <c r="AE52" s="8">
        <v>2034</v>
      </c>
      <c r="AF52" s="256">
        <f t="shared" si="16"/>
        <v>77.864052685758793</v>
      </c>
      <c r="AG52" s="256">
        <f t="shared" si="17"/>
        <v>91.11175609409969</v>
      </c>
      <c r="AH52" s="256">
        <f t="shared" si="50"/>
        <v>168.97580877985848</v>
      </c>
      <c r="AI52" s="88"/>
      <c r="AJ52" s="256">
        <f t="shared" si="18"/>
        <v>72.90783646263047</v>
      </c>
      <c r="AK52" s="256">
        <f t="shared" si="19"/>
        <v>81.046680012191501</v>
      </c>
      <c r="AL52" s="256">
        <f t="shared" si="51"/>
        <v>153.95451647482196</v>
      </c>
      <c r="AM52" s="87"/>
      <c r="AN52" s="256">
        <f t="shared" si="20"/>
        <v>63.355222992760254</v>
      </c>
      <c r="AO52" s="256">
        <f t="shared" si="21"/>
        <v>59.877792884583926</v>
      </c>
      <c r="AP52" s="256">
        <f t="shared" si="52"/>
        <v>123.23301587734417</v>
      </c>
      <c r="AQ52" s="88"/>
      <c r="AR52" s="8">
        <v>2034</v>
      </c>
      <c r="AS52" s="256">
        <f t="shared" si="22"/>
        <v>44.010116735428873</v>
      </c>
      <c r="AT52" s="256">
        <f t="shared" si="23"/>
        <v>51.497949096665046</v>
      </c>
      <c r="AU52" s="256">
        <f t="shared" si="53"/>
        <v>95.508065832093919</v>
      </c>
      <c r="AV52" s="88"/>
      <c r="AW52" s="256">
        <f t="shared" si="24"/>
        <v>39.053900512300572</v>
      </c>
      <c r="AX52" s="256">
        <f t="shared" si="25"/>
        <v>43.41356336462858</v>
      </c>
      <c r="AY52" s="256">
        <f t="shared" si="54"/>
        <v>82.467463876929145</v>
      </c>
      <c r="AZ52" s="87"/>
      <c r="BA52" s="256">
        <f t="shared" si="26"/>
        <v>29.501287042430349</v>
      </c>
      <c r="BB52" s="256">
        <f t="shared" si="27"/>
        <v>27.88202569434824</v>
      </c>
      <c r="BC52" s="256">
        <f t="shared" si="55"/>
        <v>57.383312736778592</v>
      </c>
      <c r="BD52" s="88"/>
      <c r="BE52" s="8">
        <v>2034</v>
      </c>
      <c r="BF52" s="256">
        <f t="shared" si="28"/>
        <v>33.853935950329912</v>
      </c>
      <c r="BG52" s="256">
        <f t="shared" si="29"/>
        <v>39.613806997434651</v>
      </c>
      <c r="BH52" s="256">
        <f t="shared" si="56"/>
        <v>73.467742947764563</v>
      </c>
      <c r="BI52" s="88"/>
      <c r="BJ52" s="256">
        <f t="shared" si="30"/>
        <v>28.897719727201608</v>
      </c>
      <c r="BK52" s="256">
        <f t="shared" si="31"/>
        <v>32.123628370359711</v>
      </c>
      <c r="BL52" s="256">
        <f t="shared" si="57"/>
        <v>61.021348097561315</v>
      </c>
      <c r="BM52" s="87"/>
      <c r="BN52" s="256">
        <f t="shared" si="32"/>
        <v>19.345106257331381</v>
      </c>
      <c r="BO52" s="256">
        <f t="shared" si="33"/>
        <v>18.283295537277539</v>
      </c>
      <c r="BP52" s="256">
        <f t="shared" si="58"/>
        <v>37.628401794608919</v>
      </c>
      <c r="BQ52" s="88"/>
      <c r="BR52" s="8">
        <v>2034</v>
      </c>
      <c r="BS52" s="256">
        <f t="shared" si="34"/>
        <v>37.239329545362907</v>
      </c>
      <c r="BT52" s="256">
        <f t="shared" si="35"/>
        <v>43.575187697178123</v>
      </c>
      <c r="BU52" s="256">
        <f t="shared" si="59"/>
        <v>80.814517242541029</v>
      </c>
      <c r="BV52" s="88"/>
      <c r="BW52" s="256">
        <f t="shared" si="36"/>
        <v>32.283113322234605</v>
      </c>
      <c r="BX52" s="256">
        <f t="shared" si="37"/>
        <v>35.886940035116005</v>
      </c>
      <c r="BY52" s="256">
        <f t="shared" si="60"/>
        <v>68.170053357350611</v>
      </c>
      <c r="BZ52" s="87"/>
      <c r="CA52" s="256">
        <f t="shared" si="38"/>
        <v>22.730499852364378</v>
      </c>
      <c r="CB52" s="256">
        <f t="shared" si="39"/>
        <v>21.482872256301111</v>
      </c>
      <c r="CC52" s="256">
        <f t="shared" si="61"/>
        <v>44.213372108665489</v>
      </c>
    </row>
    <row r="53" spans="1:81" s="252" customFormat="1">
      <c r="A53" s="282"/>
      <c r="B53" s="282"/>
      <c r="C53" s="282"/>
      <c r="D53" s="282"/>
      <c r="E53" s="8">
        <v>2035</v>
      </c>
      <c r="F53" s="256">
        <f t="shared" si="40"/>
        <v>57.551691115560843</v>
      </c>
      <c r="G53" s="256">
        <f t="shared" si="8"/>
        <v>67.343471895638913</v>
      </c>
      <c r="H53" s="256">
        <f t="shared" si="41"/>
        <v>124.89516301119976</v>
      </c>
      <c r="I53" s="88"/>
      <c r="J53" s="256">
        <f t="shared" si="42"/>
        <v>51.796522004004757</v>
      </c>
      <c r="K53" s="256">
        <f t="shared" si="43"/>
        <v>57.275622847240896</v>
      </c>
      <c r="L53" s="256">
        <f t="shared" si="44"/>
        <v>109.07214485124565</v>
      </c>
      <c r="M53" s="87"/>
      <c r="N53" s="256">
        <f t="shared" si="9"/>
        <v>41.833792281479106</v>
      </c>
      <c r="O53" s="256">
        <f t="shared" si="45"/>
        <v>38.596254537473079</v>
      </c>
      <c r="P53" s="256">
        <f t="shared" si="46"/>
        <v>80.430046818952178</v>
      </c>
      <c r="Q53" s="88"/>
      <c r="R53" s="8">
        <v>2035</v>
      </c>
      <c r="S53" s="256">
        <f t="shared" si="10"/>
        <v>135.41574380131965</v>
      </c>
      <c r="T53" s="256">
        <f t="shared" si="11"/>
        <v>158.4552279897386</v>
      </c>
      <c r="U53" s="256">
        <f t="shared" si="47"/>
        <v>293.87097179105825</v>
      </c>
      <c r="V53" s="88"/>
      <c r="W53" s="256">
        <f t="shared" si="12"/>
        <v>129.66057468976354</v>
      </c>
      <c r="X53" s="256">
        <f t="shared" si="13"/>
        <v>143.37623235616513</v>
      </c>
      <c r="Y53" s="256">
        <f t="shared" si="48"/>
        <v>273.03680704592864</v>
      </c>
      <c r="Z53" s="87"/>
      <c r="AA53" s="256">
        <f t="shared" si="14"/>
        <v>119.6978449672379</v>
      </c>
      <c r="AB53" s="256">
        <f t="shared" si="15"/>
        <v>110.43436991935938</v>
      </c>
      <c r="AC53" s="256">
        <f t="shared" si="49"/>
        <v>230.1322148865973</v>
      </c>
      <c r="AD53" s="88"/>
      <c r="AE53" s="8">
        <v>2035</v>
      </c>
      <c r="AF53" s="256">
        <f t="shared" si="16"/>
        <v>77.864052685758793</v>
      </c>
      <c r="AG53" s="256">
        <f t="shared" si="17"/>
        <v>91.11175609409969</v>
      </c>
      <c r="AH53" s="256">
        <f t="shared" si="50"/>
        <v>168.97580877985848</v>
      </c>
      <c r="AI53" s="88"/>
      <c r="AJ53" s="256">
        <f t="shared" si="18"/>
        <v>72.108883574202693</v>
      </c>
      <c r="AK53" s="256">
        <f t="shared" si="19"/>
        <v>79.736651414786337</v>
      </c>
      <c r="AL53" s="256">
        <f t="shared" si="51"/>
        <v>151.84553498898902</v>
      </c>
      <c r="AM53" s="87"/>
      <c r="AN53" s="256">
        <f t="shared" si="20"/>
        <v>62.146153851677042</v>
      </c>
      <c r="AO53" s="256">
        <f t="shared" si="21"/>
        <v>57.336632463182553</v>
      </c>
      <c r="AP53" s="256">
        <f t="shared" si="52"/>
        <v>119.4827863148596</v>
      </c>
      <c r="AQ53" s="88"/>
      <c r="AR53" s="8">
        <v>2035</v>
      </c>
      <c r="AS53" s="256">
        <f t="shared" si="22"/>
        <v>44.010116735428873</v>
      </c>
      <c r="AT53" s="256">
        <f t="shared" si="23"/>
        <v>51.497949096665046</v>
      </c>
      <c r="AU53" s="256">
        <f t="shared" si="53"/>
        <v>95.508065832093919</v>
      </c>
      <c r="AV53" s="88"/>
      <c r="AW53" s="256">
        <f t="shared" si="24"/>
        <v>38.254947623872788</v>
      </c>
      <c r="AX53" s="256">
        <f t="shared" si="25"/>
        <v>42.301603802210593</v>
      </c>
      <c r="AY53" s="256">
        <f t="shared" si="54"/>
        <v>80.556551426083388</v>
      </c>
      <c r="AZ53" s="87"/>
      <c r="BA53" s="256">
        <f t="shared" si="26"/>
        <v>28.292217901347136</v>
      </c>
      <c r="BB53" s="256">
        <f t="shared" si="27"/>
        <v>26.102669253666765</v>
      </c>
      <c r="BC53" s="256">
        <f t="shared" si="55"/>
        <v>54.394887155013905</v>
      </c>
      <c r="BD53" s="88"/>
      <c r="BE53" s="8">
        <v>2035</v>
      </c>
      <c r="BF53" s="256">
        <f t="shared" si="28"/>
        <v>33.853935950329912</v>
      </c>
      <c r="BG53" s="256">
        <f t="shared" si="29"/>
        <v>39.613806997434651</v>
      </c>
      <c r="BH53" s="256">
        <f t="shared" si="56"/>
        <v>73.467742947764563</v>
      </c>
      <c r="BI53" s="88"/>
      <c r="BJ53" s="256">
        <f t="shared" si="30"/>
        <v>28.098766838773823</v>
      </c>
      <c r="BK53" s="256">
        <f t="shared" si="31"/>
        <v>31.071089518437873</v>
      </c>
      <c r="BL53" s="256">
        <f t="shared" si="57"/>
        <v>59.1698563572117</v>
      </c>
      <c r="BM53" s="87"/>
      <c r="BN53" s="256">
        <f t="shared" si="32"/>
        <v>18.136037116248168</v>
      </c>
      <c r="BO53" s="256">
        <f t="shared" si="33"/>
        <v>16.732480290812031</v>
      </c>
      <c r="BP53" s="256">
        <f t="shared" si="58"/>
        <v>34.868517407060196</v>
      </c>
      <c r="BQ53" s="88"/>
      <c r="BR53" s="8">
        <v>2035</v>
      </c>
      <c r="BS53" s="256">
        <f t="shared" si="34"/>
        <v>37.239329545362907</v>
      </c>
      <c r="BT53" s="256">
        <f t="shared" si="35"/>
        <v>43.575187697178123</v>
      </c>
      <c r="BU53" s="256">
        <f t="shared" si="59"/>
        <v>80.814517242541029</v>
      </c>
      <c r="BV53" s="88"/>
      <c r="BW53" s="256">
        <f t="shared" si="36"/>
        <v>31.484160433806821</v>
      </c>
      <c r="BX53" s="256">
        <f t="shared" si="37"/>
        <v>34.814594279695456</v>
      </c>
      <c r="BY53" s="256">
        <f t="shared" si="60"/>
        <v>66.298754713502277</v>
      </c>
      <c r="BZ53" s="87"/>
      <c r="CA53" s="256">
        <f t="shared" si="38"/>
        <v>21.521430711281162</v>
      </c>
      <c r="CB53" s="256">
        <f t="shared" si="39"/>
        <v>19.855876611763616</v>
      </c>
      <c r="CC53" s="256">
        <f t="shared" si="61"/>
        <v>41.377307323044775</v>
      </c>
    </row>
    <row r="54" spans="1:81" s="252" customFormat="1">
      <c r="A54" s="282"/>
      <c r="B54" s="282"/>
      <c r="C54" s="282"/>
      <c r="D54" s="282"/>
      <c r="E54" s="8">
        <v>2036</v>
      </c>
      <c r="F54" s="256">
        <f t="shared" si="40"/>
        <v>57.551691115560843</v>
      </c>
      <c r="G54" s="256">
        <f t="shared" si="8"/>
        <v>67.343471895638913</v>
      </c>
      <c r="H54" s="256">
        <f t="shared" si="41"/>
        <v>124.89516301119976</v>
      </c>
      <c r="I54" s="88"/>
      <c r="J54" s="256">
        <f t="shared" si="42"/>
        <v>50.306948822190243</v>
      </c>
      <c r="K54" s="256">
        <f t="shared" si="43"/>
        <v>55.334150166296624</v>
      </c>
      <c r="L54" s="256">
        <f t="shared" si="44"/>
        <v>105.64109898848687</v>
      </c>
      <c r="M54" s="87"/>
      <c r="N54" s="256">
        <f t="shared" si="9"/>
        <v>40.624723140395901</v>
      </c>
      <c r="O54" s="256">
        <f t="shared" si="45"/>
        <v>36.566591074555078</v>
      </c>
      <c r="P54" s="256">
        <f t="shared" si="46"/>
        <v>77.191314214950978</v>
      </c>
      <c r="Q54" s="88"/>
      <c r="R54" s="8">
        <v>2036</v>
      </c>
      <c r="S54" s="256">
        <f t="shared" si="10"/>
        <v>135.41574380131965</v>
      </c>
      <c r="T54" s="256">
        <f t="shared" si="11"/>
        <v>158.4552279897386</v>
      </c>
      <c r="U54" s="256">
        <f t="shared" si="47"/>
        <v>293.87097179105825</v>
      </c>
      <c r="V54" s="88"/>
      <c r="W54" s="256">
        <f t="shared" si="12"/>
        <v>128.17100150794903</v>
      </c>
      <c r="X54" s="256">
        <f t="shared" si="13"/>
        <v>140.97920089475033</v>
      </c>
      <c r="Y54" s="256">
        <f t="shared" si="48"/>
        <v>269.15020240269939</v>
      </c>
      <c r="Z54" s="87"/>
      <c r="AA54" s="256">
        <f t="shared" si="14"/>
        <v>118.48877582615469</v>
      </c>
      <c r="AB54" s="256">
        <f t="shared" si="15"/>
        <v>106.65255730078562</v>
      </c>
      <c r="AC54" s="256">
        <f t="shared" si="49"/>
        <v>225.14133312694031</v>
      </c>
      <c r="AD54" s="88"/>
      <c r="AE54" s="8">
        <v>2036</v>
      </c>
      <c r="AF54" s="256">
        <f t="shared" si="16"/>
        <v>77.864052685758793</v>
      </c>
      <c r="AG54" s="256">
        <f t="shared" si="17"/>
        <v>91.11175609409969</v>
      </c>
      <c r="AH54" s="256">
        <f t="shared" si="50"/>
        <v>168.97580877985848</v>
      </c>
      <c r="AI54" s="88"/>
      <c r="AJ54" s="256">
        <f t="shared" si="18"/>
        <v>70.619310392388186</v>
      </c>
      <c r="AK54" s="256">
        <f t="shared" si="19"/>
        <v>77.676337312849768</v>
      </c>
      <c r="AL54" s="256">
        <f t="shared" si="51"/>
        <v>148.29564770523797</v>
      </c>
      <c r="AM54" s="87"/>
      <c r="AN54" s="256">
        <f t="shared" si="20"/>
        <v>60.937084710593837</v>
      </c>
      <c r="AO54" s="256">
        <f t="shared" si="21"/>
        <v>54.849886611832602</v>
      </c>
      <c r="AP54" s="256">
        <f t="shared" si="52"/>
        <v>115.78697132242644</v>
      </c>
      <c r="AQ54" s="88"/>
      <c r="AR54" s="8">
        <v>2036</v>
      </c>
      <c r="AS54" s="256">
        <f t="shared" si="22"/>
        <v>44.010116735428873</v>
      </c>
      <c r="AT54" s="256">
        <f t="shared" si="23"/>
        <v>51.497949096665046</v>
      </c>
      <c r="AU54" s="256">
        <f t="shared" si="53"/>
        <v>95.508065832093919</v>
      </c>
      <c r="AV54" s="88"/>
      <c r="AW54" s="256">
        <f t="shared" si="24"/>
        <v>36.765374442058274</v>
      </c>
      <c r="AX54" s="256">
        <f t="shared" si="25"/>
        <v>40.439358735261187</v>
      </c>
      <c r="AY54" s="256">
        <f t="shared" si="54"/>
        <v>77.204733177319468</v>
      </c>
      <c r="AZ54" s="87"/>
      <c r="BA54" s="256">
        <f t="shared" si="26"/>
        <v>27.083148760263928</v>
      </c>
      <c r="BB54" s="256">
        <f t="shared" si="27"/>
        <v>24.377727383036714</v>
      </c>
      <c r="BC54" s="256">
        <f t="shared" si="55"/>
        <v>51.460876143300638</v>
      </c>
      <c r="BD54" s="88"/>
      <c r="BE54" s="8">
        <v>2036</v>
      </c>
      <c r="BF54" s="256">
        <f t="shared" si="28"/>
        <v>33.853935950329912</v>
      </c>
      <c r="BG54" s="256">
        <f t="shared" si="29"/>
        <v>39.613806997434651</v>
      </c>
      <c r="BH54" s="256">
        <f t="shared" si="56"/>
        <v>73.467742947764563</v>
      </c>
      <c r="BI54" s="88"/>
      <c r="BJ54" s="256">
        <f t="shared" si="30"/>
        <v>26.609193656959309</v>
      </c>
      <c r="BK54" s="256">
        <f t="shared" si="31"/>
        <v>29.268265161984619</v>
      </c>
      <c r="BL54" s="256">
        <f t="shared" si="57"/>
        <v>55.877458818943929</v>
      </c>
      <c r="BM54" s="87"/>
      <c r="BN54" s="256">
        <f t="shared" si="32"/>
        <v>16.926967975164963</v>
      </c>
      <c r="BO54" s="256">
        <f t="shared" si="33"/>
        <v>15.236079614397951</v>
      </c>
      <c r="BP54" s="256">
        <f t="shared" si="58"/>
        <v>32.163047589562915</v>
      </c>
      <c r="BQ54" s="88"/>
      <c r="BR54" s="8">
        <v>2036</v>
      </c>
      <c r="BS54" s="256">
        <f t="shared" si="34"/>
        <v>37.239329545362907</v>
      </c>
      <c r="BT54" s="256">
        <f t="shared" si="35"/>
        <v>43.575187697178123</v>
      </c>
      <c r="BU54" s="256">
        <f t="shared" si="59"/>
        <v>80.814517242541029</v>
      </c>
      <c r="BV54" s="88"/>
      <c r="BW54" s="256">
        <f t="shared" si="36"/>
        <v>29.994587251992304</v>
      </c>
      <c r="BX54" s="256">
        <f t="shared" si="37"/>
        <v>32.99196301974348</v>
      </c>
      <c r="BY54" s="256">
        <f t="shared" si="60"/>
        <v>62.98655027173578</v>
      </c>
      <c r="BZ54" s="87"/>
      <c r="CA54" s="256">
        <f t="shared" si="38"/>
        <v>20.312361570197957</v>
      </c>
      <c r="CB54" s="256">
        <f t="shared" si="39"/>
        <v>18.283295537277546</v>
      </c>
      <c r="CC54" s="256">
        <f t="shared" si="61"/>
        <v>38.595657107475503</v>
      </c>
    </row>
    <row r="55" spans="1:81" s="252" customFormat="1">
      <c r="A55" s="282"/>
      <c r="B55" s="282"/>
      <c r="C55" s="282"/>
      <c r="D55" s="282"/>
      <c r="E55" s="8">
        <v>2037</v>
      </c>
      <c r="F55" s="256">
        <f t="shared" si="40"/>
        <v>57.551691115560843</v>
      </c>
      <c r="G55" s="256">
        <f t="shared" si="8"/>
        <v>67.343471895638913</v>
      </c>
      <c r="H55" s="256">
        <f t="shared" si="41"/>
        <v>124.89516301119976</v>
      </c>
      <c r="I55" s="88"/>
      <c r="J55" s="256">
        <f t="shared" si="42"/>
        <v>48.81737564037573</v>
      </c>
      <c r="K55" s="256">
        <f t="shared" si="43"/>
        <v>53.410107560431221</v>
      </c>
      <c r="L55" s="256">
        <f t="shared" si="44"/>
        <v>102.22748320080694</v>
      </c>
      <c r="M55" s="87"/>
      <c r="N55" s="256">
        <f t="shared" si="9"/>
        <v>39.415653999312681</v>
      </c>
      <c r="O55" s="256">
        <f t="shared" si="45"/>
        <v>34.591342181688475</v>
      </c>
      <c r="P55" s="256">
        <f t="shared" si="46"/>
        <v>74.006996181001156</v>
      </c>
      <c r="Q55" s="88"/>
      <c r="R55" s="8">
        <v>2037</v>
      </c>
      <c r="S55" s="256">
        <f t="shared" si="10"/>
        <v>135.41574380131965</v>
      </c>
      <c r="T55" s="256">
        <f t="shared" si="11"/>
        <v>158.4552279897386</v>
      </c>
      <c r="U55" s="256">
        <f t="shared" si="47"/>
        <v>293.87097179105825</v>
      </c>
      <c r="V55" s="88"/>
      <c r="W55" s="256">
        <f t="shared" si="12"/>
        <v>126.68142832613452</v>
      </c>
      <c r="X55" s="256">
        <f t="shared" si="13"/>
        <v>138.59959950841443</v>
      </c>
      <c r="Y55" s="256">
        <f t="shared" si="48"/>
        <v>265.28102783454892</v>
      </c>
      <c r="Z55" s="87"/>
      <c r="AA55" s="256">
        <f t="shared" si="14"/>
        <v>117.27970668507147</v>
      </c>
      <c r="AB55" s="256">
        <f t="shared" si="15"/>
        <v>102.92515925226326</v>
      </c>
      <c r="AC55" s="256">
        <f t="shared" si="49"/>
        <v>220.20486593733472</v>
      </c>
      <c r="AD55" s="88"/>
      <c r="AE55" s="8">
        <v>2037</v>
      </c>
      <c r="AF55" s="256">
        <f t="shared" si="16"/>
        <v>77.864052685758793</v>
      </c>
      <c r="AG55" s="256">
        <f t="shared" si="17"/>
        <v>91.11175609409969</v>
      </c>
      <c r="AH55" s="256">
        <f t="shared" si="50"/>
        <v>168.97580877985848</v>
      </c>
      <c r="AI55" s="88"/>
      <c r="AJ55" s="256">
        <f t="shared" si="18"/>
        <v>69.129737210573666</v>
      </c>
      <c r="AK55" s="256">
        <f t="shared" si="19"/>
        <v>75.633453285992047</v>
      </c>
      <c r="AL55" s="256">
        <f t="shared" si="51"/>
        <v>144.7631904965657</v>
      </c>
      <c r="AM55" s="87"/>
      <c r="AN55" s="256">
        <f t="shared" si="20"/>
        <v>59.728015569510632</v>
      </c>
      <c r="AO55" s="256">
        <f t="shared" si="21"/>
        <v>52.417555330534064</v>
      </c>
      <c r="AP55" s="256">
        <f t="shared" si="52"/>
        <v>112.1455709000447</v>
      </c>
      <c r="AQ55" s="88"/>
      <c r="AR55" s="8">
        <v>2037</v>
      </c>
      <c r="AS55" s="256">
        <f t="shared" si="22"/>
        <v>44.010116735428873</v>
      </c>
      <c r="AT55" s="256">
        <f t="shared" si="23"/>
        <v>51.497949096665046</v>
      </c>
      <c r="AU55" s="256">
        <f t="shared" si="53"/>
        <v>95.508065832093919</v>
      </c>
      <c r="AV55" s="88"/>
      <c r="AW55" s="256">
        <f t="shared" si="24"/>
        <v>35.27580126024376</v>
      </c>
      <c r="AX55" s="256">
        <f t="shared" si="25"/>
        <v>38.594543743390652</v>
      </c>
      <c r="AY55" s="256">
        <f t="shared" si="54"/>
        <v>73.870345003634412</v>
      </c>
      <c r="AZ55" s="87"/>
      <c r="BA55" s="256">
        <f t="shared" si="26"/>
        <v>25.874079619180712</v>
      </c>
      <c r="BB55" s="256">
        <f t="shared" si="27"/>
        <v>22.707200082458076</v>
      </c>
      <c r="BC55" s="256">
        <f t="shared" si="55"/>
        <v>48.581279701638792</v>
      </c>
      <c r="BD55" s="88"/>
      <c r="BE55" s="8">
        <v>2037</v>
      </c>
      <c r="BF55" s="256">
        <f t="shared" si="28"/>
        <v>33.853935950329912</v>
      </c>
      <c r="BG55" s="256">
        <f t="shared" si="29"/>
        <v>39.613806997434651</v>
      </c>
      <c r="BH55" s="256">
        <f t="shared" si="56"/>
        <v>73.467742947764563</v>
      </c>
      <c r="BI55" s="88"/>
      <c r="BJ55" s="256">
        <f t="shared" si="30"/>
        <v>25.119620475144792</v>
      </c>
      <c r="BK55" s="256">
        <f t="shared" si="31"/>
        <v>27.482870880610239</v>
      </c>
      <c r="BL55" s="256">
        <f t="shared" si="57"/>
        <v>52.602491355755035</v>
      </c>
      <c r="BM55" s="87"/>
      <c r="BN55" s="256">
        <f t="shared" si="32"/>
        <v>15.717898834081748</v>
      </c>
      <c r="BO55" s="256">
        <f t="shared" si="33"/>
        <v>13.794093508035283</v>
      </c>
      <c r="BP55" s="256">
        <f t="shared" si="58"/>
        <v>29.511992342117033</v>
      </c>
      <c r="BQ55" s="88"/>
      <c r="BR55" s="8">
        <v>2037</v>
      </c>
      <c r="BS55" s="256">
        <f t="shared" si="34"/>
        <v>37.239329545362907</v>
      </c>
      <c r="BT55" s="256">
        <f t="shared" si="35"/>
        <v>43.575187697178123</v>
      </c>
      <c r="BU55" s="256">
        <f t="shared" si="59"/>
        <v>80.814517242541029</v>
      </c>
      <c r="BV55" s="88"/>
      <c r="BW55" s="256">
        <f t="shared" si="36"/>
        <v>28.50501407017779</v>
      </c>
      <c r="BX55" s="256">
        <f t="shared" si="37"/>
        <v>31.186761834870381</v>
      </c>
      <c r="BY55" s="256">
        <f t="shared" si="60"/>
        <v>59.691775905048175</v>
      </c>
      <c r="BZ55" s="87"/>
      <c r="CA55" s="256">
        <f t="shared" si="38"/>
        <v>19.103292429114742</v>
      </c>
      <c r="CB55" s="256">
        <f t="shared" si="39"/>
        <v>16.765129032842886</v>
      </c>
      <c r="CC55" s="256">
        <f t="shared" si="61"/>
        <v>35.868421461957624</v>
      </c>
    </row>
    <row r="56" spans="1:81" s="252" customFormat="1">
      <c r="A56" s="282"/>
      <c r="B56" s="282"/>
      <c r="C56" s="282"/>
      <c r="D56" s="282"/>
      <c r="E56" s="8">
        <v>2038</v>
      </c>
      <c r="F56" s="256">
        <f t="shared" si="40"/>
        <v>57.551691115560843</v>
      </c>
      <c r="G56" s="256">
        <f t="shared" si="8"/>
        <v>67.343471895638913</v>
      </c>
      <c r="H56" s="256">
        <f t="shared" si="41"/>
        <v>124.89516301119976</v>
      </c>
      <c r="I56" s="88"/>
      <c r="J56" s="256">
        <f t="shared" si="42"/>
        <v>47.327802458561216</v>
      </c>
      <c r="K56" s="256">
        <f t="shared" si="43"/>
        <v>51.503495029644689</v>
      </c>
      <c r="L56" s="256">
        <f t="shared" si="44"/>
        <v>98.831297488205905</v>
      </c>
      <c r="M56" s="87"/>
      <c r="N56" s="256">
        <f t="shared" si="9"/>
        <v>38.206584858229476</v>
      </c>
      <c r="O56" s="256">
        <f t="shared" si="45"/>
        <v>32.670507858873307</v>
      </c>
      <c r="P56" s="256">
        <f t="shared" si="46"/>
        <v>70.877092717102784</v>
      </c>
      <c r="Q56" s="88"/>
      <c r="R56" s="8">
        <v>2038</v>
      </c>
      <c r="S56" s="256">
        <f t="shared" si="10"/>
        <v>135.41574380131965</v>
      </c>
      <c r="T56" s="256">
        <f t="shared" si="11"/>
        <v>158.4552279897386</v>
      </c>
      <c r="U56" s="256">
        <f t="shared" si="47"/>
        <v>293.87097179105825</v>
      </c>
      <c r="V56" s="88"/>
      <c r="W56" s="256">
        <f t="shared" si="12"/>
        <v>125.19185514432002</v>
      </c>
      <c r="X56" s="256">
        <f t="shared" si="13"/>
        <v>136.23742819715741</v>
      </c>
      <c r="Y56" s="256">
        <f t="shared" si="48"/>
        <v>261.42928334147746</v>
      </c>
      <c r="Z56" s="87"/>
      <c r="AA56" s="256">
        <f t="shared" si="14"/>
        <v>116.07063754398827</v>
      </c>
      <c r="AB56" s="256">
        <f t="shared" si="15"/>
        <v>99.252175773792317</v>
      </c>
      <c r="AC56" s="256">
        <f t="shared" si="49"/>
        <v>215.32281331778057</v>
      </c>
      <c r="AD56" s="88"/>
      <c r="AE56" s="8">
        <v>2038</v>
      </c>
      <c r="AF56" s="256">
        <f t="shared" si="16"/>
        <v>77.864052685758793</v>
      </c>
      <c r="AG56" s="256">
        <f t="shared" si="17"/>
        <v>91.11175609409969</v>
      </c>
      <c r="AH56" s="256">
        <f t="shared" si="50"/>
        <v>168.97580877985848</v>
      </c>
      <c r="AI56" s="88"/>
      <c r="AJ56" s="256">
        <f t="shared" si="18"/>
        <v>67.640164028759159</v>
      </c>
      <c r="AK56" s="256">
        <f t="shared" si="19"/>
        <v>73.607999334213218</v>
      </c>
      <c r="AL56" s="256">
        <f t="shared" si="51"/>
        <v>141.24816336297238</v>
      </c>
      <c r="AM56" s="87"/>
      <c r="AN56" s="256">
        <f t="shared" si="20"/>
        <v>58.518946428427412</v>
      </c>
      <c r="AO56" s="256">
        <f t="shared" si="21"/>
        <v>50.039638619286961</v>
      </c>
      <c r="AP56" s="256">
        <f t="shared" si="52"/>
        <v>108.55858504771437</v>
      </c>
      <c r="AQ56" s="88"/>
      <c r="AR56" s="8">
        <v>2038</v>
      </c>
      <c r="AS56" s="256">
        <f t="shared" si="22"/>
        <v>44.010116735428873</v>
      </c>
      <c r="AT56" s="256">
        <f t="shared" si="23"/>
        <v>51.497949096665046</v>
      </c>
      <c r="AU56" s="256">
        <f t="shared" si="53"/>
        <v>95.508065832093919</v>
      </c>
      <c r="AV56" s="88"/>
      <c r="AW56" s="256">
        <f t="shared" si="24"/>
        <v>33.786228078429247</v>
      </c>
      <c r="AX56" s="256">
        <f t="shared" si="25"/>
        <v>36.767158826598994</v>
      </c>
      <c r="AY56" s="256">
        <f t="shared" si="54"/>
        <v>70.553386905028248</v>
      </c>
      <c r="AZ56" s="87"/>
      <c r="BA56" s="256">
        <f t="shared" si="26"/>
        <v>24.665010478097503</v>
      </c>
      <c r="BB56" s="256">
        <f t="shared" si="27"/>
        <v>21.091087351930867</v>
      </c>
      <c r="BC56" s="256">
        <f t="shared" si="55"/>
        <v>45.756097830028367</v>
      </c>
      <c r="BD56" s="88"/>
      <c r="BE56" s="8">
        <v>2038</v>
      </c>
      <c r="BF56" s="256">
        <f t="shared" si="28"/>
        <v>33.853935950329912</v>
      </c>
      <c r="BG56" s="256">
        <f t="shared" si="29"/>
        <v>39.613806997434651</v>
      </c>
      <c r="BH56" s="256">
        <f t="shared" si="56"/>
        <v>73.467742947764563</v>
      </c>
      <c r="BI56" s="88"/>
      <c r="BJ56" s="256">
        <f t="shared" si="30"/>
        <v>23.630047293330279</v>
      </c>
      <c r="BK56" s="256">
        <f t="shared" si="31"/>
        <v>25.714906674314729</v>
      </c>
      <c r="BL56" s="256">
        <f t="shared" si="57"/>
        <v>49.344953967645012</v>
      </c>
      <c r="BM56" s="87"/>
      <c r="BN56" s="256">
        <f t="shared" si="32"/>
        <v>14.508829692998537</v>
      </c>
      <c r="BO56" s="256">
        <f t="shared" si="33"/>
        <v>12.406521971724043</v>
      </c>
      <c r="BP56" s="256">
        <f t="shared" si="58"/>
        <v>26.915351664722579</v>
      </c>
      <c r="BQ56" s="88"/>
      <c r="BR56" s="8">
        <v>2038</v>
      </c>
      <c r="BS56" s="256">
        <f t="shared" si="34"/>
        <v>37.239329545362907</v>
      </c>
      <c r="BT56" s="256">
        <f t="shared" si="35"/>
        <v>43.575187697178123</v>
      </c>
      <c r="BU56" s="256">
        <f t="shared" si="59"/>
        <v>80.814517242541029</v>
      </c>
      <c r="BV56" s="88"/>
      <c r="BW56" s="256">
        <f t="shared" si="36"/>
        <v>27.015440888363273</v>
      </c>
      <c r="BX56" s="256">
        <f t="shared" si="37"/>
        <v>29.39899072507616</v>
      </c>
      <c r="BY56" s="256">
        <f t="shared" si="60"/>
        <v>56.414431613439433</v>
      </c>
      <c r="BZ56" s="87"/>
      <c r="CA56" s="256">
        <f t="shared" si="38"/>
        <v>17.894223288031533</v>
      </c>
      <c r="CB56" s="256">
        <f t="shared" si="39"/>
        <v>15.301377098459657</v>
      </c>
      <c r="CC56" s="256">
        <f t="shared" si="61"/>
        <v>33.195600386491193</v>
      </c>
    </row>
    <row r="57" spans="1:81" s="252" customFormat="1">
      <c r="A57" s="282"/>
      <c r="B57" s="282"/>
      <c r="C57" s="282"/>
      <c r="D57" s="282"/>
      <c r="E57" s="8">
        <v>2039</v>
      </c>
      <c r="F57" s="256">
        <f t="shared" si="40"/>
        <v>57.551691115560843</v>
      </c>
      <c r="G57" s="256">
        <f t="shared" si="8"/>
        <v>67.343471895638913</v>
      </c>
      <c r="H57" s="256">
        <f t="shared" si="41"/>
        <v>124.89516301119976</v>
      </c>
      <c r="I57" s="88"/>
      <c r="J57" s="256">
        <f t="shared" si="42"/>
        <v>45.838229276746702</v>
      </c>
      <c r="K57" s="256">
        <f t="shared" si="43"/>
        <v>49.614312573937042</v>
      </c>
      <c r="L57" s="256">
        <f t="shared" si="44"/>
        <v>95.452541850683744</v>
      </c>
      <c r="M57" s="87"/>
      <c r="N57" s="256">
        <f t="shared" si="9"/>
        <v>36.997515717146264</v>
      </c>
      <c r="O57" s="256">
        <f t="shared" si="45"/>
        <v>30.804088106109564</v>
      </c>
      <c r="P57" s="256">
        <f t="shared" si="46"/>
        <v>67.801603823255832</v>
      </c>
      <c r="Q57" s="88"/>
      <c r="R57" s="8">
        <v>2039</v>
      </c>
      <c r="S57" s="256">
        <f t="shared" si="10"/>
        <v>135.41574380131965</v>
      </c>
      <c r="T57" s="256">
        <f t="shared" si="11"/>
        <v>158.4552279897386</v>
      </c>
      <c r="U57" s="256">
        <f t="shared" si="47"/>
        <v>293.87097179105825</v>
      </c>
      <c r="V57" s="88"/>
      <c r="W57" s="256">
        <f t="shared" si="12"/>
        <v>123.70228196250548</v>
      </c>
      <c r="X57" s="256">
        <f t="shared" si="13"/>
        <v>133.89268696097926</v>
      </c>
      <c r="Y57" s="256">
        <f t="shared" si="48"/>
        <v>257.59496892348477</v>
      </c>
      <c r="Z57" s="87"/>
      <c r="AA57" s="256">
        <f t="shared" si="14"/>
        <v>114.86156840290505</v>
      </c>
      <c r="AB57" s="256">
        <f t="shared" si="15"/>
        <v>95.633606865372826</v>
      </c>
      <c r="AC57" s="256">
        <f t="shared" si="49"/>
        <v>210.49517526827788</v>
      </c>
      <c r="AD57" s="88"/>
      <c r="AE57" s="8">
        <v>2039</v>
      </c>
      <c r="AF57" s="256">
        <f t="shared" si="16"/>
        <v>77.864052685758793</v>
      </c>
      <c r="AG57" s="256">
        <f t="shared" si="17"/>
        <v>91.11175609409969</v>
      </c>
      <c r="AH57" s="256">
        <f t="shared" si="50"/>
        <v>168.97580877985848</v>
      </c>
      <c r="AI57" s="88"/>
      <c r="AJ57" s="256">
        <f t="shared" si="18"/>
        <v>66.150590846944638</v>
      </c>
      <c r="AK57" s="256">
        <f t="shared" si="19"/>
        <v>71.599975457513267</v>
      </c>
      <c r="AL57" s="256">
        <f t="shared" si="51"/>
        <v>137.75056630445789</v>
      </c>
      <c r="AM57" s="87"/>
      <c r="AN57" s="256">
        <f t="shared" si="20"/>
        <v>57.3098772873442</v>
      </c>
      <c r="AO57" s="256">
        <f t="shared" si="21"/>
        <v>47.716136478091279</v>
      </c>
      <c r="AP57" s="256">
        <f t="shared" si="52"/>
        <v>105.02601376543548</v>
      </c>
      <c r="AQ57" s="88"/>
      <c r="AR57" s="8">
        <v>2039</v>
      </c>
      <c r="AS57" s="256">
        <f t="shared" si="22"/>
        <v>44.010116735428873</v>
      </c>
      <c r="AT57" s="256">
        <f t="shared" si="23"/>
        <v>51.497949096665046</v>
      </c>
      <c r="AU57" s="256">
        <f t="shared" si="53"/>
        <v>95.508065832093919</v>
      </c>
      <c r="AV57" s="88"/>
      <c r="AW57" s="256">
        <f t="shared" si="24"/>
        <v>32.296654896614726</v>
      </c>
      <c r="AX57" s="256">
        <f t="shared" si="25"/>
        <v>34.957203984886206</v>
      </c>
      <c r="AY57" s="256">
        <f t="shared" si="54"/>
        <v>67.253858881500932</v>
      </c>
      <c r="AZ57" s="87"/>
      <c r="BA57" s="256">
        <f t="shared" si="26"/>
        <v>23.455941337014291</v>
      </c>
      <c r="BB57" s="256">
        <f t="shared" si="27"/>
        <v>19.529389191455081</v>
      </c>
      <c r="BC57" s="256">
        <f t="shared" si="55"/>
        <v>42.985330528469376</v>
      </c>
      <c r="BD57" s="88"/>
      <c r="BE57" s="8">
        <v>2039</v>
      </c>
      <c r="BF57" s="256">
        <f t="shared" si="28"/>
        <v>33.853935950329912</v>
      </c>
      <c r="BG57" s="256">
        <f t="shared" si="29"/>
        <v>39.613806997434651</v>
      </c>
      <c r="BH57" s="256">
        <f t="shared" si="56"/>
        <v>73.467742947764563</v>
      </c>
      <c r="BI57" s="88"/>
      <c r="BJ57" s="256">
        <f t="shared" si="30"/>
        <v>22.140474111515761</v>
      </c>
      <c r="BK57" s="256">
        <f t="shared" si="31"/>
        <v>23.964372543098097</v>
      </c>
      <c r="BL57" s="256">
        <f t="shared" si="57"/>
        <v>46.104846654613858</v>
      </c>
      <c r="BM57" s="87"/>
      <c r="BN57" s="256">
        <f t="shared" si="32"/>
        <v>13.299760551915327</v>
      </c>
      <c r="BO57" s="256">
        <f t="shared" si="33"/>
        <v>11.073365005464225</v>
      </c>
      <c r="BP57" s="256">
        <f t="shared" si="58"/>
        <v>24.373125557379552</v>
      </c>
      <c r="BQ57" s="88"/>
      <c r="BR57" s="8">
        <v>2039</v>
      </c>
      <c r="BS57" s="256">
        <f t="shared" si="34"/>
        <v>37.239329545362907</v>
      </c>
      <c r="BT57" s="256">
        <f t="shared" si="35"/>
        <v>43.575187697178123</v>
      </c>
      <c r="BU57" s="256">
        <f t="shared" si="59"/>
        <v>80.814517242541029</v>
      </c>
      <c r="BV57" s="88"/>
      <c r="BW57" s="256">
        <f t="shared" si="36"/>
        <v>25.525867706548755</v>
      </c>
      <c r="BX57" s="256">
        <f t="shared" si="37"/>
        <v>27.62864969036081</v>
      </c>
      <c r="BY57" s="256">
        <f t="shared" si="60"/>
        <v>53.154517396909569</v>
      </c>
      <c r="BZ57" s="87"/>
      <c r="CA57" s="256">
        <f t="shared" si="38"/>
        <v>16.685154146948321</v>
      </c>
      <c r="CB57" s="256">
        <f t="shared" si="39"/>
        <v>13.892039734127849</v>
      </c>
      <c r="CC57" s="256">
        <f t="shared" si="61"/>
        <v>30.57719388107617</v>
      </c>
    </row>
    <row r="58" spans="1:81" s="252" customFormat="1">
      <c r="A58" s="282"/>
      <c r="B58" s="282"/>
      <c r="C58" s="282"/>
      <c r="D58" s="282"/>
      <c r="E58" s="8">
        <v>2040</v>
      </c>
      <c r="F58" s="256">
        <f t="shared" si="40"/>
        <v>57.551691115560843</v>
      </c>
      <c r="G58" s="256">
        <f t="shared" si="8"/>
        <v>67.343471895638913</v>
      </c>
      <c r="H58" s="256">
        <f t="shared" si="41"/>
        <v>124.89516301119976</v>
      </c>
      <c r="I58" s="88"/>
      <c r="J58" s="256">
        <f t="shared" si="42"/>
        <v>44.348656094932181</v>
      </c>
      <c r="K58" s="256">
        <f t="shared" si="43"/>
        <v>47.74256019330825</v>
      </c>
      <c r="L58" s="256">
        <f t="shared" si="44"/>
        <v>92.091216288240432</v>
      </c>
      <c r="M58" s="87"/>
      <c r="N58" s="256">
        <f t="shared" si="9"/>
        <v>35.788446576063052</v>
      </c>
      <c r="O58" s="256">
        <f t="shared" si="45"/>
        <v>28.992082923397241</v>
      </c>
      <c r="P58" s="256">
        <f t="shared" si="46"/>
        <v>64.7805294994603</v>
      </c>
      <c r="Q58" s="88"/>
      <c r="R58" s="8">
        <v>2040</v>
      </c>
      <c r="S58" s="256">
        <f t="shared" si="10"/>
        <v>135.41574380131965</v>
      </c>
      <c r="T58" s="256">
        <f t="shared" si="11"/>
        <v>158.4552279897386</v>
      </c>
      <c r="U58" s="256">
        <f t="shared" si="47"/>
        <v>293.87097179105825</v>
      </c>
      <c r="V58" s="88"/>
      <c r="W58" s="256">
        <f t="shared" si="12"/>
        <v>122.21270878069099</v>
      </c>
      <c r="X58" s="256">
        <f t="shared" si="13"/>
        <v>131.56537579987997</v>
      </c>
      <c r="Y58" s="256">
        <f t="shared" si="48"/>
        <v>253.77808458057098</v>
      </c>
      <c r="Z58" s="87"/>
      <c r="AA58" s="256">
        <f t="shared" si="14"/>
        <v>113.65249926182184</v>
      </c>
      <c r="AB58" s="256">
        <f t="shared" si="15"/>
        <v>92.069452527004728</v>
      </c>
      <c r="AC58" s="256">
        <f t="shared" si="49"/>
        <v>205.72195178882657</v>
      </c>
      <c r="AD58" s="88"/>
      <c r="AE58" s="8">
        <v>2040</v>
      </c>
      <c r="AF58" s="256">
        <f t="shared" si="16"/>
        <v>77.864052685758793</v>
      </c>
      <c r="AG58" s="256">
        <f t="shared" si="17"/>
        <v>91.11175609409969</v>
      </c>
      <c r="AH58" s="256">
        <f t="shared" si="50"/>
        <v>168.97580877985848</v>
      </c>
      <c r="AI58" s="88"/>
      <c r="AJ58" s="256">
        <f t="shared" si="18"/>
        <v>64.661017665130117</v>
      </c>
      <c r="AK58" s="256">
        <f t="shared" si="19"/>
        <v>69.609381655892179</v>
      </c>
      <c r="AL58" s="256">
        <f t="shared" si="51"/>
        <v>134.2703993210223</v>
      </c>
      <c r="AM58" s="87"/>
      <c r="AN58" s="256">
        <f t="shared" si="20"/>
        <v>56.100808146260988</v>
      </c>
      <c r="AO58" s="256">
        <f t="shared" si="21"/>
        <v>45.447048906947018</v>
      </c>
      <c r="AP58" s="256">
        <f t="shared" si="52"/>
        <v>101.54785705320801</v>
      </c>
      <c r="AQ58" s="88"/>
      <c r="AR58" s="8">
        <v>2040</v>
      </c>
      <c r="AS58" s="256">
        <f t="shared" si="22"/>
        <v>44.010116735428873</v>
      </c>
      <c r="AT58" s="256">
        <f t="shared" si="23"/>
        <v>51.497949096665046</v>
      </c>
      <c r="AU58" s="256">
        <f t="shared" si="53"/>
        <v>95.508065832093919</v>
      </c>
      <c r="AV58" s="88"/>
      <c r="AW58" s="256">
        <f t="shared" si="24"/>
        <v>30.807081714800212</v>
      </c>
      <c r="AX58" s="256">
        <f t="shared" si="25"/>
        <v>33.164679218252289</v>
      </c>
      <c r="AY58" s="256">
        <f t="shared" si="54"/>
        <v>63.971760933052501</v>
      </c>
      <c r="AZ58" s="87"/>
      <c r="BA58" s="256">
        <f t="shared" si="26"/>
        <v>22.246872195931083</v>
      </c>
      <c r="BB58" s="256">
        <f t="shared" si="27"/>
        <v>18.022105601030713</v>
      </c>
      <c r="BC58" s="256">
        <f t="shared" si="55"/>
        <v>40.268977796961792</v>
      </c>
      <c r="BD58" s="88"/>
      <c r="BE58" s="8">
        <v>2040</v>
      </c>
      <c r="BF58" s="256">
        <f t="shared" si="28"/>
        <v>33.853935950329912</v>
      </c>
      <c r="BG58" s="256">
        <f t="shared" si="29"/>
        <v>39.613806997434651</v>
      </c>
      <c r="BH58" s="256">
        <f t="shared" si="56"/>
        <v>73.467742947764563</v>
      </c>
      <c r="BI58" s="88"/>
      <c r="BJ58" s="256">
        <f t="shared" si="30"/>
        <v>20.650900929701248</v>
      </c>
      <c r="BK58" s="256">
        <f t="shared" si="31"/>
        <v>22.231268486960332</v>
      </c>
      <c r="BL58" s="256">
        <f t="shared" si="57"/>
        <v>42.882169416661583</v>
      </c>
      <c r="BM58" s="87"/>
      <c r="BN58" s="256">
        <f t="shared" si="32"/>
        <v>12.090691410832116</v>
      </c>
      <c r="BO58" s="256">
        <f t="shared" si="33"/>
        <v>9.7946226092558266</v>
      </c>
      <c r="BP58" s="256">
        <f t="shared" si="58"/>
        <v>21.885314020087943</v>
      </c>
      <c r="BQ58" s="88"/>
      <c r="BR58" s="8">
        <v>2040</v>
      </c>
      <c r="BS58" s="256">
        <f t="shared" si="34"/>
        <v>37.239329545362907</v>
      </c>
      <c r="BT58" s="256">
        <f t="shared" si="35"/>
        <v>43.575187697178123</v>
      </c>
      <c r="BU58" s="256">
        <f t="shared" si="59"/>
        <v>80.814517242541029</v>
      </c>
      <c r="BV58" s="88"/>
      <c r="BW58" s="256">
        <f t="shared" si="36"/>
        <v>24.036294524734242</v>
      </c>
      <c r="BX58" s="256">
        <f t="shared" si="37"/>
        <v>25.875738730724322</v>
      </c>
      <c r="BY58" s="256">
        <f t="shared" si="60"/>
        <v>49.912033255458567</v>
      </c>
      <c r="BZ58" s="87"/>
      <c r="CA58" s="256">
        <f t="shared" si="38"/>
        <v>15.476085005865112</v>
      </c>
      <c r="CB58" s="256">
        <f t="shared" si="39"/>
        <v>12.537116939847461</v>
      </c>
      <c r="CC58" s="256">
        <f t="shared" si="61"/>
        <v>28.013201945712574</v>
      </c>
    </row>
    <row r="59" spans="1:81" s="252" customFormat="1">
      <c r="A59" s="282"/>
      <c r="B59" s="282"/>
      <c r="C59" s="282"/>
      <c r="D59" s="282"/>
      <c r="E59" s="8">
        <v>2041</v>
      </c>
      <c r="F59" s="256">
        <f t="shared" si="40"/>
        <v>57.551691115560843</v>
      </c>
      <c r="G59" s="256">
        <f t="shared" si="8"/>
        <v>67.343471895638913</v>
      </c>
      <c r="H59" s="256">
        <f t="shared" si="41"/>
        <v>124.89516301119976</v>
      </c>
      <c r="I59" s="88"/>
      <c r="J59" s="256">
        <f t="shared" si="42"/>
        <v>43.333038016422286</v>
      </c>
      <c r="K59" s="256">
        <f t="shared" si="43"/>
        <v>46.395690755395464</v>
      </c>
      <c r="L59" s="256">
        <f t="shared" si="44"/>
        <v>89.728728771817742</v>
      </c>
      <c r="M59" s="87"/>
      <c r="N59" s="256">
        <f t="shared" si="9"/>
        <v>34.579377434979847</v>
      </c>
      <c r="O59" s="256">
        <f t="shared" si="45"/>
        <v>27.234492310736329</v>
      </c>
      <c r="P59" s="256">
        <f t="shared" si="46"/>
        <v>61.813869745716175</v>
      </c>
      <c r="Q59" s="88"/>
      <c r="R59" s="8">
        <v>2041</v>
      </c>
      <c r="S59" s="256">
        <f t="shared" si="10"/>
        <v>135.41574380131965</v>
      </c>
      <c r="T59" s="256">
        <f t="shared" si="11"/>
        <v>158.4552279897386</v>
      </c>
      <c r="U59" s="256">
        <f t="shared" si="47"/>
        <v>293.87097179105825</v>
      </c>
      <c r="V59" s="88"/>
      <c r="W59" s="256">
        <f t="shared" si="12"/>
        <v>121.19709070218107</v>
      </c>
      <c r="X59" s="256">
        <f t="shared" si="13"/>
        <v>129.76294758149669</v>
      </c>
      <c r="Y59" s="256">
        <f t="shared" si="48"/>
        <v>250.96003828367776</v>
      </c>
      <c r="Z59" s="87"/>
      <c r="AA59" s="256">
        <f t="shared" si="14"/>
        <v>112.44343012073863</v>
      </c>
      <c r="AB59" s="256">
        <f t="shared" si="15"/>
        <v>88.55971275868805</v>
      </c>
      <c r="AC59" s="256">
        <f t="shared" si="49"/>
        <v>201.00314287942666</v>
      </c>
      <c r="AD59" s="88"/>
      <c r="AE59" s="8">
        <v>2041</v>
      </c>
      <c r="AF59" s="256">
        <f t="shared" si="16"/>
        <v>77.864052685758793</v>
      </c>
      <c r="AG59" s="256">
        <f t="shared" si="17"/>
        <v>91.11175609409969</v>
      </c>
      <c r="AH59" s="256">
        <f t="shared" si="50"/>
        <v>168.97580877985848</v>
      </c>
      <c r="AI59" s="88"/>
      <c r="AJ59" s="256">
        <f t="shared" si="18"/>
        <v>63.645399586620229</v>
      </c>
      <c r="AK59" s="256">
        <f t="shared" si="19"/>
        <v>68.143670796987081</v>
      </c>
      <c r="AL59" s="256">
        <f t="shared" si="51"/>
        <v>131.78907038360731</v>
      </c>
      <c r="AM59" s="87"/>
      <c r="AN59" s="256">
        <f t="shared" si="20"/>
        <v>54.891739005177783</v>
      </c>
      <c r="AO59" s="256">
        <f t="shared" si="21"/>
        <v>43.23237590585417</v>
      </c>
      <c r="AP59" s="256">
        <f t="shared" si="52"/>
        <v>98.124114911031953</v>
      </c>
      <c r="AQ59" s="88"/>
      <c r="AR59" s="8">
        <v>2041</v>
      </c>
      <c r="AS59" s="256">
        <f t="shared" si="22"/>
        <v>44.010116735428873</v>
      </c>
      <c r="AT59" s="256">
        <f t="shared" si="23"/>
        <v>51.497949096665046</v>
      </c>
      <c r="AU59" s="256">
        <f t="shared" si="53"/>
        <v>95.508065832093919</v>
      </c>
      <c r="AV59" s="88"/>
      <c r="AW59" s="256">
        <f t="shared" si="24"/>
        <v>29.791463636290317</v>
      </c>
      <c r="AX59" s="256">
        <f t="shared" si="25"/>
        <v>31.897037394334372</v>
      </c>
      <c r="AY59" s="256">
        <f t="shared" si="54"/>
        <v>61.688501030624693</v>
      </c>
      <c r="AZ59" s="87"/>
      <c r="BA59" s="256">
        <f t="shared" si="26"/>
        <v>21.037803054847874</v>
      </c>
      <c r="BB59" s="256">
        <f t="shared" si="27"/>
        <v>16.569236580657766</v>
      </c>
      <c r="BC59" s="256">
        <f t="shared" si="55"/>
        <v>37.607039635505643</v>
      </c>
      <c r="BD59" s="88"/>
      <c r="BE59" s="8">
        <v>2041</v>
      </c>
      <c r="BF59" s="256">
        <f t="shared" si="28"/>
        <v>33.853935950329912</v>
      </c>
      <c r="BG59" s="256">
        <f t="shared" si="29"/>
        <v>39.613806997434651</v>
      </c>
      <c r="BH59" s="256">
        <f t="shared" si="56"/>
        <v>73.467742947764563</v>
      </c>
      <c r="BI59" s="88"/>
      <c r="BJ59" s="256">
        <f t="shared" si="30"/>
        <v>19.635282851191349</v>
      </c>
      <c r="BK59" s="256">
        <f t="shared" si="31"/>
        <v>21.023047373538567</v>
      </c>
      <c r="BL59" s="256">
        <f t="shared" si="57"/>
        <v>40.658330224729916</v>
      </c>
      <c r="BM59" s="87"/>
      <c r="BN59" s="256">
        <f t="shared" si="32"/>
        <v>10.881622269748906</v>
      </c>
      <c r="BO59" s="256">
        <f t="shared" si="33"/>
        <v>8.5702947830988485</v>
      </c>
      <c r="BP59" s="256">
        <f t="shared" si="58"/>
        <v>19.451917052847755</v>
      </c>
      <c r="BQ59" s="88"/>
      <c r="BR59" s="8">
        <v>2041</v>
      </c>
      <c r="BS59" s="256">
        <f t="shared" si="34"/>
        <v>37.239329545362907</v>
      </c>
      <c r="BT59" s="256">
        <f t="shared" si="35"/>
        <v>43.575187697178123</v>
      </c>
      <c r="BU59" s="256">
        <f t="shared" si="59"/>
        <v>80.814517242541029</v>
      </c>
      <c r="BV59" s="88"/>
      <c r="BW59" s="256">
        <f t="shared" si="36"/>
        <v>23.020676446224343</v>
      </c>
      <c r="BX59" s="256">
        <f t="shared" si="37"/>
        <v>24.647710713803846</v>
      </c>
      <c r="BY59" s="256">
        <f t="shared" si="60"/>
        <v>47.668387160028189</v>
      </c>
      <c r="BZ59" s="87"/>
      <c r="CA59" s="256">
        <f t="shared" si="38"/>
        <v>14.267015864781902</v>
      </c>
      <c r="CB59" s="256">
        <f t="shared" si="39"/>
        <v>11.236608715618493</v>
      </c>
      <c r="CC59" s="256">
        <f t="shared" si="61"/>
        <v>25.503624580400395</v>
      </c>
    </row>
    <row r="60" spans="1:81">
      <c r="E60" s="8">
        <v>2042</v>
      </c>
      <c r="F60" s="256">
        <f t="shared" si="40"/>
        <v>57.551691115560843</v>
      </c>
      <c r="G60" s="256">
        <f t="shared" si="8"/>
        <v>67.343471895638913</v>
      </c>
      <c r="H60" s="256">
        <f t="shared" si="41"/>
        <v>124.89516301119976</v>
      </c>
      <c r="I60" s="88"/>
      <c r="J60" s="256">
        <f t="shared" si="42"/>
        <v>42.317419937912383</v>
      </c>
      <c r="K60" s="256">
        <f t="shared" si="43"/>
        <v>45.060705459581918</v>
      </c>
      <c r="L60" s="256">
        <f t="shared" si="44"/>
        <v>87.378125397494301</v>
      </c>
      <c r="M60" s="87"/>
      <c r="N60" s="256">
        <f t="shared" si="9"/>
        <v>33.370308293896628</v>
      </c>
      <c r="O60" s="256">
        <f t="shared" si="45"/>
        <v>25.531316268126851</v>
      </c>
      <c r="P60" s="256">
        <f t="shared" si="46"/>
        <v>58.901624562023478</v>
      </c>
      <c r="Q60" s="87"/>
      <c r="R60" s="8">
        <v>2042</v>
      </c>
      <c r="S60" s="256">
        <f t="shared" si="10"/>
        <v>135.41574380131965</v>
      </c>
      <c r="T60" s="256">
        <f t="shared" si="11"/>
        <v>158.4552279897386</v>
      </c>
      <c r="U60" s="256">
        <f t="shared" si="47"/>
        <v>293.87097179105825</v>
      </c>
      <c r="V60" s="88"/>
      <c r="W60" s="256">
        <f t="shared" si="12"/>
        <v>120.18147262367117</v>
      </c>
      <c r="X60" s="256">
        <f t="shared" si="13"/>
        <v>127.97240350521265</v>
      </c>
      <c r="Y60" s="256">
        <f t="shared" si="48"/>
        <v>248.15387612888384</v>
      </c>
      <c r="Z60" s="87"/>
      <c r="AA60" s="256">
        <f t="shared" si="14"/>
        <v>111.23436097965541</v>
      </c>
      <c r="AB60" s="256">
        <f t="shared" si="15"/>
        <v>85.104387560422822</v>
      </c>
      <c r="AC60" s="256">
        <f t="shared" si="49"/>
        <v>196.33874854007823</v>
      </c>
      <c r="AD60" s="87"/>
      <c r="AE60" s="8">
        <v>2042</v>
      </c>
      <c r="AF60" s="256">
        <f t="shared" si="16"/>
        <v>77.864052685758793</v>
      </c>
      <c r="AG60" s="256">
        <f t="shared" si="17"/>
        <v>91.11175609409969</v>
      </c>
      <c r="AH60" s="256">
        <f t="shared" si="50"/>
        <v>168.97580877985848</v>
      </c>
      <c r="AI60" s="88"/>
      <c r="AJ60" s="256">
        <f t="shared" si="18"/>
        <v>62.629781508110327</v>
      </c>
      <c r="AK60" s="256">
        <f t="shared" si="19"/>
        <v>66.689844080181231</v>
      </c>
      <c r="AL60" s="256">
        <f t="shared" si="51"/>
        <v>129.31962558829156</v>
      </c>
      <c r="AM60" s="87"/>
      <c r="AN60" s="256">
        <f t="shared" si="20"/>
        <v>53.682669864094564</v>
      </c>
      <c r="AO60" s="256">
        <f t="shared" si="21"/>
        <v>41.072117474812757</v>
      </c>
      <c r="AP60" s="256">
        <f t="shared" si="52"/>
        <v>94.75478733890732</v>
      </c>
      <c r="AQ60" s="87"/>
      <c r="AR60" s="8">
        <v>2042</v>
      </c>
      <c r="AS60" s="256">
        <f t="shared" si="22"/>
        <v>44.010116735428873</v>
      </c>
      <c r="AT60" s="256">
        <f t="shared" si="23"/>
        <v>51.497949096665046</v>
      </c>
      <c r="AU60" s="256">
        <f t="shared" si="53"/>
        <v>95.508065832093919</v>
      </c>
      <c r="AV60" s="88"/>
      <c r="AW60" s="256">
        <f t="shared" si="24"/>
        <v>28.775845557780414</v>
      </c>
      <c r="AX60" s="256">
        <f t="shared" si="25"/>
        <v>30.641279712515697</v>
      </c>
      <c r="AY60" s="256">
        <f t="shared" si="54"/>
        <v>59.417125270296111</v>
      </c>
      <c r="AZ60" s="87"/>
      <c r="BA60" s="256">
        <f t="shared" si="26"/>
        <v>19.828733913764662</v>
      </c>
      <c r="BB60" s="256">
        <f t="shared" si="27"/>
        <v>15.170782130336242</v>
      </c>
      <c r="BC60" s="256">
        <f t="shared" si="55"/>
        <v>34.999516044100901</v>
      </c>
      <c r="BD60" s="87"/>
      <c r="BE60" s="8">
        <v>2042</v>
      </c>
      <c r="BF60" s="256">
        <f t="shared" si="28"/>
        <v>33.853935950329912</v>
      </c>
      <c r="BG60" s="256">
        <f t="shared" si="29"/>
        <v>39.613806997434651</v>
      </c>
      <c r="BH60" s="256">
        <f t="shared" si="56"/>
        <v>73.467742947764563</v>
      </c>
      <c r="BI60" s="88"/>
      <c r="BJ60" s="256">
        <f t="shared" si="30"/>
        <v>18.619664772681446</v>
      </c>
      <c r="BK60" s="256">
        <f t="shared" si="31"/>
        <v>19.826710402216044</v>
      </c>
      <c r="BL60" s="256">
        <f t="shared" si="57"/>
        <v>38.44637517489749</v>
      </c>
      <c r="BM60" s="87"/>
      <c r="BN60" s="256">
        <f t="shared" si="32"/>
        <v>9.6725531286656956</v>
      </c>
      <c r="BO60" s="256">
        <f t="shared" si="33"/>
        <v>7.4003815269932938</v>
      </c>
      <c r="BP60" s="256">
        <f t="shared" si="58"/>
        <v>17.07293465565899</v>
      </c>
      <c r="BQ60" s="87"/>
      <c r="BR60" s="8">
        <v>2042</v>
      </c>
      <c r="BS60" s="256">
        <f t="shared" si="34"/>
        <v>37.239329545362907</v>
      </c>
      <c r="BT60" s="256">
        <f t="shared" si="35"/>
        <v>43.575187697178123</v>
      </c>
      <c r="BU60" s="256">
        <f t="shared" si="59"/>
        <v>80.814517242541029</v>
      </c>
      <c r="BV60" s="88"/>
      <c r="BW60" s="256">
        <f t="shared" si="36"/>
        <v>22.00505836771444</v>
      </c>
      <c r="BX60" s="256">
        <f t="shared" si="37"/>
        <v>23.431566838982604</v>
      </c>
      <c r="BY60" s="256">
        <f t="shared" si="60"/>
        <v>45.436625206697045</v>
      </c>
      <c r="BZ60" s="87"/>
      <c r="CA60" s="256">
        <f t="shared" si="38"/>
        <v>13.05794672369869</v>
      </c>
      <c r="CB60" s="256">
        <f t="shared" si="39"/>
        <v>9.9905150614409486</v>
      </c>
      <c r="CC60" s="256">
        <f t="shared" si="61"/>
        <v>23.048461785139637</v>
      </c>
    </row>
    <row r="61" spans="1:81">
      <c r="E61" s="8">
        <v>2043</v>
      </c>
      <c r="F61" s="256">
        <f t="shared" si="40"/>
        <v>57.551691115560843</v>
      </c>
      <c r="G61" s="256">
        <f t="shared" si="8"/>
        <v>67.343471895638913</v>
      </c>
      <c r="H61" s="256">
        <f t="shared" si="41"/>
        <v>124.89516301119976</v>
      </c>
      <c r="I61" s="88"/>
      <c r="J61" s="256">
        <f t="shared" si="42"/>
        <v>41.301801859402488</v>
      </c>
      <c r="K61" s="256">
        <f t="shared" si="43"/>
        <v>43.737604305867599</v>
      </c>
      <c r="L61" s="256">
        <f t="shared" si="44"/>
        <v>85.039406165270094</v>
      </c>
      <c r="M61" s="87"/>
      <c r="N61" s="256">
        <f t="shared" si="9"/>
        <v>32.161239152813422</v>
      </c>
      <c r="O61" s="256">
        <f t="shared" si="45"/>
        <v>23.882554795568787</v>
      </c>
      <c r="P61" s="256">
        <f t="shared" si="46"/>
        <v>56.043793948382209</v>
      </c>
      <c r="Q61" s="87"/>
      <c r="R61" s="8">
        <v>2043</v>
      </c>
      <c r="S61" s="256">
        <f t="shared" si="10"/>
        <v>135.41574380131965</v>
      </c>
      <c r="T61" s="256">
        <f t="shared" si="11"/>
        <v>158.4552279897386</v>
      </c>
      <c r="U61" s="256">
        <f t="shared" si="47"/>
        <v>293.87097179105825</v>
      </c>
      <c r="V61" s="88"/>
      <c r="W61" s="256">
        <f t="shared" si="12"/>
        <v>119.16585454516128</v>
      </c>
      <c r="X61" s="256">
        <f t="shared" si="13"/>
        <v>126.19374357102782</v>
      </c>
      <c r="Y61" s="256">
        <f t="shared" si="48"/>
        <v>245.35959811618909</v>
      </c>
      <c r="Z61" s="87"/>
      <c r="AA61" s="256">
        <f t="shared" si="14"/>
        <v>110.02529183857222</v>
      </c>
      <c r="AB61" s="256">
        <f t="shared" si="15"/>
        <v>81.703476932209</v>
      </c>
      <c r="AC61" s="256">
        <f t="shared" si="49"/>
        <v>191.72876877078122</v>
      </c>
      <c r="AD61" s="87"/>
      <c r="AE61" s="8">
        <v>2043</v>
      </c>
      <c r="AF61" s="256">
        <f t="shared" si="16"/>
        <v>77.864052685758793</v>
      </c>
      <c r="AG61" s="256">
        <f t="shared" si="17"/>
        <v>91.11175609409969</v>
      </c>
      <c r="AH61" s="256">
        <f t="shared" si="50"/>
        <v>168.97580877985848</v>
      </c>
      <c r="AI61" s="88"/>
      <c r="AJ61" s="256">
        <f t="shared" si="18"/>
        <v>61.614163429600424</v>
      </c>
      <c r="AK61" s="256">
        <f t="shared" si="19"/>
        <v>65.247901505474601</v>
      </c>
      <c r="AL61" s="256">
        <f t="shared" si="51"/>
        <v>126.86206493507503</v>
      </c>
      <c r="AM61" s="87"/>
      <c r="AN61" s="256">
        <f t="shared" si="20"/>
        <v>52.473600723011359</v>
      </c>
      <c r="AO61" s="256">
        <f t="shared" si="21"/>
        <v>38.96627361382275</v>
      </c>
      <c r="AP61" s="256">
        <f t="shared" si="52"/>
        <v>91.439874336834109</v>
      </c>
      <c r="AQ61" s="87"/>
      <c r="AR61" s="8">
        <v>2043</v>
      </c>
      <c r="AS61" s="256">
        <f t="shared" si="22"/>
        <v>44.010116735428873</v>
      </c>
      <c r="AT61" s="256">
        <f t="shared" si="23"/>
        <v>51.497949096665046</v>
      </c>
      <c r="AU61" s="256">
        <f t="shared" si="53"/>
        <v>95.508065832093919</v>
      </c>
      <c r="AV61" s="88"/>
      <c r="AW61" s="256">
        <f t="shared" si="24"/>
        <v>27.760227479270515</v>
      </c>
      <c r="AX61" s="256">
        <f t="shared" si="25"/>
        <v>29.397406172796245</v>
      </c>
      <c r="AY61" s="256">
        <f t="shared" si="54"/>
        <v>57.157633652066764</v>
      </c>
      <c r="AZ61" s="87"/>
      <c r="BA61" s="256">
        <f t="shared" si="26"/>
        <v>18.619664772681453</v>
      </c>
      <c r="BB61" s="256">
        <f t="shared" si="27"/>
        <v>13.82674225006614</v>
      </c>
      <c r="BC61" s="256">
        <f t="shared" si="55"/>
        <v>32.446407022747593</v>
      </c>
      <c r="BD61" s="87"/>
      <c r="BE61" s="8">
        <v>2043</v>
      </c>
      <c r="BF61" s="256">
        <f t="shared" si="28"/>
        <v>33.853935950329912</v>
      </c>
      <c r="BG61" s="256">
        <f t="shared" si="29"/>
        <v>39.613806997434651</v>
      </c>
      <c r="BH61" s="256">
        <f t="shared" si="56"/>
        <v>73.467742947764563</v>
      </c>
      <c r="BI61" s="88"/>
      <c r="BJ61" s="256">
        <f t="shared" si="30"/>
        <v>17.604046694171551</v>
      </c>
      <c r="BK61" s="256">
        <f t="shared" si="31"/>
        <v>18.642257572992744</v>
      </c>
      <c r="BL61" s="256">
        <f t="shared" si="57"/>
        <v>36.246304267164291</v>
      </c>
      <c r="BM61" s="87"/>
      <c r="BN61" s="256">
        <f t="shared" si="32"/>
        <v>8.4634839875824852</v>
      </c>
      <c r="BO61" s="256">
        <f t="shared" si="33"/>
        <v>6.2848828409391597</v>
      </c>
      <c r="BP61" s="256">
        <f t="shared" si="58"/>
        <v>14.748366828521645</v>
      </c>
      <c r="BQ61" s="87"/>
      <c r="BR61" s="8">
        <v>2043</v>
      </c>
      <c r="BS61" s="256">
        <f t="shared" si="34"/>
        <v>37.239329545362907</v>
      </c>
      <c r="BT61" s="256">
        <f t="shared" si="35"/>
        <v>43.575187697178123</v>
      </c>
      <c r="BU61" s="256">
        <f t="shared" si="59"/>
        <v>80.814517242541029</v>
      </c>
      <c r="BV61" s="88"/>
      <c r="BW61" s="256">
        <f t="shared" si="36"/>
        <v>20.989440289204545</v>
      </c>
      <c r="BX61" s="256">
        <f t="shared" si="37"/>
        <v>22.227307106260586</v>
      </c>
      <c r="BY61" s="256">
        <f t="shared" si="60"/>
        <v>43.216747395465134</v>
      </c>
      <c r="BZ61" s="87"/>
      <c r="CA61" s="256">
        <f t="shared" si="38"/>
        <v>11.848877582615479</v>
      </c>
      <c r="CB61" s="256">
        <f t="shared" si="39"/>
        <v>8.7988359773148233</v>
      </c>
      <c r="CC61" s="256">
        <f t="shared" si="61"/>
        <v>20.647713559930303</v>
      </c>
    </row>
    <row r="62" spans="1:81">
      <c r="E62" s="8">
        <v>2044</v>
      </c>
      <c r="F62" s="256">
        <f t="shared" si="40"/>
        <v>57.551691115560843</v>
      </c>
      <c r="G62" s="256">
        <f t="shared" si="8"/>
        <v>67.343471895638913</v>
      </c>
      <c r="H62" s="256">
        <f t="shared" si="41"/>
        <v>124.89516301119976</v>
      </c>
      <c r="I62" s="88"/>
      <c r="J62" s="256">
        <f t="shared" si="42"/>
        <v>40.286183780892586</v>
      </c>
      <c r="K62" s="256">
        <f t="shared" si="43"/>
        <v>42.426387294252507</v>
      </c>
      <c r="L62" s="256">
        <f t="shared" si="44"/>
        <v>82.712571075145092</v>
      </c>
      <c r="M62" s="87"/>
      <c r="N62" s="256">
        <f t="shared" si="9"/>
        <v>30.95217001173021</v>
      </c>
      <c r="O62" s="256">
        <f t="shared" si="45"/>
        <v>22.288207893062143</v>
      </c>
      <c r="P62" s="256">
        <f t="shared" si="46"/>
        <v>53.240377904792354</v>
      </c>
      <c r="Q62" s="87"/>
      <c r="R62" s="8">
        <v>2044</v>
      </c>
      <c r="S62" s="256">
        <f t="shared" si="10"/>
        <v>135.41574380131965</v>
      </c>
      <c r="T62" s="256">
        <f t="shared" si="11"/>
        <v>158.4552279897386</v>
      </c>
      <c r="U62" s="256">
        <f t="shared" si="47"/>
        <v>293.87097179105825</v>
      </c>
      <c r="V62" s="88"/>
      <c r="W62" s="256">
        <f t="shared" si="12"/>
        <v>118.15023646665138</v>
      </c>
      <c r="X62" s="256">
        <f t="shared" si="13"/>
        <v>124.42696777894224</v>
      </c>
      <c r="Y62" s="256">
        <f t="shared" si="48"/>
        <v>242.57720424559363</v>
      </c>
      <c r="Z62" s="87"/>
      <c r="AA62" s="256">
        <f t="shared" si="14"/>
        <v>108.816222697489</v>
      </c>
      <c r="AB62" s="256">
        <f t="shared" si="15"/>
        <v>78.356980874046585</v>
      </c>
      <c r="AC62" s="256">
        <f t="shared" si="49"/>
        <v>187.17320357153557</v>
      </c>
      <c r="AD62" s="87"/>
      <c r="AE62" s="8">
        <v>2044</v>
      </c>
      <c r="AF62" s="256">
        <f t="shared" si="16"/>
        <v>77.864052685758793</v>
      </c>
      <c r="AG62" s="256">
        <f t="shared" si="17"/>
        <v>91.11175609409969</v>
      </c>
      <c r="AH62" s="256">
        <f t="shared" si="50"/>
        <v>168.97580877985848</v>
      </c>
      <c r="AI62" s="88"/>
      <c r="AJ62" s="256">
        <f t="shared" si="18"/>
        <v>60.598545351090529</v>
      </c>
      <c r="AK62" s="256">
        <f t="shared" si="19"/>
        <v>63.817843072867213</v>
      </c>
      <c r="AL62" s="256">
        <f t="shared" si="51"/>
        <v>124.41638842395774</v>
      </c>
      <c r="AM62" s="87"/>
      <c r="AN62" s="256">
        <f t="shared" si="20"/>
        <v>51.264531581928146</v>
      </c>
      <c r="AO62" s="256">
        <f t="shared" si="21"/>
        <v>36.914844322884164</v>
      </c>
      <c r="AP62" s="256">
        <f t="shared" si="52"/>
        <v>88.179375904812304</v>
      </c>
      <c r="AQ62" s="87"/>
      <c r="AR62" s="8">
        <v>2044</v>
      </c>
      <c r="AS62" s="256">
        <f t="shared" si="22"/>
        <v>44.010116735428873</v>
      </c>
      <c r="AT62" s="256">
        <f t="shared" si="23"/>
        <v>51.497949096665046</v>
      </c>
      <c r="AU62" s="256">
        <f t="shared" si="53"/>
        <v>95.508065832093919</v>
      </c>
      <c r="AV62" s="88"/>
      <c r="AW62" s="256">
        <f t="shared" si="24"/>
        <v>26.74460940076062</v>
      </c>
      <c r="AX62" s="256">
        <f t="shared" si="25"/>
        <v>28.165416775176027</v>
      </c>
      <c r="AY62" s="256">
        <f t="shared" si="54"/>
        <v>54.91002617593665</v>
      </c>
      <c r="AZ62" s="87"/>
      <c r="BA62" s="256">
        <f t="shared" si="26"/>
        <v>17.410595631598241</v>
      </c>
      <c r="BB62" s="256">
        <f t="shared" si="27"/>
        <v>12.537116939847454</v>
      </c>
      <c r="BC62" s="256">
        <f t="shared" si="55"/>
        <v>29.947712571445695</v>
      </c>
      <c r="BD62" s="87"/>
      <c r="BE62" s="8">
        <v>2044</v>
      </c>
      <c r="BF62" s="256">
        <f t="shared" si="28"/>
        <v>33.853935950329912</v>
      </c>
      <c r="BG62" s="256">
        <f t="shared" si="29"/>
        <v>39.613806997434651</v>
      </c>
      <c r="BH62" s="256">
        <f t="shared" si="56"/>
        <v>73.467742947764563</v>
      </c>
      <c r="BI62" s="88"/>
      <c r="BJ62" s="256">
        <f t="shared" si="30"/>
        <v>16.588428615661652</v>
      </c>
      <c r="BK62" s="256">
        <f t="shared" si="31"/>
        <v>17.469688885868678</v>
      </c>
      <c r="BL62" s="256">
        <f t="shared" si="57"/>
        <v>34.058117501530333</v>
      </c>
      <c r="BM62" s="87"/>
      <c r="BN62" s="256">
        <f t="shared" si="32"/>
        <v>7.2544148464992739</v>
      </c>
      <c r="BO62" s="256">
        <f t="shared" si="33"/>
        <v>5.2237987249364446</v>
      </c>
      <c r="BP62" s="256">
        <f t="shared" si="58"/>
        <v>12.478213571435719</v>
      </c>
      <c r="BQ62" s="87"/>
      <c r="BR62" s="8">
        <v>2044</v>
      </c>
      <c r="BS62" s="256">
        <f t="shared" si="34"/>
        <v>37.239329545362907</v>
      </c>
      <c r="BT62" s="256">
        <f t="shared" si="35"/>
        <v>43.575187697178123</v>
      </c>
      <c r="BU62" s="256">
        <f t="shared" si="59"/>
        <v>80.814517242541029</v>
      </c>
      <c r="BV62" s="88"/>
      <c r="BW62" s="256">
        <f t="shared" si="36"/>
        <v>19.973822210694649</v>
      </c>
      <c r="BX62" s="256">
        <f t="shared" si="37"/>
        <v>21.034931515637801</v>
      </c>
      <c r="BY62" s="256">
        <f t="shared" si="60"/>
        <v>41.008753726332451</v>
      </c>
      <c r="BZ62" s="87"/>
      <c r="CA62" s="256">
        <f t="shared" si="38"/>
        <v>10.639808441532269</v>
      </c>
      <c r="CB62" s="256">
        <f t="shared" si="39"/>
        <v>7.6615714632401186</v>
      </c>
      <c r="CC62" s="256">
        <f t="shared" si="61"/>
        <v>18.301379904772389</v>
      </c>
    </row>
    <row r="63" spans="1:81">
      <c r="E63" s="8">
        <v>2045</v>
      </c>
      <c r="F63" s="256">
        <f t="shared" si="40"/>
        <v>57.551691115560843</v>
      </c>
      <c r="G63" s="256">
        <f t="shared" si="8"/>
        <v>67.343471895638913</v>
      </c>
      <c r="H63" s="256">
        <f t="shared" si="41"/>
        <v>124.89516301119976</v>
      </c>
      <c r="I63" s="88"/>
      <c r="J63" s="256">
        <f t="shared" si="42"/>
        <v>39.270565702382697</v>
      </c>
      <c r="K63" s="256">
        <f t="shared" si="43"/>
        <v>41.127054424736656</v>
      </c>
      <c r="L63" s="256">
        <f t="shared" si="44"/>
        <v>80.397620127119353</v>
      </c>
      <c r="M63" s="87"/>
      <c r="N63" s="256">
        <f t="shared" si="9"/>
        <v>29.743100870646998</v>
      </c>
      <c r="O63" s="256">
        <f t="shared" si="45"/>
        <v>20.748275560606924</v>
      </c>
      <c r="P63" s="256">
        <f t="shared" si="46"/>
        <v>50.491376431253926</v>
      </c>
      <c r="Q63" s="87"/>
      <c r="R63" s="8">
        <v>2045</v>
      </c>
      <c r="S63" s="256">
        <f t="shared" si="10"/>
        <v>135.41574380131965</v>
      </c>
      <c r="T63" s="256">
        <f t="shared" si="11"/>
        <v>158.4552279897386</v>
      </c>
      <c r="U63" s="256">
        <f t="shared" si="47"/>
        <v>293.87097179105825</v>
      </c>
      <c r="V63" s="88"/>
      <c r="W63" s="256">
        <f t="shared" si="12"/>
        <v>117.13461838814149</v>
      </c>
      <c r="X63" s="256">
        <f t="shared" si="13"/>
        <v>122.67207612895588</v>
      </c>
      <c r="Y63" s="256">
        <f t="shared" si="48"/>
        <v>239.80669451709736</v>
      </c>
      <c r="Z63" s="87"/>
      <c r="AA63" s="256">
        <f t="shared" si="14"/>
        <v>107.60715355640579</v>
      </c>
      <c r="AB63" s="256">
        <f t="shared" si="15"/>
        <v>75.064899385935604</v>
      </c>
      <c r="AC63" s="256">
        <f t="shared" si="49"/>
        <v>182.6720529423414</v>
      </c>
      <c r="AD63" s="87"/>
      <c r="AE63" s="8">
        <v>2045</v>
      </c>
      <c r="AF63" s="256">
        <f t="shared" si="16"/>
        <v>77.864052685758793</v>
      </c>
      <c r="AG63" s="256">
        <f t="shared" si="17"/>
        <v>91.11175609409969</v>
      </c>
      <c r="AH63" s="256">
        <f t="shared" si="50"/>
        <v>168.97580877985848</v>
      </c>
      <c r="AI63" s="88"/>
      <c r="AJ63" s="256">
        <f t="shared" si="18"/>
        <v>59.582927272580633</v>
      </c>
      <c r="AK63" s="256">
        <f t="shared" si="19"/>
        <v>62.399668782359058</v>
      </c>
      <c r="AL63" s="256">
        <f t="shared" si="51"/>
        <v>121.98259605493969</v>
      </c>
      <c r="AM63" s="87"/>
      <c r="AN63" s="256">
        <f t="shared" si="20"/>
        <v>50.055462440844934</v>
      </c>
      <c r="AO63" s="256">
        <f t="shared" si="21"/>
        <v>34.917829601997006</v>
      </c>
      <c r="AP63" s="256">
        <f t="shared" si="52"/>
        <v>84.973292042841933</v>
      </c>
      <c r="AQ63" s="87"/>
      <c r="AR63" s="8">
        <v>2045</v>
      </c>
      <c r="AS63" s="256">
        <f t="shared" si="22"/>
        <v>44.010116735428873</v>
      </c>
      <c r="AT63" s="256">
        <f t="shared" si="23"/>
        <v>51.497949096665046</v>
      </c>
      <c r="AU63" s="256">
        <f t="shared" si="53"/>
        <v>95.508065832093919</v>
      </c>
      <c r="AV63" s="88"/>
      <c r="AW63" s="256">
        <f t="shared" si="24"/>
        <v>25.728991322250728</v>
      </c>
      <c r="AX63" s="256">
        <f t="shared" si="25"/>
        <v>26.945311519655043</v>
      </c>
      <c r="AY63" s="256">
        <f t="shared" si="54"/>
        <v>52.674302841905771</v>
      </c>
      <c r="AZ63" s="87"/>
      <c r="BA63" s="256">
        <f t="shared" si="26"/>
        <v>16.201526490515029</v>
      </c>
      <c r="BB63" s="256">
        <f t="shared" si="27"/>
        <v>11.301906199680193</v>
      </c>
      <c r="BC63" s="256">
        <f t="shared" si="55"/>
        <v>27.503432690195222</v>
      </c>
      <c r="BD63" s="87"/>
      <c r="BE63" s="8">
        <v>2045</v>
      </c>
      <c r="BF63" s="256">
        <f t="shared" si="28"/>
        <v>33.853935950329912</v>
      </c>
      <c r="BG63" s="256">
        <f t="shared" si="29"/>
        <v>39.613806997434651</v>
      </c>
      <c r="BH63" s="256">
        <f t="shared" si="56"/>
        <v>73.467742947764563</v>
      </c>
      <c r="BI63" s="88"/>
      <c r="BJ63" s="256">
        <f t="shared" si="30"/>
        <v>15.572810537151758</v>
      </c>
      <c r="BK63" s="256">
        <f t="shared" si="31"/>
        <v>16.309004340843842</v>
      </c>
      <c r="BL63" s="256">
        <f t="shared" si="57"/>
        <v>31.881814877995602</v>
      </c>
      <c r="BM63" s="87"/>
      <c r="BN63" s="256">
        <f t="shared" si="32"/>
        <v>6.0453457054160644</v>
      </c>
      <c r="BO63" s="256">
        <f t="shared" si="33"/>
        <v>4.2171291789851519</v>
      </c>
      <c r="BP63" s="256">
        <f t="shared" si="58"/>
        <v>10.262474884401216</v>
      </c>
      <c r="BQ63" s="87"/>
      <c r="BR63" s="8">
        <v>2045</v>
      </c>
      <c r="BS63" s="256">
        <f t="shared" si="34"/>
        <v>37.239329545362907</v>
      </c>
      <c r="BT63" s="256">
        <f t="shared" si="35"/>
        <v>43.575187697178123</v>
      </c>
      <c r="BU63" s="256">
        <f t="shared" si="59"/>
        <v>80.814517242541029</v>
      </c>
      <c r="BV63" s="88"/>
      <c r="BW63" s="256">
        <f t="shared" si="36"/>
        <v>18.958204132184754</v>
      </c>
      <c r="BX63" s="256">
        <f t="shared" si="37"/>
        <v>19.85444006711425</v>
      </c>
      <c r="BY63" s="256">
        <f t="shared" si="60"/>
        <v>38.812644199299001</v>
      </c>
      <c r="BZ63" s="87"/>
      <c r="CA63" s="256">
        <f t="shared" si="38"/>
        <v>9.4307393004490603</v>
      </c>
      <c r="CB63" s="256">
        <f t="shared" si="39"/>
        <v>6.5787215192168365</v>
      </c>
      <c r="CC63" s="256">
        <f t="shared" si="61"/>
        <v>16.009460819665897</v>
      </c>
    </row>
    <row r="64" spans="1:81">
      <c r="E64" s="8">
        <v>2046</v>
      </c>
      <c r="F64" s="256">
        <f t="shared" si="40"/>
        <v>57.551691115560843</v>
      </c>
      <c r="G64" s="256">
        <f t="shared" si="8"/>
        <v>67.343471895638913</v>
      </c>
      <c r="H64" s="256">
        <f t="shared" si="41"/>
        <v>124.89516301119976</v>
      </c>
      <c r="I64" s="88"/>
      <c r="J64" s="256">
        <f t="shared" si="42"/>
        <v>38.52577911147543</v>
      </c>
      <c r="K64" s="256">
        <f t="shared" si="43"/>
        <v>40.121656003141759</v>
      </c>
      <c r="L64" s="256">
        <f t="shared" si="44"/>
        <v>78.647435114617195</v>
      </c>
      <c r="M64" s="87"/>
      <c r="N64" s="256">
        <f t="shared" si="9"/>
        <v>28.534031729563793</v>
      </c>
      <c r="O64" s="256">
        <f t="shared" si="45"/>
        <v>19.262757798203126</v>
      </c>
      <c r="P64" s="256">
        <f t="shared" si="46"/>
        <v>47.796789527766919</v>
      </c>
      <c r="Q64" s="87"/>
      <c r="R64" s="8">
        <v>2046</v>
      </c>
      <c r="S64" s="256">
        <f t="shared" si="10"/>
        <v>135.41574380131965</v>
      </c>
      <c r="T64" s="256">
        <f t="shared" si="11"/>
        <v>158.4552279897386</v>
      </c>
      <c r="U64" s="256">
        <f t="shared" si="47"/>
        <v>293.87097179105825</v>
      </c>
      <c r="V64" s="88"/>
      <c r="W64" s="256">
        <f t="shared" si="12"/>
        <v>116.38983179723422</v>
      </c>
      <c r="X64" s="256">
        <f t="shared" si="13"/>
        <v>121.21111892689049</v>
      </c>
      <c r="Y64" s="256">
        <f t="shared" si="48"/>
        <v>237.60095072412471</v>
      </c>
      <c r="Z64" s="87"/>
      <c r="AA64" s="256">
        <f t="shared" si="14"/>
        <v>106.39808441532259</v>
      </c>
      <c r="AB64" s="256">
        <f t="shared" si="15"/>
        <v>71.827232467876044</v>
      </c>
      <c r="AC64" s="256">
        <f t="shared" si="49"/>
        <v>178.22531688319862</v>
      </c>
      <c r="AD64" s="87"/>
      <c r="AE64" s="8">
        <v>2046</v>
      </c>
      <c r="AF64" s="256">
        <f t="shared" si="16"/>
        <v>77.864052685758793</v>
      </c>
      <c r="AG64" s="256">
        <f t="shared" si="17"/>
        <v>91.11175609409969</v>
      </c>
      <c r="AH64" s="256">
        <f t="shared" si="50"/>
        <v>168.97580877985848</v>
      </c>
      <c r="AI64" s="88"/>
      <c r="AJ64" s="256">
        <f t="shared" si="18"/>
        <v>58.838140681673373</v>
      </c>
      <c r="AK64" s="256">
        <f t="shared" si="19"/>
        <v>61.275428939771857</v>
      </c>
      <c r="AL64" s="256">
        <f t="shared" si="51"/>
        <v>120.11356962144524</v>
      </c>
      <c r="AM64" s="87"/>
      <c r="AN64" s="256">
        <f t="shared" si="20"/>
        <v>48.846393299761729</v>
      </c>
      <c r="AO64" s="256">
        <f t="shared" si="21"/>
        <v>32.975229451161276</v>
      </c>
      <c r="AP64" s="256">
        <f t="shared" si="52"/>
        <v>81.821622750923012</v>
      </c>
      <c r="AQ64" s="87"/>
      <c r="AR64" s="8">
        <v>2046</v>
      </c>
      <c r="AS64" s="256">
        <f t="shared" si="22"/>
        <v>44.010116735428873</v>
      </c>
      <c r="AT64" s="256">
        <f t="shared" si="23"/>
        <v>51.497949096665046</v>
      </c>
      <c r="AU64" s="256">
        <f t="shared" si="53"/>
        <v>95.508065832093919</v>
      </c>
      <c r="AV64" s="88"/>
      <c r="AW64" s="256">
        <f t="shared" si="24"/>
        <v>24.984204731343468</v>
      </c>
      <c r="AX64" s="256">
        <f t="shared" si="25"/>
        <v>26.01914071205502</v>
      </c>
      <c r="AY64" s="256">
        <f t="shared" si="54"/>
        <v>51.003345443398487</v>
      </c>
      <c r="AZ64" s="87"/>
      <c r="BA64" s="256">
        <f t="shared" si="26"/>
        <v>14.99245734943182</v>
      </c>
      <c r="BB64" s="256">
        <f t="shared" si="27"/>
        <v>10.121110029564353</v>
      </c>
      <c r="BC64" s="256">
        <f t="shared" si="55"/>
        <v>25.113567378996173</v>
      </c>
      <c r="BD64" s="87"/>
      <c r="BE64" s="8">
        <v>2046</v>
      </c>
      <c r="BF64" s="256">
        <f t="shared" si="28"/>
        <v>33.853935950329912</v>
      </c>
      <c r="BG64" s="256">
        <f t="shared" si="29"/>
        <v>39.613806997434651</v>
      </c>
      <c r="BH64" s="256">
        <f t="shared" si="56"/>
        <v>73.467742947764563</v>
      </c>
      <c r="BI64" s="88"/>
      <c r="BJ64" s="256">
        <f t="shared" si="30"/>
        <v>14.828023946244498</v>
      </c>
      <c r="BK64" s="256">
        <f t="shared" si="31"/>
        <v>15.442254243739971</v>
      </c>
      <c r="BL64" s="256">
        <f t="shared" si="57"/>
        <v>30.270278189984467</v>
      </c>
      <c r="BM64" s="87"/>
      <c r="BN64" s="256">
        <f t="shared" si="32"/>
        <v>4.836276564332854</v>
      </c>
      <c r="BO64" s="256">
        <f t="shared" si="33"/>
        <v>3.2648742030852809</v>
      </c>
      <c r="BP64" s="256">
        <f t="shared" si="58"/>
        <v>8.1011507674181349</v>
      </c>
      <c r="BQ64" s="87"/>
      <c r="BR64" s="8">
        <v>2046</v>
      </c>
      <c r="BS64" s="256">
        <f t="shared" si="34"/>
        <v>37.239329545362907</v>
      </c>
      <c r="BT64" s="256">
        <f t="shared" si="35"/>
        <v>43.575187697178123</v>
      </c>
      <c r="BU64" s="256">
        <f t="shared" si="59"/>
        <v>80.814517242541029</v>
      </c>
      <c r="BV64" s="88"/>
      <c r="BW64" s="256">
        <f t="shared" si="36"/>
        <v>18.213417541277494</v>
      </c>
      <c r="BX64" s="256">
        <f t="shared" si="37"/>
        <v>18.967883066511661</v>
      </c>
      <c r="BY64" s="256">
        <f t="shared" si="60"/>
        <v>37.181300607789154</v>
      </c>
      <c r="BZ64" s="87"/>
      <c r="CA64" s="256">
        <f t="shared" si="38"/>
        <v>8.2216701593658499</v>
      </c>
      <c r="CB64" s="256">
        <f t="shared" si="39"/>
        <v>5.5502861452449759</v>
      </c>
      <c r="CC64" s="256">
        <f t="shared" si="61"/>
        <v>13.771956304610825</v>
      </c>
    </row>
    <row r="65" spans="5:81">
      <c r="E65" s="8">
        <v>2047</v>
      </c>
      <c r="F65" s="256">
        <f t="shared" si="40"/>
        <v>57.551691115560843</v>
      </c>
      <c r="G65" s="256">
        <f t="shared" si="8"/>
        <v>67.343471895638913</v>
      </c>
      <c r="H65" s="256">
        <f t="shared" si="41"/>
        <v>124.89516301119976</v>
      </c>
      <c r="I65" s="88"/>
      <c r="J65" s="256">
        <f t="shared" si="42"/>
        <v>37.780992520568176</v>
      </c>
      <c r="K65" s="256">
        <f t="shared" si="43"/>
        <v>39.1249726190863</v>
      </c>
      <c r="L65" s="256">
        <f t="shared" si="44"/>
        <v>76.905965139654484</v>
      </c>
      <c r="M65" s="87"/>
      <c r="N65" s="256">
        <f t="shared" si="9"/>
        <v>27.324962588480581</v>
      </c>
      <c r="O65" s="256">
        <f t="shared" si="45"/>
        <v>17.831654605850751</v>
      </c>
      <c r="P65" s="256">
        <f t="shared" si="46"/>
        <v>45.156617194331332</v>
      </c>
      <c r="Q65" s="87"/>
      <c r="R65" s="8">
        <v>2047</v>
      </c>
      <c r="S65" s="256">
        <f t="shared" si="10"/>
        <v>135.41574380131965</v>
      </c>
      <c r="T65" s="256">
        <f t="shared" si="11"/>
        <v>158.4552279897386</v>
      </c>
      <c r="U65" s="256">
        <f t="shared" si="47"/>
        <v>293.87097179105825</v>
      </c>
      <c r="V65" s="88"/>
      <c r="W65" s="256">
        <f t="shared" si="12"/>
        <v>115.64504520632698</v>
      </c>
      <c r="X65" s="256">
        <f t="shared" si="13"/>
        <v>119.75887676236454</v>
      </c>
      <c r="Y65" s="256">
        <f t="shared" si="48"/>
        <v>235.40392196869152</v>
      </c>
      <c r="Z65" s="87"/>
      <c r="AA65" s="256">
        <f t="shared" si="14"/>
        <v>105.18901527423938</v>
      </c>
      <c r="AB65" s="256">
        <f t="shared" si="15"/>
        <v>68.643980119867905</v>
      </c>
      <c r="AC65" s="256">
        <f t="shared" si="49"/>
        <v>173.83299539410729</v>
      </c>
      <c r="AD65" s="87"/>
      <c r="AE65" s="8">
        <v>2047</v>
      </c>
      <c r="AF65" s="256">
        <f t="shared" si="16"/>
        <v>77.864052685758793</v>
      </c>
      <c r="AG65" s="256">
        <f t="shared" si="17"/>
        <v>91.11175609409969</v>
      </c>
      <c r="AH65" s="256">
        <f t="shared" si="50"/>
        <v>168.97580877985848</v>
      </c>
      <c r="AI65" s="88"/>
      <c r="AJ65" s="256">
        <f t="shared" si="18"/>
        <v>58.093354090766127</v>
      </c>
      <c r="AK65" s="256">
        <f t="shared" si="19"/>
        <v>60.159904134724094</v>
      </c>
      <c r="AL65" s="256">
        <f t="shared" si="51"/>
        <v>118.25325822549021</v>
      </c>
      <c r="AM65" s="87"/>
      <c r="AN65" s="256">
        <f t="shared" si="20"/>
        <v>47.637324158678524</v>
      </c>
      <c r="AO65" s="256">
        <f t="shared" si="21"/>
        <v>31.087043870376963</v>
      </c>
      <c r="AP65" s="256">
        <f t="shared" si="52"/>
        <v>78.724368029055483</v>
      </c>
      <c r="AQ65" s="87"/>
      <c r="AR65" s="8">
        <v>2047</v>
      </c>
      <c r="AS65" s="256">
        <f t="shared" si="22"/>
        <v>44.010116735428873</v>
      </c>
      <c r="AT65" s="256">
        <f t="shared" si="23"/>
        <v>51.497949096665046</v>
      </c>
      <c r="AU65" s="256">
        <f t="shared" si="53"/>
        <v>95.508065832093919</v>
      </c>
      <c r="AV65" s="88"/>
      <c r="AW65" s="256">
        <f t="shared" si="24"/>
        <v>24.239418140436207</v>
      </c>
      <c r="AX65" s="256">
        <f t="shared" si="25"/>
        <v>25.101684941994431</v>
      </c>
      <c r="AY65" s="256">
        <f t="shared" si="54"/>
        <v>49.341103082430635</v>
      </c>
      <c r="AZ65" s="87"/>
      <c r="BA65" s="256">
        <f t="shared" si="26"/>
        <v>13.783388208348612</v>
      </c>
      <c r="BB65" s="256">
        <f t="shared" si="27"/>
        <v>8.9947284294999363</v>
      </c>
      <c r="BC65" s="256">
        <f t="shared" si="55"/>
        <v>22.778116637848548</v>
      </c>
      <c r="BD65" s="87"/>
      <c r="BE65" s="8">
        <v>2047</v>
      </c>
      <c r="BF65" s="256">
        <f t="shared" si="28"/>
        <v>33.853935950329912</v>
      </c>
      <c r="BG65" s="256">
        <f t="shared" si="29"/>
        <v>39.613806997434651</v>
      </c>
      <c r="BH65" s="256">
        <f t="shared" si="56"/>
        <v>73.467742947764563</v>
      </c>
      <c r="BI65" s="88"/>
      <c r="BJ65" s="256">
        <f t="shared" si="30"/>
        <v>14.083237355337241</v>
      </c>
      <c r="BK65" s="256">
        <f t="shared" si="31"/>
        <v>14.584219184175538</v>
      </c>
      <c r="BL65" s="256">
        <f t="shared" si="57"/>
        <v>28.667456539512777</v>
      </c>
      <c r="BM65" s="87"/>
      <c r="BN65" s="256">
        <f t="shared" si="32"/>
        <v>3.6272074232496432</v>
      </c>
      <c r="BO65" s="256">
        <f t="shared" si="33"/>
        <v>2.3670337972368309</v>
      </c>
      <c r="BP65" s="256">
        <f t="shared" si="58"/>
        <v>5.9942412204864741</v>
      </c>
      <c r="BQ65" s="87"/>
      <c r="BR65" s="8">
        <v>2047</v>
      </c>
      <c r="BS65" s="256">
        <f t="shared" si="34"/>
        <v>37.239329545362907</v>
      </c>
      <c r="BT65" s="256">
        <f t="shared" si="35"/>
        <v>43.575187697178123</v>
      </c>
      <c r="BU65" s="256">
        <f t="shared" si="59"/>
        <v>80.814517242541029</v>
      </c>
      <c r="BV65" s="88"/>
      <c r="BW65" s="256">
        <f t="shared" si="36"/>
        <v>17.468630950370237</v>
      </c>
      <c r="BX65" s="256">
        <f t="shared" si="37"/>
        <v>18.09004110344851</v>
      </c>
      <c r="BY65" s="256">
        <f t="shared" si="60"/>
        <v>35.558672053818746</v>
      </c>
      <c r="BZ65" s="87"/>
      <c r="CA65" s="256">
        <f t="shared" si="38"/>
        <v>7.0126010182826386</v>
      </c>
      <c r="CB65" s="256">
        <f t="shared" si="39"/>
        <v>4.5762653413245369</v>
      </c>
      <c r="CC65" s="256">
        <f t="shared" si="61"/>
        <v>11.588866359607175</v>
      </c>
    </row>
    <row r="66" spans="5:81">
      <c r="E66" s="8">
        <v>2048</v>
      </c>
      <c r="F66" s="256">
        <f t="shared" si="40"/>
        <v>57.551691115560843</v>
      </c>
      <c r="G66" s="256">
        <f t="shared" si="8"/>
        <v>67.343471895638913</v>
      </c>
      <c r="H66" s="256">
        <f t="shared" si="41"/>
        <v>124.89516301119976</v>
      </c>
      <c r="I66" s="88"/>
      <c r="J66" s="256">
        <f t="shared" si="42"/>
        <v>37.036205929660916</v>
      </c>
      <c r="K66" s="256">
        <f t="shared" si="43"/>
        <v>38.13700427257028</v>
      </c>
      <c r="L66" s="256">
        <f t="shared" si="44"/>
        <v>75.173210202231189</v>
      </c>
      <c r="M66" s="87"/>
      <c r="N66" s="256">
        <f t="shared" si="9"/>
        <v>26.115893447397369</v>
      </c>
      <c r="O66" s="256">
        <f t="shared" si="45"/>
        <v>16.454965983549791</v>
      </c>
      <c r="P66" s="256">
        <f t="shared" si="46"/>
        <v>42.570859430947159</v>
      </c>
      <c r="Q66" s="87"/>
      <c r="R66" s="8">
        <v>2048</v>
      </c>
      <c r="S66" s="256">
        <f t="shared" si="10"/>
        <v>135.41574380131965</v>
      </c>
      <c r="T66" s="256">
        <f t="shared" si="11"/>
        <v>158.4552279897386</v>
      </c>
      <c r="U66" s="256">
        <f t="shared" si="47"/>
        <v>293.87097179105825</v>
      </c>
      <c r="V66" s="88"/>
      <c r="W66" s="256">
        <f t="shared" si="12"/>
        <v>114.9002586154197</v>
      </c>
      <c r="X66" s="256">
        <f t="shared" si="13"/>
        <v>118.31534963537801</v>
      </c>
      <c r="Y66" s="256">
        <f t="shared" si="48"/>
        <v>233.21560825079771</v>
      </c>
      <c r="Z66" s="87"/>
      <c r="AA66" s="256">
        <f t="shared" si="14"/>
        <v>103.97994613315616</v>
      </c>
      <c r="AB66" s="256">
        <f t="shared" si="15"/>
        <v>65.515142341911186</v>
      </c>
      <c r="AC66" s="256">
        <f t="shared" si="49"/>
        <v>169.49508847506735</v>
      </c>
      <c r="AD66" s="87"/>
      <c r="AE66" s="8">
        <v>2048</v>
      </c>
      <c r="AF66" s="256">
        <f t="shared" si="16"/>
        <v>77.864052685758793</v>
      </c>
      <c r="AG66" s="256">
        <f t="shared" si="17"/>
        <v>91.11175609409969</v>
      </c>
      <c r="AH66" s="256">
        <f t="shared" si="50"/>
        <v>168.97580877985848</v>
      </c>
      <c r="AI66" s="88"/>
      <c r="AJ66" s="256">
        <f t="shared" si="18"/>
        <v>57.348567499858859</v>
      </c>
      <c r="AK66" s="256">
        <f t="shared" si="19"/>
        <v>59.05309436721577</v>
      </c>
      <c r="AL66" s="256">
        <f t="shared" si="51"/>
        <v>116.40166186707464</v>
      </c>
      <c r="AM66" s="87"/>
      <c r="AN66" s="256">
        <f t="shared" si="20"/>
        <v>46.428255017595312</v>
      </c>
      <c r="AO66" s="256">
        <f t="shared" si="21"/>
        <v>29.253272859644067</v>
      </c>
      <c r="AP66" s="256">
        <f t="shared" si="52"/>
        <v>75.681527877239375</v>
      </c>
      <c r="AQ66" s="87"/>
      <c r="AR66" s="8">
        <v>2048</v>
      </c>
      <c r="AS66" s="256">
        <f t="shared" si="22"/>
        <v>44.010116735428873</v>
      </c>
      <c r="AT66" s="256">
        <f t="shared" si="23"/>
        <v>51.497949096665046</v>
      </c>
      <c r="AU66" s="256">
        <f t="shared" si="53"/>
        <v>95.508065832093919</v>
      </c>
      <c r="AV66" s="88"/>
      <c r="AW66" s="256">
        <f t="shared" si="24"/>
        <v>23.494631549528947</v>
      </c>
      <c r="AX66" s="256">
        <f t="shared" si="25"/>
        <v>24.192944209473282</v>
      </c>
      <c r="AY66" s="256">
        <f t="shared" si="54"/>
        <v>47.687575759002229</v>
      </c>
      <c r="AZ66" s="87"/>
      <c r="BA66" s="256">
        <f t="shared" si="26"/>
        <v>12.574319067265399</v>
      </c>
      <c r="BB66" s="256">
        <f t="shared" si="27"/>
        <v>7.9227613994869364</v>
      </c>
      <c r="BC66" s="256">
        <f t="shared" si="55"/>
        <v>20.497080466752337</v>
      </c>
      <c r="BD66" s="87"/>
      <c r="BE66" s="8">
        <v>2048</v>
      </c>
      <c r="BF66" s="256">
        <f t="shared" si="28"/>
        <v>33.853935950329912</v>
      </c>
      <c r="BG66" s="256">
        <f t="shared" si="29"/>
        <v>39.613806997434651</v>
      </c>
      <c r="BH66" s="256">
        <f t="shared" si="56"/>
        <v>73.467742947764563</v>
      </c>
      <c r="BI66" s="88"/>
      <c r="BJ66" s="256">
        <f t="shared" si="30"/>
        <v>13.338450764429981</v>
      </c>
      <c r="BK66" s="256">
        <f t="shared" si="31"/>
        <v>13.734899162150537</v>
      </c>
      <c r="BL66" s="256">
        <f t="shared" si="57"/>
        <v>27.073349926580519</v>
      </c>
      <c r="BM66" s="87"/>
      <c r="BN66" s="256">
        <f t="shared" si="32"/>
        <v>2.4181382821664323</v>
      </c>
      <c r="BO66" s="256">
        <f t="shared" si="33"/>
        <v>1.5236079614398013</v>
      </c>
      <c r="BP66" s="256">
        <f t="shared" si="58"/>
        <v>3.9417462436062336</v>
      </c>
      <c r="BQ66" s="87"/>
      <c r="BR66" s="8">
        <v>2048</v>
      </c>
      <c r="BS66" s="256">
        <f t="shared" si="34"/>
        <v>37.239329545362907</v>
      </c>
      <c r="BT66" s="256">
        <f t="shared" si="35"/>
        <v>43.575187697178123</v>
      </c>
      <c r="BU66" s="256">
        <f t="shared" si="59"/>
        <v>80.814517242541029</v>
      </c>
      <c r="BV66" s="88"/>
      <c r="BW66" s="256">
        <f t="shared" si="36"/>
        <v>16.723844359462976</v>
      </c>
      <c r="BX66" s="256">
        <f t="shared" si="37"/>
        <v>17.22091417792479</v>
      </c>
      <c r="BY66" s="256">
        <f t="shared" si="60"/>
        <v>33.94475853738777</v>
      </c>
      <c r="BZ66" s="87"/>
      <c r="CA66" s="256">
        <f t="shared" si="38"/>
        <v>5.8035318771994282</v>
      </c>
      <c r="CB66" s="256">
        <f t="shared" si="39"/>
        <v>3.6566591074555168</v>
      </c>
      <c r="CC66" s="256">
        <f t="shared" si="61"/>
        <v>9.460190984654945</v>
      </c>
    </row>
    <row r="67" spans="5:81">
      <c r="E67" s="8">
        <v>2049</v>
      </c>
      <c r="F67" s="256">
        <f t="shared" si="40"/>
        <v>57.551691115560843</v>
      </c>
      <c r="G67" s="256">
        <f t="shared" si="8"/>
        <v>67.343471895638913</v>
      </c>
      <c r="H67" s="256">
        <f t="shared" si="41"/>
        <v>124.89516301119976</v>
      </c>
      <c r="I67" s="88"/>
      <c r="J67" s="256">
        <f t="shared" si="42"/>
        <v>36.291419338753656</v>
      </c>
      <c r="K67" s="256">
        <f t="shared" si="43"/>
        <v>37.157750963593699</v>
      </c>
      <c r="L67" s="256">
        <f t="shared" si="44"/>
        <v>73.449170302347355</v>
      </c>
      <c r="M67" s="87"/>
      <c r="N67" s="256">
        <f t="shared" si="9"/>
        <v>24.90682430631416</v>
      </c>
      <c r="O67" s="256">
        <f t="shared" si="45"/>
        <v>15.132691931300256</v>
      </c>
      <c r="P67" s="256">
        <f t="shared" si="46"/>
        <v>40.039516237614414</v>
      </c>
      <c r="Q67" s="87"/>
      <c r="R67" s="8">
        <v>2049</v>
      </c>
      <c r="S67" s="256">
        <f t="shared" si="10"/>
        <v>135.41574380131965</v>
      </c>
      <c r="T67" s="256">
        <f t="shared" si="11"/>
        <v>158.4552279897386</v>
      </c>
      <c r="U67" s="256">
        <f t="shared" si="47"/>
        <v>293.87097179105825</v>
      </c>
      <c r="V67" s="88"/>
      <c r="W67" s="256">
        <f t="shared" si="12"/>
        <v>114.15547202451245</v>
      </c>
      <c r="X67" s="256">
        <f t="shared" si="13"/>
        <v>116.88053754593093</v>
      </c>
      <c r="Y67" s="256">
        <f t="shared" si="48"/>
        <v>231.03600957044338</v>
      </c>
      <c r="Z67" s="87"/>
      <c r="AA67" s="256">
        <f t="shared" si="14"/>
        <v>102.77087699207294</v>
      </c>
      <c r="AB67" s="256">
        <f t="shared" si="15"/>
        <v>62.440719134005889</v>
      </c>
      <c r="AC67" s="256">
        <f t="shared" si="49"/>
        <v>165.21159612607883</v>
      </c>
      <c r="AD67" s="87"/>
      <c r="AE67" s="8">
        <v>2049</v>
      </c>
      <c r="AF67" s="256">
        <f t="shared" si="16"/>
        <v>77.864052685758793</v>
      </c>
      <c r="AG67" s="256">
        <f t="shared" si="17"/>
        <v>91.11175609409969</v>
      </c>
      <c r="AH67" s="256">
        <f t="shared" si="50"/>
        <v>168.97580877985848</v>
      </c>
      <c r="AI67" s="88"/>
      <c r="AJ67" s="256">
        <f t="shared" si="18"/>
        <v>56.603780908951599</v>
      </c>
      <c r="AK67" s="256">
        <f t="shared" si="19"/>
        <v>57.954999637246885</v>
      </c>
      <c r="AL67" s="256">
        <f t="shared" si="51"/>
        <v>114.55878054619848</v>
      </c>
      <c r="AM67" s="87"/>
      <c r="AN67" s="256">
        <f t="shared" si="20"/>
        <v>45.2191858765121</v>
      </c>
      <c r="AO67" s="256">
        <f t="shared" si="21"/>
        <v>27.473916418962592</v>
      </c>
      <c r="AP67" s="256">
        <f t="shared" si="52"/>
        <v>72.693102295474688</v>
      </c>
      <c r="AQ67" s="87"/>
      <c r="AR67" s="8">
        <v>2049</v>
      </c>
      <c r="AS67" s="256">
        <f t="shared" si="22"/>
        <v>44.010116735428873</v>
      </c>
      <c r="AT67" s="256">
        <f t="shared" si="23"/>
        <v>51.497949096665046</v>
      </c>
      <c r="AU67" s="256">
        <f t="shared" si="53"/>
        <v>95.508065832093919</v>
      </c>
      <c r="AV67" s="88"/>
      <c r="AW67" s="256">
        <f t="shared" si="24"/>
        <v>22.74984495862169</v>
      </c>
      <c r="AX67" s="256">
        <f t="shared" si="25"/>
        <v>23.292918514491568</v>
      </c>
      <c r="AY67" s="256">
        <f t="shared" si="54"/>
        <v>46.042763473113254</v>
      </c>
      <c r="AZ67" s="87"/>
      <c r="BA67" s="256">
        <f t="shared" si="26"/>
        <v>11.365249926182189</v>
      </c>
      <c r="BB67" s="256">
        <f t="shared" si="27"/>
        <v>6.9052089395253589</v>
      </c>
      <c r="BC67" s="256">
        <f t="shared" si="55"/>
        <v>18.270458865707546</v>
      </c>
      <c r="BD67" s="87"/>
      <c r="BE67" s="8">
        <v>2049</v>
      </c>
      <c r="BF67" s="256">
        <f t="shared" si="28"/>
        <v>33.853935950329912</v>
      </c>
      <c r="BG67" s="256">
        <f t="shared" si="29"/>
        <v>39.613806997434651</v>
      </c>
      <c r="BH67" s="256">
        <f t="shared" si="56"/>
        <v>73.467742947764563</v>
      </c>
      <c r="BI67" s="88"/>
      <c r="BJ67" s="256">
        <f t="shared" si="30"/>
        <v>12.593664173522724</v>
      </c>
      <c r="BK67" s="256">
        <f t="shared" si="31"/>
        <v>12.894294177664976</v>
      </c>
      <c r="BL67" s="256">
        <f t="shared" si="57"/>
        <v>25.4879583511877</v>
      </c>
      <c r="BM67" s="87"/>
      <c r="BN67" s="256">
        <f t="shared" si="32"/>
        <v>1.2090691410832219</v>
      </c>
      <c r="BO67" s="256">
        <f t="shared" si="33"/>
        <v>0.73459669569419328</v>
      </c>
      <c r="BP67" s="256">
        <f t="shared" si="58"/>
        <v>1.9436658367774151</v>
      </c>
      <c r="BQ67" s="87"/>
      <c r="BR67" s="8">
        <v>2049</v>
      </c>
      <c r="BS67" s="256">
        <f t="shared" si="34"/>
        <v>37.239329545362907</v>
      </c>
      <c r="BT67" s="256">
        <f t="shared" si="35"/>
        <v>43.575187697178123</v>
      </c>
      <c r="BU67" s="256">
        <f t="shared" si="59"/>
        <v>80.814517242541029</v>
      </c>
      <c r="BV67" s="88"/>
      <c r="BW67" s="256">
        <f t="shared" si="36"/>
        <v>15.97905776855572</v>
      </c>
      <c r="BX67" s="256">
        <f t="shared" si="37"/>
        <v>16.360502289940513</v>
      </c>
      <c r="BY67" s="256">
        <f t="shared" si="60"/>
        <v>32.339560058496232</v>
      </c>
      <c r="BZ67" s="87"/>
      <c r="CA67" s="256">
        <f t="shared" si="38"/>
        <v>4.5944627361162178</v>
      </c>
      <c r="CB67" s="256">
        <f t="shared" si="39"/>
        <v>2.7914674436379192</v>
      </c>
      <c r="CC67" s="256">
        <f t="shared" si="61"/>
        <v>7.385930179754137</v>
      </c>
    </row>
    <row r="68" spans="5:81">
      <c r="E68" s="8">
        <v>2050</v>
      </c>
      <c r="F68" s="256">
        <f>($U$21*$F105*$V$13)+($U$21*$G105*$V$14)</f>
        <v>57.551691115560843</v>
      </c>
      <c r="G68" s="256">
        <f t="shared" si="8"/>
        <v>67.343471895638913</v>
      </c>
      <c r="H68" s="256">
        <f t="shared" si="41"/>
        <v>124.89516301119976</v>
      </c>
      <c r="I68" s="88"/>
      <c r="J68" s="256">
        <f t="shared" si="42"/>
        <v>35.546632747846402</v>
      </c>
      <c r="K68" s="256">
        <f t="shared" si="43"/>
        <v>36.187212692156557</v>
      </c>
      <c r="L68" s="256">
        <f>SUM(J68:K68)</f>
        <v>71.733845440002966</v>
      </c>
      <c r="M68" s="87"/>
      <c r="N68" s="256">
        <f>($U$21*$R105*$V$13)+($U$21*$S105*$V$14)</f>
        <v>23.697755165230937</v>
      </c>
      <c r="O68" s="256">
        <f t="shared" si="45"/>
        <v>13.864832449102128</v>
      </c>
      <c r="P68" s="256">
        <f t="shared" si="46"/>
        <v>37.562587614333069</v>
      </c>
      <c r="Q68" s="87"/>
      <c r="R68" s="8">
        <v>2050</v>
      </c>
      <c r="S68" s="256">
        <f t="shared" si="10"/>
        <v>135.41574380131965</v>
      </c>
      <c r="T68" s="256">
        <f t="shared" si="11"/>
        <v>158.4552279897386</v>
      </c>
      <c r="U68" s="256">
        <f t="shared" si="47"/>
        <v>293.87097179105825</v>
      </c>
      <c r="V68" s="88"/>
      <c r="W68" s="256">
        <f t="shared" si="12"/>
        <v>113.41068543360518</v>
      </c>
      <c r="X68" s="256">
        <f t="shared" si="13"/>
        <v>115.45444049402329</v>
      </c>
      <c r="Y68" s="256">
        <f t="shared" si="48"/>
        <v>228.86512592762847</v>
      </c>
      <c r="Z68" s="87"/>
      <c r="AA68" s="256">
        <f t="shared" si="14"/>
        <v>101.56180785098972</v>
      </c>
      <c r="AB68" s="256">
        <f t="shared" si="15"/>
        <v>59.420710496151976</v>
      </c>
      <c r="AC68" s="256">
        <f>SUM(AA68:AB68)</f>
        <v>160.98251834714171</v>
      </c>
      <c r="AD68" s="87"/>
      <c r="AE68" s="8">
        <v>2050</v>
      </c>
      <c r="AF68" s="256">
        <f t="shared" si="16"/>
        <v>77.864052685758793</v>
      </c>
      <c r="AG68" s="256">
        <f t="shared" si="17"/>
        <v>91.11175609409969</v>
      </c>
      <c r="AH68" s="256">
        <f t="shared" si="50"/>
        <v>168.97580877985848</v>
      </c>
      <c r="AI68" s="88"/>
      <c r="AJ68" s="256">
        <f t="shared" si="18"/>
        <v>55.858994318044338</v>
      </c>
      <c r="AK68" s="256">
        <f t="shared" si="19"/>
        <v>56.865619944817439</v>
      </c>
      <c r="AL68" s="256">
        <f t="shared" si="51"/>
        <v>112.72461426286178</v>
      </c>
      <c r="AM68" s="87"/>
      <c r="AN68" s="256">
        <f t="shared" si="20"/>
        <v>44.010116735428873</v>
      </c>
      <c r="AO68" s="256">
        <f t="shared" si="21"/>
        <v>25.748974548332523</v>
      </c>
      <c r="AP68" s="256">
        <f t="shared" si="52"/>
        <v>69.759091283761393</v>
      </c>
      <c r="AQ68" s="87"/>
      <c r="AR68" s="8">
        <v>2050</v>
      </c>
      <c r="AS68" s="256">
        <f t="shared" si="22"/>
        <v>44.010116735428873</v>
      </c>
      <c r="AT68" s="256">
        <f t="shared" si="23"/>
        <v>51.497949096665046</v>
      </c>
      <c r="AU68" s="256">
        <f t="shared" si="53"/>
        <v>95.508065832093919</v>
      </c>
      <c r="AV68" s="88"/>
      <c r="AW68" s="256">
        <f t="shared" si="24"/>
        <v>22.005058367714433</v>
      </c>
      <c r="AX68" s="256">
        <f t="shared" si="25"/>
        <v>22.401607857049292</v>
      </c>
      <c r="AY68" s="256">
        <f t="shared" si="54"/>
        <v>44.406666224763725</v>
      </c>
      <c r="AZ68" s="87"/>
      <c r="BA68" s="256">
        <f t="shared" si="26"/>
        <v>10.156180785098966</v>
      </c>
      <c r="BB68" s="256">
        <f t="shared" si="27"/>
        <v>5.9420710496151949</v>
      </c>
      <c r="BC68" s="256">
        <f t="shared" si="55"/>
        <v>16.098251834714162</v>
      </c>
      <c r="BD68" s="87"/>
      <c r="BE68" s="8">
        <v>2050</v>
      </c>
      <c r="BF68" s="256">
        <f t="shared" si="28"/>
        <v>33.853935950329912</v>
      </c>
      <c r="BG68" s="256">
        <f t="shared" si="29"/>
        <v>39.613806997434651</v>
      </c>
      <c r="BH68" s="256">
        <f t="shared" si="56"/>
        <v>73.467742947764563</v>
      </c>
      <c r="BI68" s="88"/>
      <c r="BJ68" s="256">
        <f t="shared" si="30"/>
        <v>11.848877582615467</v>
      </c>
      <c r="BK68" s="256">
        <f t="shared" si="31"/>
        <v>12.062404230718853</v>
      </c>
      <c r="BL68" s="256">
        <f t="shared" si="57"/>
        <v>23.91128181333432</v>
      </c>
      <c r="BM68" s="87"/>
      <c r="BN68" s="256">
        <f t="shared" si="32"/>
        <v>0</v>
      </c>
      <c r="BO68" s="256">
        <f t="shared" si="33"/>
        <v>0</v>
      </c>
      <c r="BP68" s="256">
        <f t="shared" si="58"/>
        <v>0</v>
      </c>
      <c r="BQ68" s="87"/>
      <c r="BR68" s="8">
        <v>2050</v>
      </c>
      <c r="BS68" s="256">
        <f t="shared" si="34"/>
        <v>37.239329545362907</v>
      </c>
      <c r="BT68" s="256">
        <f t="shared" si="35"/>
        <v>43.575187697178123</v>
      </c>
      <c r="BU68" s="256">
        <f t="shared" si="59"/>
        <v>80.814517242541029</v>
      </c>
      <c r="BV68" s="88"/>
      <c r="BW68" s="256">
        <f t="shared" si="36"/>
        <v>15.234271177648463</v>
      </c>
      <c r="BX68" s="256">
        <f t="shared" si="37"/>
        <v>15.508805439495671</v>
      </c>
      <c r="BY68" s="256">
        <f t="shared" si="60"/>
        <v>30.743076617144133</v>
      </c>
      <c r="BZ68" s="87"/>
      <c r="CA68" s="256">
        <f t="shared" si="38"/>
        <v>3.3853935950329954</v>
      </c>
      <c r="CB68" s="256">
        <f t="shared" si="39"/>
        <v>1.9806903498717354</v>
      </c>
      <c r="CC68" s="256">
        <f t="shared" si="61"/>
        <v>5.3660839449047311</v>
      </c>
    </row>
    <row r="73" spans="5:81" ht="17" thickBot="1">
      <c r="F73" s="347" t="s">
        <v>110</v>
      </c>
      <c r="G73" s="347"/>
      <c r="H73" s="347"/>
      <c r="J73" s="355" t="s">
        <v>119</v>
      </c>
      <c r="K73" s="355"/>
      <c r="L73" s="355"/>
      <c r="M73" s="355"/>
      <c r="N73" s="355"/>
      <c r="O73" s="355"/>
      <c r="P73" s="355"/>
      <c r="R73" s="249" t="s">
        <v>111</v>
      </c>
      <c r="S73" s="249"/>
      <c r="T73" s="249"/>
      <c r="U73" s="249"/>
      <c r="V73" s="249"/>
      <c r="W73" s="249"/>
    </row>
    <row r="74" spans="5:81">
      <c r="F74" s="349" t="s">
        <v>112</v>
      </c>
      <c r="G74" s="350"/>
      <c r="H74" s="351"/>
      <c r="J74" s="356" t="s">
        <v>113</v>
      </c>
      <c r="K74" s="357"/>
      <c r="L74" s="357"/>
      <c r="M74" s="357"/>
      <c r="N74" s="357"/>
      <c r="O74" s="357"/>
      <c r="P74" s="358"/>
      <c r="R74" s="257" t="s">
        <v>114</v>
      </c>
      <c r="S74" s="250"/>
      <c r="T74" s="250"/>
      <c r="U74" s="250"/>
      <c r="V74" s="250"/>
      <c r="W74" s="251"/>
    </row>
    <row r="75" spans="5:81">
      <c r="F75" s="344" t="s">
        <v>115</v>
      </c>
      <c r="G75" s="330"/>
      <c r="H75" s="345"/>
      <c r="J75" s="344" t="s">
        <v>116</v>
      </c>
      <c r="K75" s="346"/>
      <c r="L75" s="346"/>
      <c r="M75" s="68"/>
      <c r="N75" s="346" t="s">
        <v>117</v>
      </c>
      <c r="O75" s="346"/>
      <c r="P75" s="345"/>
      <c r="R75" s="43" t="s">
        <v>116</v>
      </c>
      <c r="S75" s="68"/>
      <c r="T75" s="68"/>
      <c r="U75" s="248" t="s">
        <v>117</v>
      </c>
      <c r="V75" s="248"/>
      <c r="W75" s="247"/>
      <c r="X75" s="4"/>
      <c r="Y75" s="4"/>
      <c r="Z75" s="4"/>
      <c r="AA75" s="4"/>
      <c r="AB75" s="4"/>
    </row>
    <row r="76" spans="5:81" s="4" customFormat="1" ht="46" customHeight="1" thickBot="1">
      <c r="F76" s="51" t="s">
        <v>128</v>
      </c>
      <c r="G76" s="52" t="s">
        <v>129</v>
      </c>
      <c r="H76" s="53" t="s">
        <v>130</v>
      </c>
      <c r="J76" s="51" t="s">
        <v>128</v>
      </c>
      <c r="K76" s="52" t="s">
        <v>129</v>
      </c>
      <c r="L76" s="54" t="s">
        <v>118</v>
      </c>
      <c r="M76" s="52"/>
      <c r="N76" s="52" t="s">
        <v>130</v>
      </c>
      <c r="O76" s="52" t="s">
        <v>128</v>
      </c>
      <c r="P76" s="53" t="s">
        <v>129</v>
      </c>
      <c r="R76" s="51" t="s">
        <v>128</v>
      </c>
      <c r="S76" s="52" t="s">
        <v>129</v>
      </c>
      <c r="T76" s="52"/>
      <c r="U76" s="52" t="s">
        <v>130</v>
      </c>
      <c r="V76" s="52" t="s">
        <v>128</v>
      </c>
      <c r="W76" s="53" t="s">
        <v>129</v>
      </c>
      <c r="X76"/>
      <c r="Y76"/>
      <c r="Z76"/>
      <c r="AA76"/>
      <c r="AB76"/>
    </row>
    <row r="77" spans="5:81">
      <c r="F77" s="55">
        <v>1</v>
      </c>
      <c r="G77" s="29">
        <v>0</v>
      </c>
      <c r="H77" s="56">
        <v>0</v>
      </c>
      <c r="I77" s="29"/>
      <c r="J77" s="57">
        <v>1</v>
      </c>
      <c r="K77" s="30">
        <v>0</v>
      </c>
      <c r="L77" s="30">
        <f>(K80-K77)/3</f>
        <v>6.6666666666666671E-3</v>
      </c>
      <c r="M77" s="30"/>
      <c r="N77" s="30">
        <v>0</v>
      </c>
      <c r="O77" s="30">
        <v>1</v>
      </c>
      <c r="P77" s="58">
        <v>0</v>
      </c>
      <c r="Q77" s="29"/>
      <c r="R77" s="55">
        <v>1</v>
      </c>
      <c r="S77" s="29">
        <v>0</v>
      </c>
      <c r="T77" s="29"/>
      <c r="U77" s="29">
        <v>0</v>
      </c>
      <c r="V77" s="29">
        <v>1</v>
      </c>
      <c r="W77" s="56">
        <v>0</v>
      </c>
    </row>
    <row r="78" spans="5:81">
      <c r="F78" s="55">
        <v>1</v>
      </c>
      <c r="G78" s="29">
        <v>0</v>
      </c>
      <c r="H78" s="56">
        <v>0</v>
      </c>
      <c r="I78" s="29"/>
      <c r="J78" s="57">
        <v>0.99333333333333329</v>
      </c>
      <c r="K78" s="30">
        <v>6.6666666666666671E-3</v>
      </c>
      <c r="L78" s="30"/>
      <c r="M78" s="30"/>
      <c r="N78" s="30">
        <v>0</v>
      </c>
      <c r="O78" s="30">
        <v>0.99333333333333329</v>
      </c>
      <c r="P78" s="58">
        <v>6.6666666666666671E-3</v>
      </c>
      <c r="Q78" s="29"/>
      <c r="R78" s="55">
        <v>0.9642857142857143</v>
      </c>
      <c r="S78" s="29">
        <v>3.5714285714285712E-2</v>
      </c>
      <c r="T78" s="29"/>
      <c r="U78" s="29">
        <v>0</v>
      </c>
      <c r="V78" s="29">
        <v>0.9642857142857143</v>
      </c>
      <c r="W78" s="56">
        <v>3.5714285714285712E-2</v>
      </c>
    </row>
    <row r="79" spans="5:81">
      <c r="F79" s="55">
        <v>1</v>
      </c>
      <c r="G79" s="29">
        <v>0</v>
      </c>
      <c r="H79" s="56">
        <v>0</v>
      </c>
      <c r="I79" s="29"/>
      <c r="J79" s="57">
        <v>0.98666666666666669</v>
      </c>
      <c r="K79" s="30">
        <v>1.3333333333333334E-2</v>
      </c>
      <c r="L79" s="30"/>
      <c r="M79" s="30"/>
      <c r="N79" s="30">
        <v>0</v>
      </c>
      <c r="O79" s="30">
        <v>0.98666666666666669</v>
      </c>
      <c r="P79" s="58">
        <v>1.3333333333333334E-2</v>
      </c>
      <c r="Q79" s="29"/>
      <c r="R79" s="55">
        <v>0.9285714285714286</v>
      </c>
      <c r="S79" s="29">
        <v>7.1428571428571425E-2</v>
      </c>
      <c r="T79" s="29"/>
      <c r="U79" s="29">
        <v>0</v>
      </c>
      <c r="V79" s="29">
        <v>0.9285714285714286</v>
      </c>
      <c r="W79" s="56">
        <v>7.1428571428571425E-2</v>
      </c>
    </row>
    <row r="80" spans="5:81">
      <c r="F80" s="55">
        <v>1</v>
      </c>
      <c r="G80" s="29">
        <v>0</v>
      </c>
      <c r="H80" s="56">
        <v>0</v>
      </c>
      <c r="I80" s="29"/>
      <c r="J80" s="57">
        <v>0.98</v>
      </c>
      <c r="K80" s="59">
        <v>0.02</v>
      </c>
      <c r="L80" s="30">
        <f>(K85-K80)/5</f>
        <v>6.4000000000000003E-3</v>
      </c>
      <c r="M80" s="30"/>
      <c r="N80" s="30">
        <v>5.0000000000000001E-3</v>
      </c>
      <c r="O80" s="30">
        <v>0.97509999999999997</v>
      </c>
      <c r="P80" s="58">
        <v>1.9900000000000001E-2</v>
      </c>
      <c r="Q80" s="29"/>
      <c r="R80" s="55">
        <v>0.8928571428571429</v>
      </c>
      <c r="S80" s="29">
        <v>0.10714285714285714</v>
      </c>
      <c r="T80" s="29"/>
      <c r="U80" s="29">
        <v>1.9230769230769232E-2</v>
      </c>
      <c r="V80" s="29">
        <v>0.87568681318681318</v>
      </c>
      <c r="W80" s="56">
        <v>0.10508241758241757</v>
      </c>
    </row>
    <row r="81" spans="6:23">
      <c r="F81" s="55">
        <v>1</v>
      </c>
      <c r="G81" s="29">
        <v>0</v>
      </c>
      <c r="H81" s="56">
        <v>0</v>
      </c>
      <c r="I81" s="29"/>
      <c r="J81" s="57">
        <v>0.97360000000000002</v>
      </c>
      <c r="K81" s="30">
        <v>2.64E-2</v>
      </c>
      <c r="L81" s="30"/>
      <c r="M81" s="30"/>
      <c r="N81" s="30">
        <v>0.01</v>
      </c>
      <c r="O81" s="30">
        <v>0.96386399999999994</v>
      </c>
      <c r="P81" s="58">
        <v>2.6136E-2</v>
      </c>
      <c r="Q81" s="29"/>
      <c r="R81" s="55">
        <v>0.85714285714285721</v>
      </c>
      <c r="S81" s="29">
        <v>0.14285714285714285</v>
      </c>
      <c r="T81" s="29"/>
      <c r="U81" s="29">
        <v>3.8461538461538464E-2</v>
      </c>
      <c r="V81" s="29">
        <v>0.82417582417582425</v>
      </c>
      <c r="W81" s="56">
        <v>0.13736263736263735</v>
      </c>
    </row>
    <row r="82" spans="6:23">
      <c r="F82" s="55">
        <v>1</v>
      </c>
      <c r="G82" s="29">
        <v>0</v>
      </c>
      <c r="H82" s="56">
        <v>0</v>
      </c>
      <c r="I82" s="29"/>
      <c r="J82" s="57">
        <v>0.96719999999999995</v>
      </c>
      <c r="K82" s="30">
        <v>3.2800000000000003E-2</v>
      </c>
      <c r="L82" s="30"/>
      <c r="M82" s="30"/>
      <c r="N82" s="30">
        <v>1.4999999999999999E-2</v>
      </c>
      <c r="O82" s="30">
        <v>0.95269199999999998</v>
      </c>
      <c r="P82" s="58">
        <v>3.2308000000000003E-2</v>
      </c>
      <c r="Q82" s="29"/>
      <c r="R82" s="55">
        <v>0.8214285714285714</v>
      </c>
      <c r="S82" s="29">
        <v>0.17857142857142855</v>
      </c>
      <c r="T82" s="29"/>
      <c r="U82" s="29">
        <v>5.7692307692307696E-2</v>
      </c>
      <c r="V82" s="29">
        <v>0.77403846153846145</v>
      </c>
      <c r="W82" s="56">
        <v>0.16826923076923075</v>
      </c>
    </row>
    <row r="83" spans="6:23">
      <c r="F83" s="55">
        <v>1</v>
      </c>
      <c r="G83" s="29">
        <v>0</v>
      </c>
      <c r="H83" s="56">
        <v>0</v>
      </c>
      <c r="I83" s="29"/>
      <c r="J83" s="57">
        <v>0.96079999999999999</v>
      </c>
      <c r="K83" s="30">
        <v>3.9200000000000006E-2</v>
      </c>
      <c r="L83" s="30"/>
      <c r="M83" s="30"/>
      <c r="N83" s="30">
        <v>0.02</v>
      </c>
      <c r="O83" s="30">
        <v>0.94158399999999998</v>
      </c>
      <c r="P83" s="58">
        <v>3.8416000000000006E-2</v>
      </c>
      <c r="Q83" s="29"/>
      <c r="R83" s="55">
        <v>0.78571428571428581</v>
      </c>
      <c r="S83" s="29">
        <v>0.21428571428571425</v>
      </c>
      <c r="T83" s="29"/>
      <c r="U83" s="29">
        <v>7.6923076923076927E-2</v>
      </c>
      <c r="V83" s="29">
        <v>0.72527472527472536</v>
      </c>
      <c r="W83" s="56">
        <v>0.19780219780219777</v>
      </c>
    </row>
    <row r="84" spans="6:23">
      <c r="F84" s="55">
        <v>1</v>
      </c>
      <c r="G84" s="29">
        <v>0</v>
      </c>
      <c r="H84" s="56">
        <v>0</v>
      </c>
      <c r="I84" s="29"/>
      <c r="J84" s="57">
        <v>0.95440000000000003</v>
      </c>
      <c r="K84" s="30">
        <v>4.5600000000000009E-2</v>
      </c>
      <c r="L84" s="30"/>
      <c r="M84" s="30"/>
      <c r="N84" s="30">
        <v>2.5000000000000001E-2</v>
      </c>
      <c r="O84" s="30">
        <v>0.93053999999999992</v>
      </c>
      <c r="P84" s="58">
        <v>4.4460000000000006E-2</v>
      </c>
      <c r="Q84" s="29"/>
      <c r="R84" s="55">
        <v>0.75</v>
      </c>
      <c r="S84" s="29">
        <v>0.24999999999999994</v>
      </c>
      <c r="T84" s="29"/>
      <c r="U84" s="29">
        <v>9.6153846153846159E-2</v>
      </c>
      <c r="V84" s="29">
        <v>0.67788461538461542</v>
      </c>
      <c r="W84" s="56">
        <v>0.22596153846153841</v>
      </c>
    </row>
    <row r="85" spans="6:23">
      <c r="F85" s="55">
        <v>1</v>
      </c>
      <c r="G85" s="29">
        <v>0</v>
      </c>
      <c r="H85" s="56">
        <v>0</v>
      </c>
      <c r="I85" s="29"/>
      <c r="J85" s="57">
        <v>0.94799999999999995</v>
      </c>
      <c r="K85" s="59">
        <v>5.1999999999999998E-2</v>
      </c>
      <c r="L85" s="30">
        <f>(K90-K85)/5</f>
        <v>2.3600000000000003E-2</v>
      </c>
      <c r="M85" s="30"/>
      <c r="N85" s="30">
        <v>3.0000000000000002E-2</v>
      </c>
      <c r="O85" s="30">
        <v>0.91955999999999993</v>
      </c>
      <c r="P85" s="58">
        <v>5.0439999999999999E-2</v>
      </c>
      <c r="Q85" s="29"/>
      <c r="R85" s="55">
        <v>0.71428571428571441</v>
      </c>
      <c r="S85" s="29">
        <v>0.28571428571428564</v>
      </c>
      <c r="T85" s="29"/>
      <c r="U85" s="29">
        <v>0.11538461538461539</v>
      </c>
      <c r="V85" s="29">
        <v>0.63186813186813195</v>
      </c>
      <c r="W85" s="56">
        <v>0.25274725274725268</v>
      </c>
    </row>
    <row r="86" spans="6:23">
      <c r="F86" s="55">
        <v>1</v>
      </c>
      <c r="G86" s="29">
        <v>0</v>
      </c>
      <c r="H86" s="56">
        <v>0</v>
      </c>
      <c r="I86" s="29"/>
      <c r="J86" s="57">
        <v>0.9244</v>
      </c>
      <c r="K86" s="30">
        <v>7.5600000000000001E-2</v>
      </c>
      <c r="L86" s="30"/>
      <c r="M86" s="30"/>
      <c r="N86" s="30">
        <v>3.5000000000000003E-2</v>
      </c>
      <c r="O86" s="30">
        <v>0.89204600000000001</v>
      </c>
      <c r="P86" s="58">
        <v>7.2954000000000005E-2</v>
      </c>
      <c r="Q86" s="29"/>
      <c r="R86" s="55">
        <v>0.6785714285714286</v>
      </c>
      <c r="S86" s="29">
        <v>0.32142857142857134</v>
      </c>
      <c r="T86" s="29"/>
      <c r="U86" s="29">
        <v>0.13461538461538464</v>
      </c>
      <c r="V86" s="29">
        <v>0.58722527472527475</v>
      </c>
      <c r="W86" s="56">
        <v>0.27815934065934061</v>
      </c>
    </row>
    <row r="87" spans="6:23">
      <c r="F87" s="55">
        <v>1</v>
      </c>
      <c r="G87" s="29">
        <v>0</v>
      </c>
      <c r="H87" s="56">
        <v>0</v>
      </c>
      <c r="I87" s="29"/>
      <c r="J87" s="57">
        <v>0.90080000000000005</v>
      </c>
      <c r="K87" s="30">
        <v>9.920000000000001E-2</v>
      </c>
      <c r="L87" s="30"/>
      <c r="M87" s="30"/>
      <c r="N87" s="30">
        <v>0.04</v>
      </c>
      <c r="O87" s="30">
        <v>0.86476799999999998</v>
      </c>
      <c r="P87" s="58">
        <v>9.5232000000000011E-2</v>
      </c>
      <c r="Q87" s="29"/>
      <c r="R87" s="55">
        <v>0.64285714285714302</v>
      </c>
      <c r="S87" s="29">
        <v>0.35714285714285704</v>
      </c>
      <c r="T87" s="29"/>
      <c r="U87" s="29">
        <v>0.15384615384615385</v>
      </c>
      <c r="V87" s="29">
        <v>0.54395604395604413</v>
      </c>
      <c r="W87" s="56">
        <v>0.30219780219780212</v>
      </c>
    </row>
    <row r="88" spans="6:23">
      <c r="F88" s="55">
        <v>1</v>
      </c>
      <c r="G88" s="29">
        <v>0</v>
      </c>
      <c r="H88" s="56">
        <v>0</v>
      </c>
      <c r="I88" s="29"/>
      <c r="J88" s="57">
        <v>0.87719999999999998</v>
      </c>
      <c r="K88" s="30">
        <v>0.12280000000000002</v>
      </c>
      <c r="L88" s="30"/>
      <c r="M88" s="30"/>
      <c r="N88" s="30">
        <v>4.4999999999999998E-2</v>
      </c>
      <c r="O88" s="30">
        <v>0.83772599999999997</v>
      </c>
      <c r="P88" s="58">
        <v>0.11727400000000002</v>
      </c>
      <c r="Q88" s="29"/>
      <c r="R88" s="55">
        <v>0.60714285714285721</v>
      </c>
      <c r="S88" s="29">
        <v>0.39285714285714274</v>
      </c>
      <c r="T88" s="29"/>
      <c r="U88" s="29">
        <v>0.17307692307692307</v>
      </c>
      <c r="V88" s="29">
        <v>0.50206043956043955</v>
      </c>
      <c r="W88" s="56">
        <v>0.32486263736263726</v>
      </c>
    </row>
    <row r="89" spans="6:23">
      <c r="F89" s="55">
        <v>1</v>
      </c>
      <c r="G89" s="29">
        <v>0</v>
      </c>
      <c r="H89" s="56">
        <v>0</v>
      </c>
      <c r="I89" s="29"/>
      <c r="J89" s="57">
        <v>0.85359999999999991</v>
      </c>
      <c r="K89" s="30">
        <v>0.14640000000000003</v>
      </c>
      <c r="L89" s="30"/>
      <c r="M89" s="30"/>
      <c r="N89" s="30">
        <v>4.9999999999999996E-2</v>
      </c>
      <c r="O89" s="30">
        <v>0.81091999999999997</v>
      </c>
      <c r="P89" s="58">
        <v>0.13908000000000001</v>
      </c>
      <c r="Q89" s="29"/>
      <c r="R89" s="55">
        <v>0.57142857142857162</v>
      </c>
      <c r="S89" s="29">
        <v>0.42857142857142844</v>
      </c>
      <c r="T89" s="29"/>
      <c r="U89" s="29">
        <v>0.19230769230769229</v>
      </c>
      <c r="V89" s="29">
        <v>0.46153846153846168</v>
      </c>
      <c r="W89" s="56">
        <v>0.34615384615384603</v>
      </c>
    </row>
    <row r="90" spans="6:23">
      <c r="F90" s="55">
        <v>1</v>
      </c>
      <c r="G90" s="29">
        <v>0</v>
      </c>
      <c r="H90" s="56">
        <v>0</v>
      </c>
      <c r="I90" s="29"/>
      <c r="J90" s="57">
        <v>0.83</v>
      </c>
      <c r="K90" s="59">
        <v>0.17</v>
      </c>
      <c r="L90" s="30">
        <f>(K95-K90)/5</f>
        <v>4.3999999999999997E-2</v>
      </c>
      <c r="M90" s="30"/>
      <c r="N90" s="30">
        <v>5.4999999999999993E-2</v>
      </c>
      <c r="O90" s="30">
        <v>0.7843500000000001</v>
      </c>
      <c r="P90" s="58">
        <v>0.16065000000000002</v>
      </c>
      <c r="Q90" s="29"/>
      <c r="R90" s="55">
        <v>0.53571428571428581</v>
      </c>
      <c r="S90" s="29">
        <v>0.46428571428571414</v>
      </c>
      <c r="T90" s="29"/>
      <c r="U90" s="29">
        <v>0.21153846153846151</v>
      </c>
      <c r="V90" s="29">
        <v>0.42239010989011</v>
      </c>
      <c r="W90" s="56">
        <v>0.36607142857142849</v>
      </c>
    </row>
    <row r="91" spans="6:23">
      <c r="F91" s="55">
        <v>1</v>
      </c>
      <c r="G91" s="29">
        <v>0</v>
      </c>
      <c r="H91" s="56">
        <v>0</v>
      </c>
      <c r="I91" s="29"/>
      <c r="J91" s="57">
        <v>0.78600000000000003</v>
      </c>
      <c r="K91" s="30">
        <v>0.21400000000000002</v>
      </c>
      <c r="L91" s="30"/>
      <c r="M91" s="30"/>
      <c r="N91" s="30">
        <v>5.9999999999999991E-2</v>
      </c>
      <c r="O91" s="30">
        <v>0.73884000000000005</v>
      </c>
      <c r="P91" s="58">
        <v>0.20116000000000003</v>
      </c>
      <c r="Q91" s="29"/>
      <c r="R91" s="55">
        <v>0.50000000000000022</v>
      </c>
      <c r="S91" s="29">
        <v>0.49999999999999983</v>
      </c>
      <c r="T91" s="29"/>
      <c r="U91" s="29">
        <v>0.23076923076923073</v>
      </c>
      <c r="V91" s="29">
        <v>0.3846153846153848</v>
      </c>
      <c r="W91" s="56">
        <v>0.38461538461538453</v>
      </c>
    </row>
    <row r="92" spans="6:23">
      <c r="F92" s="55">
        <v>1</v>
      </c>
      <c r="G92" s="29">
        <v>0</v>
      </c>
      <c r="H92" s="56">
        <v>0</v>
      </c>
      <c r="I92" s="29"/>
      <c r="J92" s="57">
        <v>0.74199999999999999</v>
      </c>
      <c r="K92" s="30">
        <v>0.25800000000000001</v>
      </c>
      <c r="L92" s="30"/>
      <c r="M92" s="30"/>
      <c r="N92" s="30">
        <v>6.4999999999999988E-2</v>
      </c>
      <c r="O92" s="30">
        <v>0.69377</v>
      </c>
      <c r="P92" s="58">
        <v>0.24123000000000003</v>
      </c>
      <c r="Q92" s="29"/>
      <c r="R92" s="55">
        <v>0.46428571428571441</v>
      </c>
      <c r="S92" s="29">
        <v>0.53571428571428559</v>
      </c>
      <c r="T92" s="29"/>
      <c r="U92" s="29">
        <v>0.24999999999999994</v>
      </c>
      <c r="V92" s="29">
        <v>0.34821428571428581</v>
      </c>
      <c r="W92" s="56">
        <v>0.40178571428571419</v>
      </c>
    </row>
    <row r="93" spans="6:23">
      <c r="F93" s="55">
        <v>1</v>
      </c>
      <c r="G93" s="29">
        <v>0</v>
      </c>
      <c r="H93" s="56">
        <v>0</v>
      </c>
      <c r="I93" s="29"/>
      <c r="J93" s="57">
        <v>0.69799999999999995</v>
      </c>
      <c r="K93" s="30">
        <v>0.30199999999999999</v>
      </c>
      <c r="L93" s="30"/>
      <c r="M93" s="30"/>
      <c r="N93" s="30">
        <v>6.9999999999999993E-2</v>
      </c>
      <c r="O93" s="30">
        <v>0.64914000000000005</v>
      </c>
      <c r="P93" s="58">
        <v>0.28086</v>
      </c>
      <c r="Q93" s="29"/>
      <c r="R93" s="55">
        <v>0.42857142857142871</v>
      </c>
      <c r="S93" s="29">
        <v>0.57142857142857129</v>
      </c>
      <c r="T93" s="29"/>
      <c r="U93" s="29">
        <v>0.26923076923076916</v>
      </c>
      <c r="V93" s="29">
        <v>0.3131868131868133</v>
      </c>
      <c r="W93" s="56">
        <v>0.41758241758241754</v>
      </c>
    </row>
    <row r="94" spans="6:23">
      <c r="F94" s="55">
        <v>1</v>
      </c>
      <c r="G94" s="29">
        <v>0</v>
      </c>
      <c r="H94" s="56">
        <v>0</v>
      </c>
      <c r="I94" s="29"/>
      <c r="J94" s="57">
        <v>0.65400000000000003</v>
      </c>
      <c r="K94" s="30">
        <v>0.34599999999999997</v>
      </c>
      <c r="L94" s="30"/>
      <c r="M94" s="30"/>
      <c r="N94" s="30">
        <v>7.4999999999999997E-2</v>
      </c>
      <c r="O94" s="30">
        <v>0.6049500000000001</v>
      </c>
      <c r="P94" s="58">
        <v>0.32005</v>
      </c>
      <c r="Q94" s="29"/>
      <c r="R94" s="55">
        <v>0.39285714285714302</v>
      </c>
      <c r="S94" s="29">
        <v>0.60714285714285698</v>
      </c>
      <c r="T94" s="29"/>
      <c r="U94" s="29">
        <v>0.28846153846153838</v>
      </c>
      <c r="V94" s="29">
        <v>0.27953296703296721</v>
      </c>
      <c r="W94" s="56">
        <v>0.43200549450549447</v>
      </c>
    </row>
    <row r="95" spans="6:23">
      <c r="F95" s="55">
        <v>1</v>
      </c>
      <c r="G95" s="29">
        <v>0</v>
      </c>
      <c r="H95" s="56">
        <v>0</v>
      </c>
      <c r="I95" s="29"/>
      <c r="J95" s="57">
        <v>0.61</v>
      </c>
      <c r="K95" s="59">
        <v>0.39</v>
      </c>
      <c r="L95" s="30">
        <f>(K100-K95)/5</f>
        <v>3.0000000000000006E-2</v>
      </c>
      <c r="M95" s="30"/>
      <c r="N95" s="30">
        <v>0.08</v>
      </c>
      <c r="O95" s="30">
        <v>0.56120000000000003</v>
      </c>
      <c r="P95" s="58">
        <v>0.35880000000000001</v>
      </c>
      <c r="Q95" s="29"/>
      <c r="R95" s="55">
        <v>0.35714285714285732</v>
      </c>
      <c r="S95" s="29">
        <v>0.64285714285714268</v>
      </c>
      <c r="T95" s="29"/>
      <c r="U95" s="29">
        <v>0.3076923076923076</v>
      </c>
      <c r="V95" s="29">
        <v>0.2472527472527474</v>
      </c>
      <c r="W95" s="56">
        <v>0.44505494505494497</v>
      </c>
    </row>
    <row r="96" spans="6:23">
      <c r="F96" s="55">
        <v>1</v>
      </c>
      <c r="G96" s="29">
        <v>0</v>
      </c>
      <c r="H96" s="56">
        <v>0</v>
      </c>
      <c r="I96" s="29"/>
      <c r="J96" s="57">
        <v>0.57999999999999996</v>
      </c>
      <c r="K96" s="30">
        <v>0.42000000000000004</v>
      </c>
      <c r="L96" s="30"/>
      <c r="M96" s="30"/>
      <c r="N96" s="30">
        <v>8.5000000000000006E-2</v>
      </c>
      <c r="O96" s="30">
        <v>0.53069999999999995</v>
      </c>
      <c r="P96" s="58">
        <v>0.38430000000000003</v>
      </c>
      <c r="Q96" s="29"/>
      <c r="R96" s="55">
        <v>0.32142857142857162</v>
      </c>
      <c r="S96" s="29">
        <v>0.67857142857142838</v>
      </c>
      <c r="T96" s="29"/>
      <c r="U96" s="29">
        <v>0.32692307692307682</v>
      </c>
      <c r="V96" s="29">
        <v>0.21634615384615399</v>
      </c>
      <c r="W96" s="56">
        <v>0.45673076923076916</v>
      </c>
    </row>
    <row r="97" spans="6:23">
      <c r="F97" s="55">
        <v>1</v>
      </c>
      <c r="G97" s="29">
        <v>0</v>
      </c>
      <c r="H97" s="56">
        <v>0</v>
      </c>
      <c r="I97" s="29"/>
      <c r="J97" s="57">
        <v>0.54999999999999993</v>
      </c>
      <c r="K97" s="30">
        <v>0.45000000000000007</v>
      </c>
      <c r="L97" s="30"/>
      <c r="M97" s="30"/>
      <c r="N97" s="30">
        <v>9.0000000000000011E-2</v>
      </c>
      <c r="O97" s="30">
        <v>0.50049999999999994</v>
      </c>
      <c r="P97" s="58">
        <v>0.40950000000000009</v>
      </c>
      <c r="Q97" s="29"/>
      <c r="R97" s="55">
        <v>0.28571428571428592</v>
      </c>
      <c r="S97" s="29">
        <v>0.71428571428571408</v>
      </c>
      <c r="T97" s="29"/>
      <c r="U97" s="29">
        <v>0.34615384615384603</v>
      </c>
      <c r="V97" s="29">
        <v>0.18681318681318698</v>
      </c>
      <c r="W97" s="56">
        <v>0.46703296703296698</v>
      </c>
    </row>
    <row r="98" spans="6:23">
      <c r="F98" s="55">
        <v>1</v>
      </c>
      <c r="G98" s="29">
        <v>0</v>
      </c>
      <c r="H98" s="56">
        <v>0</v>
      </c>
      <c r="I98" s="29"/>
      <c r="J98" s="57">
        <v>0.51999999999999991</v>
      </c>
      <c r="K98" s="30">
        <v>0.48000000000000009</v>
      </c>
      <c r="L98" s="30"/>
      <c r="M98" s="30"/>
      <c r="N98" s="30">
        <v>9.5000000000000015E-2</v>
      </c>
      <c r="O98" s="30">
        <v>0.47059999999999985</v>
      </c>
      <c r="P98" s="58">
        <v>0.43440000000000012</v>
      </c>
      <c r="Q98" s="29"/>
      <c r="R98" s="55">
        <v>0.25000000000000022</v>
      </c>
      <c r="S98" s="29">
        <v>0.74999999999999978</v>
      </c>
      <c r="T98" s="29"/>
      <c r="U98" s="29">
        <v>0.36538461538461525</v>
      </c>
      <c r="V98" s="29">
        <v>0.15865384615384634</v>
      </c>
      <c r="W98" s="56">
        <v>0.47596153846153844</v>
      </c>
    </row>
    <row r="99" spans="6:23">
      <c r="F99" s="55">
        <v>1</v>
      </c>
      <c r="G99" s="29">
        <v>0</v>
      </c>
      <c r="H99" s="56">
        <v>0</v>
      </c>
      <c r="I99" s="29"/>
      <c r="J99" s="57">
        <v>0.48999999999999988</v>
      </c>
      <c r="K99" s="30">
        <v>0.51000000000000012</v>
      </c>
      <c r="L99" s="30"/>
      <c r="M99" s="30"/>
      <c r="N99" s="30">
        <v>0.10000000000000002</v>
      </c>
      <c r="O99" s="30">
        <v>0.44099999999999989</v>
      </c>
      <c r="P99" s="58">
        <v>0.45900000000000013</v>
      </c>
      <c r="Q99" s="29"/>
      <c r="R99" s="55">
        <v>0.21428571428571452</v>
      </c>
      <c r="S99" s="29">
        <v>0.78571428571428548</v>
      </c>
      <c r="T99" s="29"/>
      <c r="U99" s="29">
        <v>0.38461538461538447</v>
      </c>
      <c r="V99" s="29">
        <v>0.13186813186813204</v>
      </c>
      <c r="W99" s="56">
        <v>0.48351648351648346</v>
      </c>
    </row>
    <row r="100" spans="6:23">
      <c r="F100" s="55">
        <v>1</v>
      </c>
      <c r="G100" s="29">
        <v>0</v>
      </c>
      <c r="H100" s="56">
        <v>0</v>
      </c>
      <c r="I100" s="29"/>
      <c r="J100" s="57">
        <v>0.45999999999999996</v>
      </c>
      <c r="K100" s="59">
        <v>0.54</v>
      </c>
      <c r="L100" s="30">
        <f>(K105-K100)/5</f>
        <v>2.1999999999999999E-2</v>
      </c>
      <c r="M100" s="30"/>
      <c r="N100" s="30">
        <v>0.10500000000000002</v>
      </c>
      <c r="O100" s="30">
        <v>0.4116999999999999</v>
      </c>
      <c r="P100" s="58">
        <v>0.48330000000000006</v>
      </c>
      <c r="Q100" s="29"/>
      <c r="R100" s="55">
        <v>0.17857142857142883</v>
      </c>
      <c r="S100" s="29">
        <v>0.82142857142857117</v>
      </c>
      <c r="T100" s="29"/>
      <c r="U100" s="29">
        <v>0.40384615384615369</v>
      </c>
      <c r="V100" s="29">
        <v>0.10645604395604412</v>
      </c>
      <c r="W100" s="56">
        <v>0.48969780219780212</v>
      </c>
    </row>
    <row r="101" spans="6:23">
      <c r="F101" s="55">
        <v>1</v>
      </c>
      <c r="G101" s="29">
        <v>0</v>
      </c>
      <c r="H101" s="56">
        <v>0</v>
      </c>
      <c r="I101" s="29"/>
      <c r="J101" s="57">
        <v>0.43799999999999994</v>
      </c>
      <c r="K101" s="30">
        <v>0.56200000000000006</v>
      </c>
      <c r="L101" s="30"/>
      <c r="M101" s="30"/>
      <c r="N101" s="30">
        <v>0.11000000000000003</v>
      </c>
      <c r="O101" s="30">
        <v>0.38981999999999989</v>
      </c>
      <c r="P101" s="58">
        <v>0.50018000000000007</v>
      </c>
      <c r="Q101" s="29"/>
      <c r="R101" s="55">
        <v>0.14285714285714313</v>
      </c>
      <c r="S101" s="29">
        <v>0.85714285714285687</v>
      </c>
      <c r="T101" s="29"/>
      <c r="U101" s="29">
        <v>0.42307692307692291</v>
      </c>
      <c r="V101" s="29">
        <v>8.2417582417582597E-2</v>
      </c>
      <c r="W101" s="56">
        <v>0.49450549450549447</v>
      </c>
    </row>
    <row r="102" spans="6:23">
      <c r="F102" s="55">
        <v>1</v>
      </c>
      <c r="G102" s="29">
        <v>0</v>
      </c>
      <c r="H102" s="56">
        <v>0</v>
      </c>
      <c r="I102" s="29"/>
      <c r="J102" s="57">
        <v>0.41599999999999993</v>
      </c>
      <c r="K102" s="30">
        <v>0.58400000000000007</v>
      </c>
      <c r="L102" s="30"/>
      <c r="M102" s="30"/>
      <c r="N102" s="30">
        <v>0.11500000000000003</v>
      </c>
      <c r="O102" s="30">
        <v>0.36815999999999988</v>
      </c>
      <c r="P102" s="58">
        <v>0.51684000000000008</v>
      </c>
      <c r="Q102" s="29"/>
      <c r="R102" s="55">
        <v>0.10714285714285743</v>
      </c>
      <c r="S102" s="29">
        <v>0.89285714285714257</v>
      </c>
      <c r="T102" s="29"/>
      <c r="U102" s="29">
        <v>0.44230769230769212</v>
      </c>
      <c r="V102" s="29">
        <v>5.9752747252747436E-2</v>
      </c>
      <c r="W102" s="56">
        <v>0.4979395604395605</v>
      </c>
    </row>
    <row r="103" spans="6:23">
      <c r="F103" s="55">
        <v>1</v>
      </c>
      <c r="G103" s="29">
        <v>0</v>
      </c>
      <c r="H103" s="56">
        <v>0</v>
      </c>
      <c r="I103" s="29"/>
      <c r="J103" s="57">
        <v>0.39399999999999991</v>
      </c>
      <c r="K103" s="30">
        <v>0.60600000000000009</v>
      </c>
      <c r="L103" s="30"/>
      <c r="M103" s="30"/>
      <c r="N103" s="30">
        <v>0.12000000000000004</v>
      </c>
      <c r="O103" s="30">
        <v>0.34671999999999986</v>
      </c>
      <c r="P103" s="58">
        <v>0.53328000000000009</v>
      </c>
      <c r="Q103" s="29"/>
      <c r="R103" s="55">
        <v>7.142857142857173E-2</v>
      </c>
      <c r="S103" s="29">
        <v>0.92857142857142827</v>
      </c>
      <c r="T103" s="29"/>
      <c r="U103" s="29">
        <v>0.46153846153846134</v>
      </c>
      <c r="V103" s="29">
        <v>3.8461538461538637E-2</v>
      </c>
      <c r="W103" s="56">
        <v>0.5</v>
      </c>
    </row>
    <row r="104" spans="6:23">
      <c r="F104" s="55">
        <v>1</v>
      </c>
      <c r="G104" s="29">
        <v>0</v>
      </c>
      <c r="H104" s="56">
        <v>0</v>
      </c>
      <c r="I104" s="29"/>
      <c r="J104" s="57">
        <v>0.37199999999999989</v>
      </c>
      <c r="K104" s="30">
        <v>0.62800000000000011</v>
      </c>
      <c r="L104" s="30"/>
      <c r="M104" s="30"/>
      <c r="N104" s="30">
        <v>0.12500000000000003</v>
      </c>
      <c r="O104" s="30">
        <v>0.3254999999999999</v>
      </c>
      <c r="P104" s="58">
        <v>0.5495000000000001</v>
      </c>
      <c r="Q104" s="29"/>
      <c r="R104" s="55">
        <v>3.5714285714286031E-2</v>
      </c>
      <c r="S104" s="29">
        <v>0.96428571428571397</v>
      </c>
      <c r="T104" s="29"/>
      <c r="U104" s="29">
        <v>0.48076923076923056</v>
      </c>
      <c r="V104" s="29">
        <v>1.8543956043956214E-2</v>
      </c>
      <c r="W104" s="56">
        <v>0.50068681318681318</v>
      </c>
    </row>
    <row r="105" spans="6:23">
      <c r="F105" s="60">
        <v>1</v>
      </c>
      <c r="G105" s="61">
        <v>0</v>
      </c>
      <c r="H105" s="62">
        <v>0</v>
      </c>
      <c r="I105" s="29"/>
      <c r="J105" s="63">
        <v>0.35</v>
      </c>
      <c r="K105" s="64">
        <v>0.65</v>
      </c>
      <c r="L105" s="65"/>
      <c r="M105" s="65"/>
      <c r="N105" s="64">
        <v>0.13</v>
      </c>
      <c r="O105" s="65">
        <v>0.30449999999999999</v>
      </c>
      <c r="P105" s="66">
        <v>0.5655</v>
      </c>
      <c r="Q105" s="29"/>
      <c r="R105" s="60">
        <v>0</v>
      </c>
      <c r="S105" s="67">
        <v>1</v>
      </c>
      <c r="T105" s="61"/>
      <c r="U105" s="67">
        <v>0.5</v>
      </c>
      <c r="V105" s="61">
        <v>0</v>
      </c>
      <c r="W105" s="62">
        <v>0.5</v>
      </c>
    </row>
  </sheetData>
  <sheetProtection algorithmName="SHA-512" hashValue="RipTq77f6fiXhBF6WEVDu50GO/fFALt7dbSHjLLq4UgcPc49zvrKlvMKNadn5SFCyiuT6jWOto3uVp19ERH7Lw==" saltValue="wpLiRB58ute03fg8KC4ONg==" spinCount="100000" sheet="1" objects="1" scenarios="1" selectLockedCells="1"/>
  <mergeCells count="36">
    <mergeCell ref="U21:V21"/>
    <mergeCell ref="F73:H73"/>
    <mergeCell ref="J73:P73"/>
    <mergeCell ref="B2:E2"/>
    <mergeCell ref="K2:M2"/>
    <mergeCell ref="O2:Q2"/>
    <mergeCell ref="F38:H38"/>
    <mergeCell ref="J38:L38"/>
    <mergeCell ref="N38:P38"/>
    <mergeCell ref="F37:P37"/>
    <mergeCell ref="S37:AC37"/>
    <mergeCell ref="S38:U38"/>
    <mergeCell ref="W38:Y38"/>
    <mergeCell ref="AA38:AC38"/>
    <mergeCell ref="G3:H3"/>
    <mergeCell ref="F74:H74"/>
    <mergeCell ref="J74:P74"/>
    <mergeCell ref="F75:H75"/>
    <mergeCell ref="J75:L75"/>
    <mergeCell ref="N75:P75"/>
    <mergeCell ref="AF37:AP37"/>
    <mergeCell ref="AF38:AH38"/>
    <mergeCell ref="AJ38:AL38"/>
    <mergeCell ref="AN38:AP38"/>
    <mergeCell ref="AS37:BC37"/>
    <mergeCell ref="AS38:AU38"/>
    <mergeCell ref="AW38:AY38"/>
    <mergeCell ref="BA38:BC38"/>
    <mergeCell ref="BF37:BP37"/>
    <mergeCell ref="BF38:BH38"/>
    <mergeCell ref="BJ38:BL38"/>
    <mergeCell ref="BN38:BP38"/>
    <mergeCell ref="BS37:CC37"/>
    <mergeCell ref="BS38:BU38"/>
    <mergeCell ref="BW38:BY38"/>
    <mergeCell ref="CA38:CC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BDA7-83C1-8A4F-A9C6-9A55B6917256}">
  <dimension ref="A1:AH156"/>
  <sheetViews>
    <sheetView zoomScale="63" workbookViewId="0">
      <selection activeCell="O11" sqref="O11"/>
    </sheetView>
  </sheetViews>
  <sheetFormatPr baseColWidth="10" defaultRowHeight="16"/>
  <cols>
    <col min="3" max="3" width="18.6640625" bestFit="1" customWidth="1"/>
    <col min="6" max="6" width="18.6640625" bestFit="1" customWidth="1"/>
    <col min="9" max="9" width="18.6640625" bestFit="1" customWidth="1"/>
  </cols>
  <sheetData>
    <row r="1" spans="1:30">
      <c r="A1" s="10" t="s">
        <v>254</v>
      </c>
    </row>
    <row r="2" spans="1:30">
      <c r="A2" s="10" t="s">
        <v>255</v>
      </c>
    </row>
    <row r="3" spans="1:30">
      <c r="A3" s="10"/>
    </row>
    <row r="4" spans="1:30">
      <c r="A4" t="s">
        <v>256</v>
      </c>
    </row>
    <row r="5" spans="1:30">
      <c r="A5" t="s">
        <v>257</v>
      </c>
      <c r="L5" s="112"/>
      <c r="M5" s="112"/>
      <c r="N5" s="112"/>
      <c r="O5" s="112"/>
      <c r="P5" s="112"/>
      <c r="Q5" s="112"/>
      <c r="R5" s="112"/>
      <c r="S5" s="112"/>
    </row>
    <row r="6" spans="1:30">
      <c r="L6" s="112"/>
      <c r="M6" s="112"/>
      <c r="N6" s="112"/>
      <c r="O6" s="112"/>
      <c r="P6" s="112"/>
      <c r="Q6" s="112"/>
      <c r="R6" s="112"/>
      <c r="S6" s="112"/>
    </row>
    <row r="7" spans="1:30">
      <c r="A7">
        <v>2021</v>
      </c>
      <c r="B7" s="330" t="s">
        <v>258</v>
      </c>
      <c r="C7" s="330"/>
      <c r="D7" s="330"/>
      <c r="E7" s="330"/>
      <c r="F7" s="330"/>
      <c r="G7" s="330"/>
      <c r="H7" s="330"/>
      <c r="I7" s="330"/>
      <c r="L7" s="112"/>
      <c r="M7" s="112"/>
      <c r="N7" s="112"/>
      <c r="O7" s="112"/>
      <c r="P7" s="112"/>
      <c r="Q7" s="112"/>
      <c r="R7" s="112"/>
      <c r="S7" s="112"/>
    </row>
    <row r="8" spans="1:30">
      <c r="A8" t="s">
        <v>98</v>
      </c>
      <c r="B8" s="391" t="s">
        <v>259</v>
      </c>
      <c r="C8" s="391"/>
      <c r="D8" s="159"/>
      <c r="E8" s="391" t="s">
        <v>260</v>
      </c>
      <c r="F8" s="391"/>
      <c r="G8" s="131"/>
      <c r="H8" s="392" t="s">
        <v>261</v>
      </c>
      <c r="I8" s="392"/>
      <c r="L8" s="112"/>
      <c r="N8" s="378" t="s">
        <v>244</v>
      </c>
      <c r="O8" s="378"/>
      <c r="P8" s="378"/>
      <c r="Q8" s="378"/>
      <c r="R8" s="378"/>
      <c r="T8" s="379" t="s">
        <v>86</v>
      </c>
      <c r="U8" s="379"/>
      <c r="V8" s="379"/>
      <c r="W8" s="379"/>
      <c r="X8" s="379"/>
      <c r="Z8" s="380" t="s">
        <v>177</v>
      </c>
      <c r="AA8" s="380"/>
      <c r="AB8" s="380"/>
      <c r="AC8" s="380"/>
      <c r="AD8" s="380"/>
    </row>
    <row r="9" spans="1:30">
      <c r="A9" s="30">
        <f>B71</f>
        <v>1.2346993507628472</v>
      </c>
      <c r="B9" s="383" t="s">
        <v>244</v>
      </c>
      <c r="C9" s="384">
        <f>D107</f>
        <v>4.5395387822423654</v>
      </c>
      <c r="D9" s="87"/>
      <c r="E9" s="385" t="s">
        <v>262</v>
      </c>
      <c r="F9" s="388">
        <f>M107</f>
        <v>3.3918166992275318</v>
      </c>
      <c r="G9" s="160"/>
      <c r="H9" s="141" t="s">
        <v>263</v>
      </c>
      <c r="I9" s="200">
        <f>V107</f>
        <v>3.3918166992275318</v>
      </c>
      <c r="L9" s="112"/>
      <c r="N9" s="10">
        <v>2021</v>
      </c>
      <c r="O9" s="10" t="s">
        <v>264</v>
      </c>
      <c r="P9" s="10" t="s">
        <v>289</v>
      </c>
      <c r="Q9" s="10" t="s">
        <v>290</v>
      </c>
      <c r="R9" s="10" t="s">
        <v>291</v>
      </c>
      <c r="T9" s="10">
        <v>2021</v>
      </c>
      <c r="U9" s="10" t="s">
        <v>264</v>
      </c>
      <c r="V9" s="10" t="s">
        <v>289</v>
      </c>
      <c r="W9" s="10" t="s">
        <v>290</v>
      </c>
      <c r="X9" s="10" t="s">
        <v>291</v>
      </c>
      <c r="Z9" s="10">
        <v>2021</v>
      </c>
      <c r="AA9" s="10" t="s">
        <v>264</v>
      </c>
      <c r="AB9" s="10" t="s">
        <v>289</v>
      </c>
      <c r="AC9" s="10" t="s">
        <v>290</v>
      </c>
      <c r="AD9" s="10" t="s">
        <v>291</v>
      </c>
    </row>
    <row r="10" spans="1:30">
      <c r="B10" s="383"/>
      <c r="C10" s="384"/>
      <c r="D10" s="87"/>
      <c r="E10" s="386"/>
      <c r="F10" s="389"/>
      <c r="G10" s="87"/>
      <c r="H10" t="s">
        <v>265</v>
      </c>
      <c r="I10" s="201">
        <f>AA107</f>
        <v>1.9480983009837665</v>
      </c>
      <c r="L10" s="112"/>
      <c r="M10" s="381" t="s">
        <v>121</v>
      </c>
      <c r="N10" s="181">
        <f>A9</f>
        <v>1.2346993507628472</v>
      </c>
      <c r="O10" s="181">
        <f>D107</f>
        <v>4.5395387822423654</v>
      </c>
      <c r="P10" s="181">
        <f>M107</f>
        <v>3.3918166992275318</v>
      </c>
      <c r="Q10" s="279">
        <f>V107</f>
        <v>3.3918166992275318</v>
      </c>
      <c r="R10" s="181">
        <v>0</v>
      </c>
      <c r="S10" s="182"/>
      <c r="T10" s="181">
        <f>N10</f>
        <v>1.2346993507628472</v>
      </c>
      <c r="U10" s="181">
        <f>G107</f>
        <v>3.3453686627082146</v>
      </c>
      <c r="V10" s="181">
        <f>P107</f>
        <v>1.862087906184412</v>
      </c>
      <c r="W10" s="279">
        <f>W107</f>
        <v>1.862087906184412</v>
      </c>
      <c r="X10" s="181">
        <v>0</v>
      </c>
      <c r="Z10" s="181">
        <f>N10</f>
        <v>1.2346993507628472</v>
      </c>
      <c r="AA10" s="181">
        <f>J107</f>
        <v>1.7505755571797761</v>
      </c>
      <c r="AB10" s="181">
        <f>S107</f>
        <v>0.52024616513761379</v>
      </c>
      <c r="AC10" s="279">
        <f>X107</f>
        <v>0.52024616513761379</v>
      </c>
      <c r="AD10" s="181">
        <v>0</v>
      </c>
    </row>
    <row r="11" spans="1:30">
      <c r="B11" s="383"/>
      <c r="C11" s="384"/>
      <c r="D11" s="87"/>
      <c r="E11" s="386"/>
      <c r="F11" s="389"/>
      <c r="G11" s="87"/>
      <c r="H11" s="161" t="s">
        <v>266</v>
      </c>
      <c r="I11" s="202"/>
      <c r="L11" s="288"/>
      <c r="M11" s="381"/>
      <c r="O11" s="14">
        <f>(O10-N10)/N10</f>
        <v>2.6766349471534547</v>
      </c>
      <c r="P11" s="14">
        <f>(P10-O10)/N10</f>
        <v>-0.92955591359607048</v>
      </c>
      <c r="Q11" s="14">
        <f>(Q10-P10)/N10</f>
        <v>0</v>
      </c>
      <c r="R11" s="14">
        <f>(R10-Q10)/N10</f>
        <v>-2.7470790335573843</v>
      </c>
      <c r="U11" s="14">
        <f>(U10-T10)/T10</f>
        <v>1.709460129416372</v>
      </c>
      <c r="V11" s="14">
        <f>(V10-U10)/T10</f>
        <v>-1.2013295022852095</v>
      </c>
      <c r="W11" s="14">
        <f>(W10-V10)/T10</f>
        <v>0</v>
      </c>
      <c r="X11" s="14">
        <f>(X10-W10)/T10</f>
        <v>-1.5081306271311625</v>
      </c>
      <c r="AA11" s="14">
        <f>(AA10-Z10)/Z10</f>
        <v>0.41781524068851228</v>
      </c>
      <c r="AB11" s="14">
        <f>(AB10-AA10)/Z10</f>
        <v>-0.9964607102789963</v>
      </c>
      <c r="AC11" s="14">
        <f>(AC10-AB10)/Z10</f>
        <v>0</v>
      </c>
      <c r="AD11" s="14">
        <f>(AD10-AC10)/Z10</f>
        <v>-0.42135453040951604</v>
      </c>
    </row>
    <row r="12" spans="1:30">
      <c r="B12" s="383"/>
      <c r="C12" s="384"/>
      <c r="D12" s="87"/>
      <c r="E12" s="387"/>
      <c r="F12" s="390"/>
      <c r="G12" s="162"/>
      <c r="H12" s="36" t="s">
        <v>267</v>
      </c>
      <c r="I12" s="163">
        <f>AF107</f>
        <v>1.0200988482241486</v>
      </c>
      <c r="J12" s="9"/>
      <c r="K12" s="9"/>
      <c r="L12" s="112"/>
      <c r="O12" s="14"/>
      <c r="P12" s="14"/>
      <c r="U12" s="14"/>
      <c r="V12" s="14"/>
      <c r="AA12" s="14"/>
      <c r="AB12" s="14"/>
    </row>
    <row r="13" spans="1:30">
      <c r="B13" s="383"/>
      <c r="C13" s="384"/>
      <c r="D13" s="87"/>
      <c r="E13" s="161"/>
      <c r="F13" s="277"/>
      <c r="G13" s="164"/>
      <c r="I13" s="30"/>
      <c r="J13" s="30"/>
      <c r="L13" s="112"/>
      <c r="M13" s="382" t="s">
        <v>189</v>
      </c>
      <c r="N13" s="30">
        <f>N10</f>
        <v>1.2346993507628472</v>
      </c>
      <c r="O13" s="30">
        <f>D107</f>
        <v>4.5395387822423654</v>
      </c>
      <c r="P13" s="181">
        <f>M107</f>
        <v>3.3918166992275318</v>
      </c>
      <c r="Q13" s="31">
        <f>AA107</f>
        <v>1.9480983009837665</v>
      </c>
      <c r="R13" s="30">
        <v>0</v>
      </c>
      <c r="T13" s="30">
        <f>T10</f>
        <v>1.2346993507628472</v>
      </c>
      <c r="U13" s="30">
        <f>G107</f>
        <v>3.3453686627082146</v>
      </c>
      <c r="V13" s="181">
        <f>P107</f>
        <v>1.862087906184412</v>
      </c>
      <c r="W13" s="31">
        <f>AB107</f>
        <v>1.0694947893694911</v>
      </c>
      <c r="X13" s="30">
        <v>0</v>
      </c>
      <c r="Z13" s="30">
        <f>Z10</f>
        <v>1.2346993507628472</v>
      </c>
      <c r="AA13" s="30">
        <f>J107</f>
        <v>1.7505755571797761</v>
      </c>
      <c r="AB13" s="181">
        <f>S107</f>
        <v>0.52024616513761379</v>
      </c>
      <c r="AC13" s="31">
        <f>AC107</f>
        <v>0.29880467026084356</v>
      </c>
      <c r="AD13" s="30">
        <v>0</v>
      </c>
    </row>
    <row r="14" spans="1:30">
      <c r="B14" s="383"/>
      <c r="C14" s="384"/>
      <c r="D14" s="87"/>
      <c r="E14" s="161"/>
      <c r="F14" s="277"/>
      <c r="G14" s="164"/>
      <c r="I14" s="30"/>
      <c r="J14" s="30"/>
      <c r="L14" s="112"/>
      <c r="M14" s="382"/>
      <c r="O14" s="14">
        <f>(O13-N13)/N13</f>
        <v>2.6766349471534547</v>
      </c>
      <c r="P14" s="14">
        <f>(P13-O13)/N13</f>
        <v>-0.92955591359607048</v>
      </c>
      <c r="Q14" s="14">
        <f>(Q13-P13)/N13</f>
        <v>-1.1692874037325587</v>
      </c>
      <c r="R14" s="14">
        <f>(R13-Q13)/N13</f>
        <v>-1.5777916298248253</v>
      </c>
      <c r="U14" s="14">
        <f>(U13-T13)/T13</f>
        <v>1.709460129416372</v>
      </c>
      <c r="V14" s="14">
        <f>(V13-U13)/T13</f>
        <v>-1.2013295022852095</v>
      </c>
      <c r="W14" s="14">
        <f>(W13-V13)/T13</f>
        <v>-0.64193207546859476</v>
      </c>
      <c r="X14" s="14">
        <f>(X13-W13)/T13</f>
        <v>-0.86619855166256787</v>
      </c>
      <c r="AA14" s="14">
        <f>(AA13-Z13)/Z13</f>
        <v>0.41781524068851228</v>
      </c>
      <c r="AB14" s="14">
        <f>(AB13-AA13)/Z13</f>
        <v>-0.9964607102789963</v>
      </c>
      <c r="AC14" s="14">
        <f>(AC13-AB13)/Z13</f>
        <v>-0.17934851487526474</v>
      </c>
      <c r="AD14" s="14">
        <f>(AD13-AC13)/Z13</f>
        <v>-0.24200601553425127</v>
      </c>
    </row>
    <row r="15" spans="1:30">
      <c r="B15" s="383"/>
      <c r="C15" s="384"/>
      <c r="D15" s="87"/>
      <c r="E15" s="87"/>
      <c r="F15" s="157"/>
      <c r="G15" s="87"/>
      <c r="I15" s="30"/>
      <c r="L15" s="112"/>
    </row>
    <row r="16" spans="1:30">
      <c r="B16" s="87"/>
      <c r="C16" s="199"/>
      <c r="D16" s="87"/>
      <c r="E16" s="87"/>
      <c r="F16" s="157"/>
      <c r="G16" s="87"/>
      <c r="H16" s="87"/>
      <c r="I16" s="165"/>
      <c r="J16" s="87"/>
      <c r="K16" s="87"/>
      <c r="L16" s="112"/>
      <c r="M16" s="371" t="s">
        <v>282</v>
      </c>
      <c r="N16" s="30">
        <f>N10</f>
        <v>1.2346993507628472</v>
      </c>
      <c r="O16" s="30">
        <f>D107</f>
        <v>4.5395387822423654</v>
      </c>
      <c r="P16" s="30">
        <f>M107</f>
        <v>3.3918166992275318</v>
      </c>
      <c r="Q16" s="31">
        <f>AF107</f>
        <v>1.0200988482241486</v>
      </c>
      <c r="R16">
        <v>0</v>
      </c>
      <c r="T16" s="30">
        <f>T10</f>
        <v>1.2346993507628472</v>
      </c>
      <c r="U16" s="30">
        <f>G107</f>
        <v>3.3453686627082146</v>
      </c>
      <c r="V16" s="30">
        <f>P107</f>
        <v>1.862087906184412</v>
      </c>
      <c r="W16" s="31">
        <f>AG107</f>
        <v>0.56002841451409779</v>
      </c>
      <c r="X16">
        <v>0</v>
      </c>
      <c r="Z16" s="30">
        <f>Z10</f>
        <v>1.2346993507628472</v>
      </c>
      <c r="AA16" s="30">
        <f>J107</f>
        <v>1.7505755571797761</v>
      </c>
      <c r="AB16" s="30">
        <f>S107</f>
        <v>0.52024616513761379</v>
      </c>
      <c r="AC16" s="31">
        <f>AH107</f>
        <v>0.15646556430091715</v>
      </c>
      <c r="AD16">
        <v>0</v>
      </c>
    </row>
    <row r="17" spans="2:30">
      <c r="B17" s="383" t="s">
        <v>268</v>
      </c>
      <c r="C17" s="384">
        <f>G107</f>
        <v>3.3453686627082146</v>
      </c>
      <c r="D17" s="87"/>
      <c r="E17" s="161"/>
      <c r="F17" s="277"/>
      <c r="G17" s="164"/>
      <c r="I17" s="30"/>
      <c r="L17" s="112"/>
      <c r="M17" s="371"/>
      <c r="O17" s="14">
        <f>(O16-N16)/N16</f>
        <v>2.6766349471534547</v>
      </c>
      <c r="P17" s="14">
        <f>(P16-O16)/N16</f>
        <v>-0.92955591359607048</v>
      </c>
      <c r="Q17" s="14">
        <f>(Q16-P16)/N16</f>
        <v>-1.9208869345707844</v>
      </c>
      <c r="R17" s="14">
        <f>(R16-Q16)/N16</f>
        <v>-0.82619209898659973</v>
      </c>
      <c r="U17" s="14">
        <f>(U16-T16)/T16</f>
        <v>1.709460129416372</v>
      </c>
      <c r="V17" s="14">
        <f>(V16-U16)/T16</f>
        <v>-1.2013295022852095</v>
      </c>
      <c r="W17" s="14">
        <f>(W16-V16)/T16</f>
        <v>-1.0545559053431501</v>
      </c>
      <c r="X17" s="14">
        <f>(X16-W16)/T16</f>
        <v>-0.45357472178801228</v>
      </c>
      <c r="AA17" s="14">
        <f>(AA16-Z16)/Z16</f>
        <v>0.41781524068851228</v>
      </c>
      <c r="AB17" s="14">
        <f>(AB16-AA16)/Z16</f>
        <v>-0.9964607102789963</v>
      </c>
      <c r="AC17" s="14">
        <f>(AC16-AB16)/Z16</f>
        <v>-0.29463091611082343</v>
      </c>
      <c r="AD17" s="14">
        <f>(AD16-AC16)/Z16</f>
        <v>-0.12672361429869256</v>
      </c>
    </row>
    <row r="18" spans="2:30">
      <c r="B18" s="383"/>
      <c r="C18" s="384"/>
      <c r="D18" s="87"/>
      <c r="E18" s="385" t="s">
        <v>269</v>
      </c>
      <c r="F18" s="388">
        <f>P107</f>
        <v>1.862087906184412</v>
      </c>
      <c r="G18" s="160"/>
      <c r="H18" s="141" t="s">
        <v>263</v>
      </c>
      <c r="I18" s="200">
        <f>W107</f>
        <v>1.862087906184412</v>
      </c>
      <c r="L18" s="112"/>
      <c r="M18" s="286"/>
      <c r="N18" s="113"/>
      <c r="O18" s="296"/>
      <c r="P18" s="112"/>
      <c r="Q18" s="287"/>
      <c r="R18" s="112"/>
      <c r="S18" s="112"/>
    </row>
    <row r="19" spans="2:30">
      <c r="B19" s="383"/>
      <c r="C19" s="384"/>
      <c r="D19" s="87"/>
      <c r="E19" s="386"/>
      <c r="F19" s="389"/>
      <c r="G19" s="87"/>
      <c r="H19" t="s">
        <v>270</v>
      </c>
      <c r="I19" s="201">
        <f>AB107</f>
        <v>1.0694947893694911</v>
      </c>
      <c r="L19" s="112"/>
      <c r="M19" s="113"/>
      <c r="N19" s="113"/>
      <c r="O19" s="296"/>
      <c r="P19" s="112"/>
      <c r="Q19" s="287"/>
      <c r="R19" s="112"/>
      <c r="S19" s="112"/>
    </row>
    <row r="20" spans="2:30">
      <c r="B20" s="383"/>
      <c r="C20" s="384"/>
      <c r="D20" s="87"/>
      <c r="E20" s="386"/>
      <c r="F20" s="389"/>
      <c r="G20" s="87"/>
      <c r="H20" s="161" t="s">
        <v>266</v>
      </c>
      <c r="I20" s="202"/>
      <c r="L20" s="112"/>
      <c r="M20" s="113"/>
      <c r="N20" s="289"/>
      <c r="O20" s="296"/>
      <c r="P20" s="112"/>
      <c r="Q20" s="287"/>
      <c r="R20" s="292"/>
      <c r="S20" s="112"/>
    </row>
    <row r="21" spans="2:30">
      <c r="B21" s="383"/>
      <c r="C21" s="384"/>
      <c r="D21" s="87"/>
      <c r="E21" s="387"/>
      <c r="F21" s="390"/>
      <c r="G21" s="162"/>
      <c r="H21" s="36" t="s">
        <v>267</v>
      </c>
      <c r="I21" s="163">
        <f>AG107</f>
        <v>0.56002841451409779</v>
      </c>
      <c r="K21" s="30"/>
      <c r="L21" s="288"/>
      <c r="M21" s="289"/>
      <c r="N21" s="113"/>
      <c r="O21" s="296"/>
      <c r="P21" s="288"/>
      <c r="Q21" s="291"/>
      <c r="R21" s="290"/>
      <c r="S21" s="112"/>
    </row>
    <row r="22" spans="2:30">
      <c r="B22" s="383"/>
      <c r="C22" s="384"/>
      <c r="D22" s="87"/>
      <c r="E22" s="161"/>
      <c r="F22" s="277"/>
      <c r="G22" s="87"/>
      <c r="I22" s="30"/>
      <c r="L22" s="112"/>
      <c r="M22" s="113"/>
      <c r="N22" s="113"/>
      <c r="O22" s="296"/>
      <c r="P22" s="112"/>
      <c r="Q22" s="287"/>
      <c r="R22" s="290"/>
      <c r="S22" s="112"/>
    </row>
    <row r="23" spans="2:30">
      <c r="B23" s="383"/>
      <c r="C23" s="384"/>
      <c r="D23" s="87"/>
      <c r="E23" s="87"/>
      <c r="F23" s="157"/>
      <c r="G23" s="87"/>
      <c r="I23" s="30"/>
      <c r="L23" s="112"/>
      <c r="M23" s="113"/>
      <c r="N23" s="113"/>
      <c r="O23" s="293"/>
      <c r="P23" s="112"/>
      <c r="Q23" s="294"/>
      <c r="R23" s="290"/>
      <c r="S23" s="112"/>
    </row>
    <row r="24" spans="2:30">
      <c r="B24" s="87"/>
      <c r="C24" s="199"/>
      <c r="D24" s="87"/>
      <c r="E24" s="166"/>
      <c r="F24" s="278"/>
      <c r="G24" s="87"/>
      <c r="H24" s="87"/>
      <c r="I24" s="165"/>
      <c r="J24" s="87"/>
      <c r="K24" s="87"/>
      <c r="L24" s="112"/>
      <c r="M24" s="113"/>
      <c r="N24" s="113"/>
      <c r="O24" s="293"/>
      <c r="P24" s="112"/>
      <c r="Q24" s="294"/>
      <c r="R24" s="112"/>
      <c r="S24" s="112"/>
    </row>
    <row r="25" spans="2:30">
      <c r="B25" s="383" t="s">
        <v>271</v>
      </c>
      <c r="C25" s="384">
        <f>J107</f>
        <v>1.7505755571797761</v>
      </c>
      <c r="D25" s="87"/>
      <c r="E25" s="161"/>
      <c r="F25" s="277"/>
      <c r="G25" s="87"/>
      <c r="I25" s="30"/>
      <c r="L25" s="112"/>
      <c r="M25" s="113"/>
      <c r="N25" s="113"/>
      <c r="O25" s="293"/>
      <c r="P25" s="112"/>
      <c r="Q25" s="294"/>
      <c r="R25" s="112"/>
      <c r="S25" s="112"/>
    </row>
    <row r="26" spans="2:30">
      <c r="B26" s="383"/>
      <c r="C26" s="384"/>
      <c r="D26" s="87"/>
      <c r="E26" s="161"/>
      <c r="F26" s="277"/>
      <c r="G26" s="87"/>
      <c r="I26" s="30"/>
      <c r="L26" s="112"/>
      <c r="M26" s="113"/>
      <c r="N26" s="113"/>
      <c r="O26" s="293"/>
      <c r="P26" s="112"/>
      <c r="Q26" s="294"/>
      <c r="R26" s="112"/>
      <c r="S26" s="112"/>
    </row>
    <row r="27" spans="2:30">
      <c r="B27" s="383"/>
      <c r="C27" s="384"/>
      <c r="D27" s="87"/>
      <c r="F27" s="50"/>
      <c r="G27" s="87"/>
      <c r="I27" s="30"/>
      <c r="L27" s="112"/>
      <c r="M27" s="286"/>
      <c r="N27" s="113"/>
      <c r="O27" s="293"/>
      <c r="P27" s="112"/>
      <c r="Q27" s="295"/>
      <c r="R27" s="112"/>
      <c r="S27" s="112"/>
    </row>
    <row r="28" spans="2:30">
      <c r="B28" s="383"/>
      <c r="C28" s="384"/>
      <c r="D28" s="87"/>
      <c r="E28" s="385" t="s">
        <v>272</v>
      </c>
      <c r="F28" s="388">
        <f>S107</f>
        <v>0.52024616513761379</v>
      </c>
      <c r="G28" s="160"/>
      <c r="H28" s="141" t="s">
        <v>263</v>
      </c>
      <c r="I28" s="200">
        <f>X107</f>
        <v>0.52024616513761379</v>
      </c>
      <c r="L28" s="112"/>
      <c r="M28" s="113"/>
      <c r="N28" s="113"/>
      <c r="O28" s="296"/>
      <c r="P28" s="112"/>
      <c r="Q28" s="287"/>
      <c r="R28" s="286"/>
      <c r="S28" s="112"/>
    </row>
    <row r="29" spans="2:30">
      <c r="B29" s="383"/>
      <c r="C29" s="384"/>
      <c r="D29" s="87"/>
      <c r="E29" s="386"/>
      <c r="F29" s="389"/>
      <c r="G29" s="87"/>
      <c r="H29" t="s">
        <v>270</v>
      </c>
      <c r="I29" s="201">
        <f>AC107</f>
        <v>0.29880467026084356</v>
      </c>
      <c r="L29" s="112"/>
      <c r="M29" s="113"/>
      <c r="N29" s="113"/>
      <c r="O29" s="296"/>
      <c r="P29" s="112"/>
      <c r="Q29" s="287"/>
      <c r="R29" s="112"/>
      <c r="S29" s="112"/>
    </row>
    <row r="30" spans="2:30">
      <c r="B30" s="383"/>
      <c r="C30" s="384"/>
      <c r="D30" s="87"/>
      <c r="E30" s="386"/>
      <c r="F30" s="389"/>
      <c r="G30" s="87"/>
      <c r="H30" s="161" t="s">
        <v>266</v>
      </c>
      <c r="I30" s="202"/>
      <c r="L30" s="288"/>
      <c r="M30" s="289"/>
      <c r="N30" s="289"/>
      <c r="O30" s="296"/>
      <c r="P30" s="112"/>
      <c r="Q30" s="287"/>
      <c r="R30" s="292"/>
      <c r="S30" s="112"/>
    </row>
    <row r="31" spans="2:30">
      <c r="B31" s="383"/>
      <c r="C31" s="384"/>
      <c r="D31" s="87"/>
      <c r="E31" s="387"/>
      <c r="F31" s="390"/>
      <c r="G31" s="162"/>
      <c r="H31" s="36" t="s">
        <v>267</v>
      </c>
      <c r="I31" s="163">
        <f>AH107</f>
        <v>0.15646556430091715</v>
      </c>
      <c r="L31" s="112"/>
      <c r="M31" s="113"/>
      <c r="N31" s="113"/>
      <c r="O31" s="296"/>
      <c r="P31" s="112"/>
      <c r="Q31" s="287"/>
      <c r="R31" s="290"/>
      <c r="S31" s="112"/>
    </row>
    <row r="32" spans="2:30"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112"/>
      <c r="M32" s="113"/>
      <c r="N32" s="113"/>
      <c r="O32" s="296"/>
      <c r="P32" s="288"/>
      <c r="Q32" s="291"/>
      <c r="R32" s="290"/>
      <c r="S32" s="112"/>
    </row>
    <row r="33" spans="1:19">
      <c r="L33" s="112"/>
      <c r="M33" s="113"/>
      <c r="N33" s="113"/>
      <c r="O33" s="296"/>
      <c r="P33" s="112"/>
      <c r="Q33" s="287"/>
      <c r="R33" s="290"/>
      <c r="S33" s="112"/>
    </row>
    <row r="34" spans="1:19">
      <c r="L34" s="112"/>
      <c r="M34" s="113"/>
      <c r="N34" s="113"/>
      <c r="O34" s="112"/>
      <c r="P34" s="112"/>
      <c r="Q34" s="290"/>
      <c r="R34" s="290"/>
      <c r="S34" s="112"/>
    </row>
    <row r="35" spans="1:19">
      <c r="B35" t="s">
        <v>273</v>
      </c>
      <c r="C35" s="283">
        <f>((C9-C25))/C9</f>
        <v>0.61437149429637516</v>
      </c>
      <c r="D35" t="s">
        <v>274</v>
      </c>
      <c r="H35" s="50">
        <f>C9-C25</f>
        <v>2.7889632250625893</v>
      </c>
    </row>
    <row r="36" spans="1:19" s="45" customFormat="1" ht="17" thickBot="1">
      <c r="C36" s="167">
        <f>(C25-F28)/C9</f>
        <v>0.27102519684487081</v>
      </c>
      <c r="D36" s="45" t="s">
        <v>275</v>
      </c>
      <c r="H36" s="78">
        <f>C25-F28</f>
        <v>1.2303293920421623</v>
      </c>
    </row>
    <row r="37" spans="1:19" s="87" customFormat="1"/>
    <row r="38" spans="1:19" s="87" customFormat="1"/>
    <row r="39" spans="1:19" s="10" customFormat="1">
      <c r="A39" s="10" t="s">
        <v>0</v>
      </c>
      <c r="B39" s="10" t="s">
        <v>276</v>
      </c>
      <c r="C39" s="10" t="s">
        <v>277</v>
      </c>
      <c r="D39" s="10" t="s">
        <v>141</v>
      </c>
      <c r="E39" s="10" t="s">
        <v>278</v>
      </c>
    </row>
    <row r="40" spans="1:19">
      <c r="A40">
        <v>1990</v>
      </c>
      <c r="B40" s="30">
        <f>Fig1_future_Kaya!AV4</f>
        <v>0.92258622599999984</v>
      </c>
      <c r="C40" s="9">
        <f>Fig1_historical_Kaya!G4/10^3</f>
        <v>232.88490035010838</v>
      </c>
      <c r="D40" s="31">
        <f>Fig1_historical_Kaya!J4</f>
        <v>31.634770408101428</v>
      </c>
      <c r="E40" s="31">
        <f>Fig1_future_Kaya!AE4</f>
        <v>125.22785698592975</v>
      </c>
    </row>
    <row r="41" spans="1:19">
      <c r="A41">
        <v>1991</v>
      </c>
      <c r="B41" s="30">
        <f>Fig1_future_Kaya!AV5</f>
        <v>0.89355528520000005</v>
      </c>
      <c r="C41" s="9">
        <f>Fig1_historical_Kaya!G5/10^3</f>
        <v>228.84330008095472</v>
      </c>
      <c r="D41" s="31">
        <f>Fig1_historical_Kaya!J5</f>
        <v>31.140677300670895</v>
      </c>
      <c r="E41" s="31">
        <f>Fig1_future_Kaya!AE5</f>
        <v>125.38776805049291</v>
      </c>
    </row>
    <row r="42" spans="1:19">
      <c r="A42">
        <v>1992</v>
      </c>
      <c r="B42" s="30">
        <f>Fig1_future_Kaya!AV6</f>
        <v>0.89958193820000021</v>
      </c>
      <c r="C42" s="9">
        <f>Fig1_historical_Kaya!G6/10^3</f>
        <v>240.64719973849469</v>
      </c>
      <c r="D42" s="31">
        <f>Fig1_historical_Kaya!J6</f>
        <v>29.698064240754807</v>
      </c>
      <c r="E42" s="31">
        <f>Fig1_future_Kaya!AE6</f>
        <v>125.87276500743906</v>
      </c>
    </row>
    <row r="43" spans="1:19">
      <c r="A43">
        <v>1993</v>
      </c>
      <c r="B43" s="30">
        <f>Fig1_future_Kaya!AV7</f>
        <v>0.90717398179999997</v>
      </c>
      <c r="C43" s="9">
        <f>Fig1_historical_Kaya!G7/10^3</f>
        <v>249.9526001899917</v>
      </c>
      <c r="D43" s="31">
        <f>Fig1_historical_Kaya!J7</f>
        <v>28.869366882617065</v>
      </c>
      <c r="E43" s="31">
        <f>Fig1_future_Kaya!AE7</f>
        <v>125.71748006860794</v>
      </c>
    </row>
    <row r="44" spans="1:19">
      <c r="A44">
        <v>1994</v>
      </c>
      <c r="B44" s="30">
        <f>Fig1_future_Kaya!AV8</f>
        <v>0.94640303390000013</v>
      </c>
      <c r="C44" s="9">
        <f>Fig1_historical_Kaya!G8/10^3</f>
        <v>274.7693003311681</v>
      </c>
      <c r="D44" s="31">
        <f>Fig1_historical_Kaya!J8</f>
        <v>27.454390835884784</v>
      </c>
      <c r="E44" s="31">
        <f>Fig1_future_Kaya!AE8</f>
        <v>125.45734833615738</v>
      </c>
    </row>
    <row r="45" spans="1:19">
      <c r="A45">
        <v>1995</v>
      </c>
      <c r="B45" s="30">
        <f>Fig1_future_Kaya!AV9</f>
        <v>0.97030139420000006</v>
      </c>
      <c r="C45" s="9">
        <f>Fig1_historical_Kaya!G9/10^3</f>
        <v>293.0952003978345</v>
      </c>
      <c r="D45" s="31">
        <f>Fig1_historical_Kaya!J9</f>
        <v>26.383617122651792</v>
      </c>
      <c r="E45" s="31">
        <f>Fig1_future_Kaya!AE9</f>
        <v>125.47685153312484</v>
      </c>
    </row>
    <row r="46" spans="1:19">
      <c r="A46">
        <v>1996</v>
      </c>
      <c r="B46" s="30">
        <f>Fig1_future_Kaya!AV10</f>
        <v>1.0151061794000005</v>
      </c>
      <c r="C46" s="9">
        <f>Fig1_historical_Kaya!G10/10^3</f>
        <v>317.05359998059998</v>
      </c>
      <c r="D46" s="31">
        <f>Fig1_historical_Kaya!J10</f>
        <v>25.424930964761749</v>
      </c>
      <c r="E46" s="31">
        <f>Fig1_future_Kaya!AE10</f>
        <v>125.9270415409036</v>
      </c>
    </row>
    <row r="47" spans="1:19">
      <c r="A47">
        <v>1997</v>
      </c>
      <c r="B47" s="30">
        <f>Fig1_future_Kaya!AV11</f>
        <v>1.0475884211000004</v>
      </c>
      <c r="C47" s="9">
        <f>Fig1_historical_Kaya!G11/10^3</f>
        <v>341.79910121963195</v>
      </c>
      <c r="D47" s="31">
        <f>Fig1_historical_Kaya!J11</f>
        <v>24.392367383519211</v>
      </c>
      <c r="E47" s="31">
        <f>Fig1_future_Kaya!AE11</f>
        <v>125.65096278899783</v>
      </c>
    </row>
    <row r="48" spans="1:19">
      <c r="A48">
        <v>1998</v>
      </c>
      <c r="B48" s="30">
        <f>Fig1_future_Kaya!AV12</f>
        <v>1.0676154564</v>
      </c>
      <c r="C48" s="9">
        <f>Fig1_historical_Kaya!G12/10^3</f>
        <v>349.01827430563702</v>
      </c>
      <c r="D48" s="31">
        <f>Fig1_historical_Kaya!J12</f>
        <v>24.424560202110836</v>
      </c>
      <c r="E48" s="31">
        <f>Fig1_future_Kaya!AE12</f>
        <v>125.23909867673007</v>
      </c>
    </row>
    <row r="49" spans="1:5">
      <c r="A49">
        <v>1999</v>
      </c>
      <c r="B49" s="30">
        <f>Fig1_future_Kaya!AV13</f>
        <v>1.1035493593999999</v>
      </c>
      <c r="C49" s="9">
        <f>Fig1_historical_Kaya!G13/10^3</f>
        <v>372.38361824587304</v>
      </c>
      <c r="D49" s="31">
        <f>Fig1_historical_Kaya!J13</f>
        <v>23.685610716757044</v>
      </c>
      <c r="E49" s="31">
        <f>Fig1_future_Kaya!AE13</f>
        <v>125.11708235774705</v>
      </c>
    </row>
    <row r="50" spans="1:5">
      <c r="A50">
        <v>2000</v>
      </c>
      <c r="B50" s="30">
        <f>Fig1_future_Kaya!AV14</f>
        <v>1.1471120549</v>
      </c>
      <c r="C50" s="9">
        <f>Fig1_historical_Kaya!G14/10^3</f>
        <v>399.903211</v>
      </c>
      <c r="D50" s="31">
        <f>Fig1_historical_Kaya!J14</f>
        <v>22.819143580846905</v>
      </c>
      <c r="E50" s="31">
        <f>Fig1_future_Kaya!AE14</f>
        <v>125.70472765411071</v>
      </c>
    </row>
    <row r="51" spans="1:5">
      <c r="A51">
        <v>2001</v>
      </c>
      <c r="B51" s="30">
        <f>Fig1_future_Kaya!AV15</f>
        <v>1.1209743288</v>
      </c>
      <c r="C51" s="9">
        <f>Fig1_historical_Kaya!G15/10^3</f>
        <v>384.33483500009504</v>
      </c>
      <c r="D51" s="31">
        <f>Fig1_historical_Kaya!J15</f>
        <v>23.260773823128829</v>
      </c>
      <c r="E51" s="31">
        <f>Fig1_future_Kaya!AE15</f>
        <v>125.38966992210287</v>
      </c>
    </row>
    <row r="52" spans="1:5">
      <c r="A52">
        <v>2002</v>
      </c>
      <c r="B52" s="30">
        <f>Fig1_future_Kaya!AV16</f>
        <v>1.1311977174000001</v>
      </c>
      <c r="C52" s="9">
        <f>Fig1_historical_Kaya!G16/10^3</f>
        <v>393.78867300000002</v>
      </c>
      <c r="D52" s="31">
        <f>Fig1_historical_Kaya!J16</f>
        <v>22.886139708106437</v>
      </c>
      <c r="E52" s="31">
        <f>Fig1_future_Kaya!AE16</f>
        <v>125.51705922400888</v>
      </c>
    </row>
    <row r="53" spans="1:5">
      <c r="A53">
        <v>2003</v>
      </c>
      <c r="B53" s="30">
        <f>Fig1_future_Kaya!AV17</f>
        <v>1.1241306032000002</v>
      </c>
      <c r="C53" s="9">
        <f>Fig1_historical_Kaya!G17/10^3</f>
        <v>410.15119900000002</v>
      </c>
      <c r="D53" s="31">
        <f>Fig1_historical_Kaya!J17</f>
        <v>21.848733076497489</v>
      </c>
      <c r="E53" s="31">
        <f>Fig1_future_Kaya!AE17</f>
        <v>125.44302743617355</v>
      </c>
    </row>
    <row r="54" spans="1:5">
      <c r="A54">
        <v>2004</v>
      </c>
      <c r="B54" s="30">
        <f>Fig1_future_Kaya!AV18</f>
        <v>1.1966825061999997</v>
      </c>
      <c r="C54" s="9">
        <f>Fig1_historical_Kaya!G18/10^3</f>
        <v>462.08794</v>
      </c>
      <c r="D54" s="31">
        <f>Fig1_historical_Kaya!J18</f>
        <v>20.631340903864153</v>
      </c>
      <c r="E54" s="31">
        <f>Fig1_future_Kaya!AE18</f>
        <v>125.52402393943781</v>
      </c>
    </row>
    <row r="55" spans="1:5">
      <c r="A55">
        <v>2005</v>
      </c>
      <c r="B55" s="30">
        <f>Fig1_future_Kaya!AV19</f>
        <v>1.2444897735999996</v>
      </c>
      <c r="C55" s="9">
        <f>Fig1_historical_Kaya!G19/10^3</f>
        <v>490.66560299999998</v>
      </c>
      <c r="D55" s="31">
        <f>Fig1_historical_Kaya!J19</f>
        <v>20.284318316323407</v>
      </c>
      <c r="E55" s="31">
        <f>Fig1_future_Kaya!AE19</f>
        <v>125.03894513722315</v>
      </c>
    </row>
    <row r="56" spans="1:5">
      <c r="A56">
        <v>2006</v>
      </c>
      <c r="B56" s="30">
        <f>Fig1_future_Kaya!AV20</f>
        <v>1.2594886610999998</v>
      </c>
      <c r="C56" s="9">
        <f>Fig1_historical_Kaya!G20/10^3</f>
        <v>520.14260400000001</v>
      </c>
      <c r="D56" s="31">
        <f>Fig1_historical_Kaya!J20</f>
        <v>19.352307452012091</v>
      </c>
      <c r="E56" s="31">
        <f>Fig1_future_Kaya!AE20</f>
        <v>125.12355624433249</v>
      </c>
    </row>
    <row r="57" spans="1:5">
      <c r="A57">
        <v>2007</v>
      </c>
      <c r="B57" s="30">
        <f>Fig1_future_Kaya!AV21</f>
        <v>1.2916170086999998</v>
      </c>
      <c r="C57" s="9">
        <f>Fig1_historical_Kaya!G21/10^3</f>
        <v>555.53794600000003</v>
      </c>
      <c r="D57" s="31">
        <f>Fig1_historical_Kaya!J21</f>
        <v>18.610761903543839</v>
      </c>
      <c r="E57" s="31">
        <f>Fig1_future_Kaya!AE21</f>
        <v>124.92687420336007</v>
      </c>
    </row>
    <row r="58" spans="1:5">
      <c r="A58">
        <v>2008</v>
      </c>
      <c r="B58" s="30">
        <f>Fig1_future_Kaya!AV22</f>
        <v>1.2793649353000003</v>
      </c>
      <c r="C58" s="9">
        <f>Fig1_historical_Kaya!G22/10^3</f>
        <v>561.36387400000012</v>
      </c>
      <c r="D58" s="31">
        <f>Fig1_historical_Kaya!J22</f>
        <v>18.193789300259677</v>
      </c>
      <c r="E58" s="31">
        <f>Fig1_future_Kaya!AE22</f>
        <v>125.26415754329425</v>
      </c>
    </row>
    <row r="59" spans="1:5">
      <c r="A59">
        <v>2009</v>
      </c>
      <c r="B59" s="30">
        <f>Fig1_future_Kaya!AV23</f>
        <v>1.2105554803</v>
      </c>
      <c r="C59" s="9">
        <f>Fig1_historical_Kaya!G23/10^3</f>
        <v>579.81634365439606</v>
      </c>
      <c r="D59" s="31">
        <f>Fig1_historical_Kaya!J23</f>
        <v>16.72422930113062</v>
      </c>
      <c r="E59" s="31">
        <f>Fig1_future_Kaya!AE23</f>
        <v>124.83838216252924</v>
      </c>
    </row>
    <row r="60" spans="1:5">
      <c r="A60">
        <v>2010</v>
      </c>
      <c r="B60" s="30">
        <f>Fig1_future_Kaya!AV24</f>
        <v>1.2756639928</v>
      </c>
      <c r="C60" s="9">
        <f>Fig1_historical_Kaya!G24/10^3</f>
        <v>625.06268707797005</v>
      </c>
      <c r="D60" s="31">
        <f>Fig1_historical_Kaya!J24</f>
        <v>16.355968316974295</v>
      </c>
      <c r="E60" s="31">
        <f>Fig1_future_Kaya!AE24</f>
        <v>124.77755228429876</v>
      </c>
    </row>
    <row r="61" spans="1:5">
      <c r="A61">
        <v>2011</v>
      </c>
      <c r="B61" s="30">
        <f>Fig1_future_Kaya!AV25</f>
        <v>1.3110258322000001</v>
      </c>
      <c r="C61" s="9">
        <f>Fig1_historical_Kaya!G25/10^3</f>
        <v>655.21683005902298</v>
      </c>
      <c r="D61" s="31">
        <f>Fig1_historical_Kaya!J25</f>
        <v>15.974387215917677</v>
      </c>
      <c r="E61" s="31">
        <f>Fig1_future_Kaya!AE25</f>
        <v>125.25699754759717</v>
      </c>
    </row>
    <row r="62" spans="1:5">
      <c r="A62">
        <v>2012</v>
      </c>
      <c r="B62" s="30">
        <f>Fig1_future_Kaya!AV26</f>
        <v>1.3270094226000002</v>
      </c>
      <c r="C62" s="9">
        <f>Fig1_historical_Kaya!G26/10^3</f>
        <v>672.48935224884303</v>
      </c>
      <c r="D62" s="31">
        <f>Fig1_historical_Kaya!J26</f>
        <v>15.677884313364491</v>
      </c>
      <c r="E62" s="31">
        <f>Fig1_future_Kaya!AE26</f>
        <v>125.86388671513734</v>
      </c>
    </row>
    <row r="63" spans="1:5">
      <c r="A63">
        <v>2013</v>
      </c>
      <c r="B63" s="30">
        <f>Fig1_future_Kaya!AV27</f>
        <v>1.3598908260000002</v>
      </c>
      <c r="C63" s="9">
        <f>Fig1_historical_Kaya!G27/10^3</f>
        <v>700.59030781354807</v>
      </c>
      <c r="D63" s="31">
        <f>Fig1_historical_Kaya!J27</f>
        <v>15.529631804717662</v>
      </c>
      <c r="E63" s="31">
        <f>Fig1_future_Kaya!AE27</f>
        <v>124.99100499990007</v>
      </c>
    </row>
    <row r="64" spans="1:5">
      <c r="A64">
        <v>2014</v>
      </c>
      <c r="B64" s="30">
        <f>Fig1_future_Kaya!AV28</f>
        <v>1.4047606022000001</v>
      </c>
      <c r="C64" s="9">
        <f>Fig1_historical_Kaya!G28/10^3</f>
        <v>740.95685946141907</v>
      </c>
      <c r="D64" s="31">
        <f>Fig1_historical_Kaya!J28</f>
        <v>15.153670387054609</v>
      </c>
      <c r="E64" s="31">
        <f>Fig1_future_Kaya!AE28</f>
        <v>125.10986605393883</v>
      </c>
    </row>
    <row r="65" spans="1:34">
      <c r="A65">
        <v>2015</v>
      </c>
      <c r="B65" s="30">
        <f>Fig1_future_Kaya!AV29</f>
        <v>1.4822811818999999</v>
      </c>
      <c r="C65" s="9">
        <f>Fig1_historical_Kaya!G29/10^3</f>
        <v>785.59567631234506</v>
      </c>
      <c r="D65" s="31">
        <f>Fig1_historical_Kaya!J29</f>
        <v>15.080854303119143</v>
      </c>
      <c r="E65" s="31">
        <f>Fig1_future_Kaya!AE29</f>
        <v>125.11390126131568</v>
      </c>
    </row>
    <row r="66" spans="1:34">
      <c r="A66">
        <v>2016</v>
      </c>
      <c r="B66" s="30">
        <f>Fig1_future_Kaya!AV30</f>
        <v>1.5523634898000001</v>
      </c>
      <c r="C66" s="9">
        <f>Fig1_historical_Kaya!G30/10^3</f>
        <v>836.90976509403401</v>
      </c>
      <c r="D66" s="31">
        <f>Fig1_historical_Kaya!J30</f>
        <v>14.775283399578271</v>
      </c>
      <c r="E66" s="31">
        <f>Fig1_future_Kaya!AE30</f>
        <v>125.53908676089277</v>
      </c>
    </row>
    <row r="67" spans="1:34">
      <c r="A67">
        <v>2017</v>
      </c>
      <c r="B67" s="30">
        <f>Fig1_future_Kaya!AV31</f>
        <v>1.6500563340999999</v>
      </c>
      <c r="C67" s="9">
        <f>Fig1_historical_Kaya!G31/10^3</f>
        <v>905.81444717206205</v>
      </c>
      <c r="D67" s="31">
        <f>Fig1_historical_Kaya!J31</f>
        <v>14.555888031102301</v>
      </c>
      <c r="E67" s="31">
        <f>Fig1_future_Kaya!AE31</f>
        <v>125.14710922327154</v>
      </c>
    </row>
    <row r="68" spans="1:34">
      <c r="A68">
        <v>2018</v>
      </c>
      <c r="B68" s="30">
        <f>Fig1_future_Kaya!AV32</f>
        <v>1.7129458757</v>
      </c>
      <c r="C68" s="9">
        <f>Fig1_historical_Kaya!G32/10^3</f>
        <v>954.49796583072373</v>
      </c>
      <c r="D68" s="31">
        <f>Fig1_historical_Kaya!J32</f>
        <v>14.424016294141925</v>
      </c>
      <c r="E68" s="31">
        <f>Fig1_future_Kaya!AE32</f>
        <v>124.4177746353089</v>
      </c>
    </row>
    <row r="69" spans="1:34">
      <c r="A69">
        <v>2019</v>
      </c>
      <c r="B69" s="30">
        <f>Fig1_future_Kaya!AV33</f>
        <v>1.7458999999999998</v>
      </c>
      <c r="C69" s="9">
        <f>Fig1_historical_Kaya!G33/10^3</f>
        <v>995.21248929121361</v>
      </c>
      <c r="D69" s="31">
        <f>Fig1_historical_Kaya!J33</f>
        <v>14.046170256969022</v>
      </c>
      <c r="E69" s="31">
        <f>Fig1_future_Kaya!AE33</f>
        <v>124.89516301119977</v>
      </c>
    </row>
    <row r="70" spans="1:34">
      <c r="A70">
        <v>2020</v>
      </c>
      <c r="B70" s="30">
        <f>Fig1_future_Kaya!AV34</f>
        <v>1.0302</v>
      </c>
      <c r="C70" s="9">
        <f>Fig1_historical_Kaya!G34/10^3</f>
        <v>449.63097650355201</v>
      </c>
      <c r="D70" s="31">
        <f>Fig1_historical_Kaya!J34</f>
        <v>18.345083922942074</v>
      </c>
      <c r="E70" s="31">
        <f>Fig1_future_Kaya!AE34</f>
        <v>124.89516301119983</v>
      </c>
      <c r="J70" s="24"/>
    </row>
    <row r="71" spans="1:34">
      <c r="A71">
        <v>2021</v>
      </c>
      <c r="B71" s="30">
        <f>Fig1_future_Kaya!AV35</f>
        <v>1.2346993507628472</v>
      </c>
      <c r="C71" s="9">
        <f>Fig1_historical_Kaya!G35/10^3</f>
        <v>786.16589525788595</v>
      </c>
      <c r="D71" s="31">
        <f>Fig1_historical_Kaya!J35</f>
        <v>12.574809105739336</v>
      </c>
      <c r="E71" s="31">
        <f>Fig1_future_Kaya!AE35</f>
        <v>124.89516301119976</v>
      </c>
      <c r="J71" s="24"/>
    </row>
    <row r="72" spans="1:34">
      <c r="B72" s="30"/>
      <c r="C72" s="9"/>
      <c r="D72" s="31"/>
      <c r="E72" s="31"/>
      <c r="J72" s="24"/>
    </row>
    <row r="73" spans="1:34" ht="17" thickBot="1">
      <c r="A73" s="79" t="s">
        <v>318</v>
      </c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</row>
    <row r="74" spans="1:34" s="87" customFormat="1">
      <c r="C74" s="372" t="s">
        <v>259</v>
      </c>
      <c r="D74" s="373"/>
      <c r="E74" s="373"/>
      <c r="F74" s="373"/>
      <c r="G74" s="373"/>
      <c r="H74" s="373"/>
      <c r="I74" s="373"/>
      <c r="J74" s="374"/>
      <c r="L74" s="372" t="s">
        <v>260</v>
      </c>
      <c r="M74" s="373"/>
      <c r="N74" s="373"/>
      <c r="O74" s="373"/>
      <c r="P74" s="373"/>
      <c r="Q74" s="373"/>
      <c r="R74" s="373"/>
      <c r="S74" s="374"/>
      <c r="U74" s="372" t="s">
        <v>261</v>
      </c>
      <c r="V74" s="373"/>
      <c r="W74" s="373"/>
      <c r="X74" s="373"/>
      <c r="Y74" s="373"/>
      <c r="Z74" s="373"/>
      <c r="AA74" s="373"/>
      <c r="AB74" s="373"/>
      <c r="AC74" s="373"/>
      <c r="AD74" s="373"/>
      <c r="AE74" s="373"/>
      <c r="AF74" s="373"/>
      <c r="AG74" s="168"/>
      <c r="AH74" s="169"/>
    </row>
    <row r="75" spans="1:34" s="87" customFormat="1">
      <c r="C75" s="375" t="s">
        <v>279</v>
      </c>
      <c r="D75" s="376"/>
      <c r="E75" s="376"/>
      <c r="F75" s="376"/>
      <c r="G75" s="376"/>
      <c r="H75" s="376"/>
      <c r="I75" s="376"/>
      <c r="J75" s="377"/>
      <c r="L75" s="170"/>
      <c r="M75" s="184" t="s">
        <v>280</v>
      </c>
      <c r="N75" s="184"/>
      <c r="O75" s="184"/>
      <c r="P75" s="184"/>
      <c r="Q75" s="184"/>
      <c r="R75" s="184"/>
      <c r="S75" s="171"/>
      <c r="U75" s="375" t="s">
        <v>281</v>
      </c>
      <c r="V75" s="376"/>
      <c r="W75" s="376"/>
      <c r="X75" s="376"/>
      <c r="Y75" s="376"/>
      <c r="Z75" s="376"/>
      <c r="AA75" s="376"/>
      <c r="AB75" s="376"/>
      <c r="AC75" s="376"/>
      <c r="AD75" s="376"/>
      <c r="AE75" s="376"/>
      <c r="AF75" s="376"/>
      <c r="AG75" s="376"/>
      <c r="AH75" s="377"/>
    </row>
    <row r="76" spans="1:34" s="87" customFormat="1" ht="16" customHeight="1">
      <c r="C76" s="366" t="s">
        <v>244</v>
      </c>
      <c r="D76" s="367"/>
      <c r="E76" s="184"/>
      <c r="F76" s="368" t="s">
        <v>268</v>
      </c>
      <c r="G76" s="368"/>
      <c r="H76" s="184"/>
      <c r="I76" s="369" t="s">
        <v>177</v>
      </c>
      <c r="J76" s="370"/>
      <c r="L76" s="366" t="s">
        <v>244</v>
      </c>
      <c r="M76" s="367"/>
      <c r="N76" s="184"/>
      <c r="O76" s="368" t="s">
        <v>268</v>
      </c>
      <c r="P76" s="368"/>
      <c r="Q76" s="184"/>
      <c r="R76" s="369" t="s">
        <v>177</v>
      </c>
      <c r="S76" s="370"/>
      <c r="U76" s="366" t="s">
        <v>121</v>
      </c>
      <c r="V76" s="367"/>
      <c r="W76" s="367"/>
      <c r="X76" s="367"/>
      <c r="Y76" s="184"/>
      <c r="Z76" s="368" t="s">
        <v>189</v>
      </c>
      <c r="AA76" s="368"/>
      <c r="AB76" s="368"/>
      <c r="AC76" s="368"/>
      <c r="AD76" s="184"/>
      <c r="AE76" s="369" t="s">
        <v>282</v>
      </c>
      <c r="AF76" s="369"/>
      <c r="AG76" s="369"/>
      <c r="AH76" s="370"/>
    </row>
    <row r="77" spans="1:34" s="87" customFormat="1" ht="16" customHeight="1">
      <c r="C77" s="172"/>
      <c r="D77" s="185"/>
      <c r="E77" s="184"/>
      <c r="F77" s="186"/>
      <c r="G77" s="186"/>
      <c r="H77" s="184"/>
      <c r="I77" s="187"/>
      <c r="J77" s="173"/>
      <c r="L77" s="172"/>
      <c r="M77" s="185"/>
      <c r="N77" s="184"/>
      <c r="O77" s="186"/>
      <c r="P77" s="186"/>
      <c r="Q77" s="184"/>
      <c r="R77" s="187"/>
      <c r="S77" s="173"/>
      <c r="U77" s="43"/>
      <c r="V77" s="195" t="s">
        <v>244</v>
      </c>
      <c r="W77" s="196" t="s">
        <v>268</v>
      </c>
      <c r="X77" s="197" t="s">
        <v>177</v>
      </c>
      <c r="Y77" s="184"/>
      <c r="Z77" s="129"/>
      <c r="AA77" s="195" t="s">
        <v>244</v>
      </c>
      <c r="AB77" s="196" t="s">
        <v>268</v>
      </c>
      <c r="AC77" s="197" t="s">
        <v>177</v>
      </c>
      <c r="AD77" s="184"/>
      <c r="AE77" s="129"/>
      <c r="AF77" s="195" t="s">
        <v>244</v>
      </c>
      <c r="AG77" s="196" t="s">
        <v>268</v>
      </c>
      <c r="AH77" s="174" t="s">
        <v>177</v>
      </c>
    </row>
    <row r="78" spans="1:34" s="88" customFormat="1" ht="51">
      <c r="C78" s="175" t="s">
        <v>283</v>
      </c>
      <c r="D78" s="188" t="s">
        <v>284</v>
      </c>
      <c r="E78" s="189"/>
      <c r="F78" s="190" t="s">
        <v>283</v>
      </c>
      <c r="G78" s="190" t="s">
        <v>284</v>
      </c>
      <c r="H78" s="189"/>
      <c r="I78" s="191" t="s">
        <v>283</v>
      </c>
      <c r="J78" s="176" t="s">
        <v>284</v>
      </c>
      <c r="L78" s="198" t="s">
        <v>285</v>
      </c>
      <c r="M78" s="188" t="s">
        <v>284</v>
      </c>
      <c r="N78" s="189"/>
      <c r="O78" s="190" t="s">
        <v>285</v>
      </c>
      <c r="P78" s="190" t="s">
        <v>284</v>
      </c>
      <c r="Q78" s="189"/>
      <c r="R78" s="191" t="s">
        <v>285</v>
      </c>
      <c r="S78" s="176" t="s">
        <v>284</v>
      </c>
      <c r="U78" s="177" t="s">
        <v>242</v>
      </c>
      <c r="V78" s="75" t="s">
        <v>284</v>
      </c>
      <c r="W78" s="75" t="s">
        <v>284</v>
      </c>
      <c r="X78" s="75" t="s">
        <v>284</v>
      </c>
      <c r="Y78" s="189"/>
      <c r="Z78" s="133" t="s">
        <v>242</v>
      </c>
      <c r="AA78" s="75" t="s">
        <v>284</v>
      </c>
      <c r="AB78" s="75" t="s">
        <v>284</v>
      </c>
      <c r="AC78" s="75" t="s">
        <v>284</v>
      </c>
      <c r="AD78" s="189"/>
      <c r="AE78" s="133" t="s">
        <v>242</v>
      </c>
      <c r="AF78" s="75" t="s">
        <v>284</v>
      </c>
      <c r="AG78" s="75" t="s">
        <v>284</v>
      </c>
      <c r="AH78" s="178" t="s">
        <v>284</v>
      </c>
    </row>
    <row r="79" spans="1:34">
      <c r="A79">
        <v>2022</v>
      </c>
      <c r="C79" s="183">
        <f>Fig1_future_Kaya!J36*10^6</f>
        <v>871240571894.19678</v>
      </c>
      <c r="D79" s="101">
        <f>(C79*$B$111*$B$112)/10^15</f>
        <v>1.3683119236852013</v>
      </c>
      <c r="E79" s="184"/>
      <c r="F79" s="192">
        <f>Fig1_future_Kaya!K36*10^6</f>
        <v>867894656955.89612</v>
      </c>
      <c r="G79" s="101">
        <f>(F79*$B$111*$B$112)/10^15</f>
        <v>1.3630570544178535</v>
      </c>
      <c r="H79" s="184"/>
      <c r="I79" s="192">
        <f>Fig1_future_Kaya!L36*10^6</f>
        <v>797492519145.75732</v>
      </c>
      <c r="J79" s="103">
        <f>(I79*$B$111*$B$112)/10^15</f>
        <v>1.2524881854668788</v>
      </c>
      <c r="L79" s="126">
        <f>Fig1_future_Kaya!R36</f>
        <v>12.449061014681941</v>
      </c>
      <c r="M79" s="101">
        <f>(C79*L79*$B$111)/10^15</f>
        <v>1.354628804448349</v>
      </c>
      <c r="N79" s="184"/>
      <c r="O79" s="101">
        <f>Fig1_future_Kaya!S36</f>
        <v>12.323312923624549</v>
      </c>
      <c r="P79" s="101">
        <f>(F79*O79*$B$111)/10^15</f>
        <v>1.3357959133294965</v>
      </c>
      <c r="Q79" s="184"/>
      <c r="R79" s="101">
        <f>Fig1_future_Kaya!T36</f>
        <v>11.654009920430333</v>
      </c>
      <c r="S79" s="103">
        <f>(I79*R79*$B$111)/10^15</f>
        <v>1.1607738627213611</v>
      </c>
      <c r="U79" s="126">
        <f>Fig1_future_Kaya!AE36</f>
        <v>124.89516301119976</v>
      </c>
      <c r="V79" s="101">
        <f>(C79*L79*U79)/10^15</f>
        <v>1.354628804448349</v>
      </c>
      <c r="W79" s="101">
        <f>(F79*O79*U79)/10^15</f>
        <v>1.3357959133294965</v>
      </c>
      <c r="X79" s="101">
        <f>(I79*R79*U79)/10^15</f>
        <v>1.1607738627213611</v>
      </c>
      <c r="Y79" s="184"/>
      <c r="Z79" s="101">
        <f>Fig1_future_Kaya!AF36</f>
        <v>124.89516301119976</v>
      </c>
      <c r="AA79" s="101">
        <f>(C79*L79*Z79)/10^15</f>
        <v>1.354628804448349</v>
      </c>
      <c r="AB79" s="101">
        <f>(F79*O79*Z79)/10^15</f>
        <v>1.3357959133294965</v>
      </c>
      <c r="AC79" s="101">
        <f>(I79*R79*Z79)/10^15</f>
        <v>1.1607738627213611</v>
      </c>
      <c r="AD79" s="184"/>
      <c r="AE79" s="101">
        <f>Fig1_future_Kaya!AG36</f>
        <v>124.89516301119976</v>
      </c>
      <c r="AF79" s="101">
        <f>(C79*L79*AE79)/10^15</f>
        <v>1.354628804448349</v>
      </c>
      <c r="AG79" s="101">
        <f>(F79*O79*AE79)/10^15</f>
        <v>1.3357959133294965</v>
      </c>
      <c r="AH79" s="103">
        <f>(I79*R79*AE79)/10^15</f>
        <v>1.1607738627213611</v>
      </c>
    </row>
    <row r="80" spans="1:34">
      <c r="A80">
        <v>2023</v>
      </c>
      <c r="C80" s="183">
        <f>Fig1_future_Kaya!J37*10^6</f>
        <v>956697638809.17065</v>
      </c>
      <c r="D80" s="101">
        <f t="shared" ref="D80:D107" si="0">(C80*$B$111*$B$112)/10^15</f>
        <v>1.5025250530952525</v>
      </c>
      <c r="E80" s="184"/>
      <c r="F80" s="192">
        <f>Fig1_future_Kaya!K37*10^6</f>
        <v>949784978546.64185</v>
      </c>
      <c r="G80" s="101">
        <f t="shared" ref="G80:G106" si="1">(F80*$B$111*$B$112)/10^15</f>
        <v>1.4916684931889128</v>
      </c>
      <c r="H80" s="184"/>
      <c r="I80" s="192">
        <f>Fig1_future_Kaya!L37*10^6</f>
        <v>808819143033.62878</v>
      </c>
      <c r="J80" s="103">
        <f t="shared" ref="J80:J106" si="2">(I80*$B$111*$B$112)/10^15</f>
        <v>1.2702770201709108</v>
      </c>
      <c r="L80" s="126">
        <f>Fig1_future_Kaya!R37</f>
        <v>12.324570404535121</v>
      </c>
      <c r="M80" s="101">
        <f t="shared" ref="M80:M106" si="3">(C80*L80*$B$111)/10^15</f>
        <v>1.4726248045386567</v>
      </c>
      <c r="N80" s="184"/>
      <c r="O80" s="101">
        <f>Fig1_future_Kaya!S37</f>
        <v>12.076846665152058</v>
      </c>
      <c r="P80" s="101">
        <f t="shared" ref="P80:P107" si="4">(F80*O80*$B$111)/10^15</f>
        <v>1.4325984208586315</v>
      </c>
      <c r="Q80" s="184"/>
      <c r="R80" s="101">
        <f>Fig1_future_Kaya!T37</f>
        <v>10.733210735121331</v>
      </c>
      <c r="S80" s="103">
        <f t="shared" ref="S80:S107" si="5">(I80*R80*$B$111)/10^15</f>
        <v>1.0842431749722166</v>
      </c>
      <c r="U80" s="126">
        <f>Fig1_future_Kaya!AE37</f>
        <v>124.89516301119976</v>
      </c>
      <c r="V80" s="101">
        <f t="shared" ref="V80:V106" si="6">(L80*U80*C80)/10^15</f>
        <v>1.4726248045386567</v>
      </c>
      <c r="W80" s="101">
        <f t="shared" ref="W80:W107" si="7">(F80*O80*U80)/10^15</f>
        <v>1.4325984208586315</v>
      </c>
      <c r="X80" s="101">
        <f t="shared" ref="X80:X107" si="8">(I80*R80*U80)/10^15</f>
        <v>1.0842431749722166</v>
      </c>
      <c r="Y80" s="184"/>
      <c r="Z80" s="101">
        <f>Fig1_future_Kaya!AF37</f>
        <v>124.40537805821467</v>
      </c>
      <c r="AA80" s="101">
        <f t="shared" ref="AA80:AA106" si="9">(C80*L80*Z80)/10^15</f>
        <v>1.4668498053051719</v>
      </c>
      <c r="AB80" s="101">
        <f t="shared" ref="AB80:AB106" si="10">(F80*O80*Z80)/10^15</f>
        <v>1.4269803878356568</v>
      </c>
      <c r="AC80" s="101">
        <f t="shared" ref="AC80:AC106" si="11">(I80*R80*Z80)/10^15</f>
        <v>1.0799912409527177</v>
      </c>
      <c r="AD80" s="184"/>
      <c r="AE80" s="101">
        <f>Fig1_future_Kaya!AG37</f>
        <v>122.2713150487796</v>
      </c>
      <c r="AF80" s="101">
        <f t="shared" ref="AF80:AF107" si="12">(C80*L80*AE80)/10^15</f>
        <v>1.4416873086449877</v>
      </c>
      <c r="AG80" s="101">
        <f t="shared" ref="AG80:AG107" si="13">(F80*O80*AE80)/10^15</f>
        <v>1.4025018153784083</v>
      </c>
      <c r="AH80" s="103">
        <f t="shared" ref="AH80:AH107" si="14">(I80*R80*AE80)/10^15</f>
        <v>1.0614649570106154</v>
      </c>
    </row>
    <row r="81" spans="1:34">
      <c r="A81">
        <v>2024</v>
      </c>
      <c r="C81" s="183">
        <f>Fig1_future_Kaya!J38*10^6</f>
        <v>1042552391613.954</v>
      </c>
      <c r="D81" s="101">
        <f t="shared" si="0"/>
        <v>1.6373627612525086</v>
      </c>
      <c r="E81" s="184"/>
      <c r="F81" s="192">
        <f>Fig1_future_Kaya!K38*10^6</f>
        <v>1031841060587.3335</v>
      </c>
      <c r="G81" s="101">
        <f t="shared" si="1"/>
        <v>1.6205402641890407</v>
      </c>
      <c r="H81" s="184"/>
      <c r="I81" s="192">
        <f>Fig1_future_Kaya!L38*10^6</f>
        <v>820145766921.50049</v>
      </c>
      <c r="J81" s="103">
        <f t="shared" si="2"/>
        <v>1.2880658548749433</v>
      </c>
      <c r="L81" s="126">
        <f>Fig1_future_Kaya!R38</f>
        <v>12.201324700489771</v>
      </c>
      <c r="M81" s="101">
        <f t="shared" si="3"/>
        <v>1.5887314498805476</v>
      </c>
      <c r="N81" s="184"/>
      <c r="O81" s="101">
        <f>Fig1_future_Kaya!S38</f>
        <v>11.835309731849016</v>
      </c>
      <c r="P81" s="101">
        <f t="shared" si="4"/>
        <v>1.5252395323326116</v>
      </c>
      <c r="Q81" s="184"/>
      <c r="R81" s="101">
        <f>Fig1_future_Kaya!T38</f>
        <v>9.8124115498123281</v>
      </c>
      <c r="S81" s="103">
        <f t="shared" si="5"/>
        <v>1.0051072875154132</v>
      </c>
      <c r="U81" s="126">
        <f>Fig1_future_Kaya!AE38</f>
        <v>124.89516301119976</v>
      </c>
      <c r="V81" s="101">
        <f t="shared" si="6"/>
        <v>1.5887314498805478</v>
      </c>
      <c r="W81" s="101">
        <f t="shared" si="7"/>
        <v>1.5252395323326116</v>
      </c>
      <c r="X81" s="101">
        <f t="shared" si="8"/>
        <v>1.0051072875154132</v>
      </c>
      <c r="Y81" s="184"/>
      <c r="Z81" s="101">
        <f>Fig1_future_Kaya!AF38</f>
        <v>123.91559310522956</v>
      </c>
      <c r="AA81" s="101">
        <f t="shared" si="9"/>
        <v>1.5762708110579551</v>
      </c>
      <c r="AB81" s="101">
        <f t="shared" si="10"/>
        <v>1.5132768693339242</v>
      </c>
      <c r="AC81" s="101">
        <f t="shared" si="11"/>
        <v>0.99722409310352766</v>
      </c>
      <c r="AD81" s="184"/>
      <c r="AE81" s="101">
        <f>Fig1_future_Kaya!AG38</f>
        <v>119.64746708635944</v>
      </c>
      <c r="AF81" s="101">
        <f t="shared" si="12"/>
        <v>1.5219780276166592</v>
      </c>
      <c r="AG81" s="101">
        <f t="shared" si="13"/>
        <v>1.4611538376967874</v>
      </c>
      <c r="AH81" s="103">
        <f t="shared" si="14"/>
        <v>0.96287588888031184</v>
      </c>
    </row>
    <row r="82" spans="1:34">
      <c r="A82">
        <v>2025</v>
      </c>
      <c r="C82" s="183">
        <f>Fig1_future_Kaya!J39*10^6</f>
        <v>1084254487278.5122</v>
      </c>
      <c r="D82" s="101">
        <f t="shared" si="0"/>
        <v>1.7028572717026087</v>
      </c>
      <c r="E82" s="184"/>
      <c r="F82" s="192">
        <f>Fig1_future_Kaya!K39*10^6</f>
        <v>1060990078352.9128</v>
      </c>
      <c r="G82" s="101">
        <f t="shared" si="1"/>
        <v>1.6663197536423828</v>
      </c>
      <c r="H82" s="184"/>
      <c r="I82" s="192">
        <f>Fig1_future_Kaya!L39*10^6</f>
        <v>831472390809.37207</v>
      </c>
      <c r="J82" s="103">
        <f t="shared" si="2"/>
        <v>1.3058546895789755</v>
      </c>
      <c r="L82" s="126">
        <f>Fig1_future_Kaya!R39</f>
        <v>12.079311453484873</v>
      </c>
      <c r="M82" s="101">
        <f t="shared" si="3"/>
        <v>1.6357579007970118</v>
      </c>
      <c r="N82" s="184"/>
      <c r="O82" s="101">
        <f>Fig1_future_Kaya!S39</f>
        <v>11.598603537212036</v>
      </c>
      <c r="P82" s="101">
        <f t="shared" si="4"/>
        <v>1.5369602851387776</v>
      </c>
      <c r="Q82" s="184"/>
      <c r="R82" s="101">
        <f>Fig1_future_Kaya!T39</f>
        <v>8.8916123645033256</v>
      </c>
      <c r="S82" s="103">
        <f t="shared" si="5"/>
        <v>0.92336620035095085</v>
      </c>
      <c r="U82" s="126">
        <f>Fig1_future_Kaya!AE39</f>
        <v>124.89516301119976</v>
      </c>
      <c r="V82" s="101">
        <f t="shared" si="6"/>
        <v>1.6357579007970118</v>
      </c>
      <c r="W82" s="101">
        <f t="shared" si="7"/>
        <v>1.5369602851387776</v>
      </c>
      <c r="X82" s="101">
        <f t="shared" si="8"/>
        <v>0.92336620035095085</v>
      </c>
      <c r="Y82" s="184"/>
      <c r="Z82" s="101">
        <f>Fig1_future_Kaya!AF39</f>
        <v>123.09305217346602</v>
      </c>
      <c r="AA82" s="101">
        <f t="shared" si="9"/>
        <v>1.6121555692906224</v>
      </c>
      <c r="AB82" s="101">
        <f t="shared" si="10"/>
        <v>1.5147835032663961</v>
      </c>
      <c r="AC82" s="101">
        <f t="shared" si="11"/>
        <v>0.91004296030921883</v>
      </c>
      <c r="AD82" s="184"/>
      <c r="AE82" s="101">
        <f>Fig1_future_Kaya!AG39</f>
        <v>115.81017421179257</v>
      </c>
      <c r="AF82" s="101">
        <f t="shared" si="12"/>
        <v>1.5167713696216607</v>
      </c>
      <c r="AG82" s="101">
        <f t="shared" si="13"/>
        <v>1.4251603832132935</v>
      </c>
      <c r="AH82" s="103">
        <f t="shared" si="14"/>
        <v>0.85619969537439466</v>
      </c>
    </row>
    <row r="83" spans="1:34">
      <c r="A83">
        <v>2026</v>
      </c>
      <c r="C83" s="183">
        <f>Fig1_future_Kaya!J40*10^6</f>
        <v>1127624666769.6528</v>
      </c>
      <c r="D83" s="101">
        <f t="shared" si="0"/>
        <v>1.7709715625707134</v>
      </c>
      <c r="E83" s="184"/>
      <c r="F83" s="192">
        <f>Fig1_future_Kaya!K40*10^6</f>
        <v>1090964283935.9156</v>
      </c>
      <c r="G83" s="101">
        <f t="shared" si="1"/>
        <v>1.713395227656459</v>
      </c>
      <c r="H83" s="184"/>
      <c r="I83" s="192">
        <f>Fig1_future_Kaya!L40*10^6</f>
        <v>842799014697.24341</v>
      </c>
      <c r="J83" s="103">
        <f t="shared" si="2"/>
        <v>1.3236435242830069</v>
      </c>
      <c r="L83" s="126">
        <f>Fig1_future_Kaya!R40</f>
        <v>11.958518338950025</v>
      </c>
      <c r="M83" s="101">
        <f t="shared" si="3"/>
        <v>1.6841763346606038</v>
      </c>
      <c r="N83" s="184"/>
      <c r="O83" s="101">
        <f>Fig1_future_Kaya!S40</f>
        <v>11.366631466467794</v>
      </c>
      <c r="P83" s="101">
        <f t="shared" si="4"/>
        <v>1.5487735794165436</v>
      </c>
      <c r="Q83" s="184"/>
      <c r="R83" s="101">
        <f>Fig1_future_Kaya!T40</f>
        <v>8.6854300488046974</v>
      </c>
      <c r="S83" s="103">
        <f t="shared" si="5"/>
        <v>0.91424157162483211</v>
      </c>
      <c r="U83" s="126">
        <f>Fig1_future_Kaya!AE40</f>
        <v>124.89516301119976</v>
      </c>
      <c r="V83" s="101">
        <f t="shared" si="6"/>
        <v>1.6841763346606038</v>
      </c>
      <c r="W83" s="101">
        <f t="shared" si="7"/>
        <v>1.5487735794165436</v>
      </c>
      <c r="X83" s="101">
        <f t="shared" si="8"/>
        <v>0.91424157162483211</v>
      </c>
      <c r="Y83" s="184"/>
      <c r="Z83" s="101">
        <f>Fig1_future_Kaya!AF40</f>
        <v>122.2926379234697</v>
      </c>
      <c r="AA83" s="101">
        <f t="shared" si="9"/>
        <v>1.6490820118906946</v>
      </c>
      <c r="AB83" s="101">
        <f t="shared" si="10"/>
        <v>1.5165007355492148</v>
      </c>
      <c r="AC83" s="101">
        <f t="shared" si="11"/>
        <v>0.89519090089400477</v>
      </c>
      <c r="AD83" s="184"/>
      <c r="AE83" s="101">
        <f>Fig1_future_Kaya!AG40</f>
        <v>112.02729590727715</v>
      </c>
      <c r="AF83" s="101">
        <f t="shared" si="12"/>
        <v>1.510656746459732</v>
      </c>
      <c r="AG83" s="101">
        <f t="shared" si="13"/>
        <v>1.3892044486871857</v>
      </c>
      <c r="AH83" s="103">
        <f t="shared" si="14"/>
        <v>0.82004785938719538</v>
      </c>
    </row>
    <row r="84" spans="1:34">
      <c r="A84">
        <v>2027</v>
      </c>
      <c r="C84" s="183">
        <f>Fig1_future_Kaya!J41*10^6</f>
        <v>1172729653440.4392</v>
      </c>
      <c r="D84" s="101">
        <f t="shared" si="0"/>
        <v>1.8418104250735423</v>
      </c>
      <c r="E84" s="184"/>
      <c r="F84" s="192">
        <f>Fig1_future_Kaya!K41*10^6</f>
        <v>1121787084306.9055</v>
      </c>
      <c r="G84" s="101">
        <f t="shared" si="1"/>
        <v>1.7618034476470632</v>
      </c>
      <c r="H84" s="184"/>
      <c r="I84" s="192">
        <f>Fig1_future_Kaya!L41*10^6</f>
        <v>854125638585.11511</v>
      </c>
      <c r="J84" s="103">
        <f t="shared" si="2"/>
        <v>1.3414323589870396</v>
      </c>
      <c r="L84" s="126">
        <f>Fig1_future_Kaya!R41</f>
        <v>11.838933155560525</v>
      </c>
      <c r="M84" s="101">
        <f t="shared" si="3"/>
        <v>1.734027954166558</v>
      </c>
      <c r="N84" s="184"/>
      <c r="O84" s="101">
        <f>Fig1_future_Kaya!S41</f>
        <v>11.139298837138439</v>
      </c>
      <c r="P84" s="101">
        <f t="shared" si="4"/>
        <v>1.5606801606780778</v>
      </c>
      <c r="Q84" s="184"/>
      <c r="R84" s="101">
        <f>Fig1_future_Kaya!T41</f>
        <v>8.4792477331060692</v>
      </c>
      <c r="S84" s="103">
        <f t="shared" si="5"/>
        <v>0.90453359517517928</v>
      </c>
      <c r="U84" s="126">
        <f>Fig1_future_Kaya!AE41</f>
        <v>124.89516301119976</v>
      </c>
      <c r="V84" s="101">
        <f t="shared" si="6"/>
        <v>1.734027954166558</v>
      </c>
      <c r="W84" s="101">
        <f t="shared" si="7"/>
        <v>1.5606801606780778</v>
      </c>
      <c r="X84" s="101">
        <f t="shared" si="8"/>
        <v>0.90453359517517928</v>
      </c>
      <c r="Y84" s="184"/>
      <c r="Z84" s="101">
        <f>Fig1_future_Kaya!AF41</f>
        <v>121.49475895712123</v>
      </c>
      <c r="AA84" s="101">
        <f t="shared" si="9"/>
        <v>1.6868171932125513</v>
      </c>
      <c r="AB84" s="101">
        <f t="shared" si="10"/>
        <v>1.5181889783332998</v>
      </c>
      <c r="AC84" s="101">
        <f t="shared" si="11"/>
        <v>0.87990670306881247</v>
      </c>
      <c r="AD84" s="184"/>
      <c r="AE84" s="101">
        <f>Fig1_future_Kaya!AG41</f>
        <v>108.29883217281312</v>
      </c>
      <c r="AF84" s="101">
        <f t="shared" si="12"/>
        <v>1.5036066879100074</v>
      </c>
      <c r="AG84" s="101">
        <f t="shared" si="13"/>
        <v>1.3532937122757718</v>
      </c>
      <c r="AH84" s="103">
        <f t="shared" si="14"/>
        <v>0.78433727661465658</v>
      </c>
    </row>
    <row r="85" spans="1:34">
      <c r="A85">
        <v>2028</v>
      </c>
      <c r="C85" s="183">
        <f>Fig1_future_Kaya!J42*10^6</f>
        <v>1219638839578.0566</v>
      </c>
      <c r="D85" s="101">
        <f t="shared" si="0"/>
        <v>1.915482842076484</v>
      </c>
      <c r="E85" s="184"/>
      <c r="F85" s="192">
        <f>Fig1_future_Kaya!K42*10^6</f>
        <v>1153482551628.2122</v>
      </c>
      <c r="G85" s="101">
        <f t="shared" si="1"/>
        <v>1.8115822197354976</v>
      </c>
      <c r="H85" s="184"/>
      <c r="I85" s="192">
        <f>Fig1_future_Kaya!L42*10^6</f>
        <v>865452262472.98669</v>
      </c>
      <c r="J85" s="103">
        <f t="shared" si="2"/>
        <v>1.3592211936910719</v>
      </c>
      <c r="L85" s="126">
        <f>Fig1_future_Kaya!R42</f>
        <v>11.72054382400492</v>
      </c>
      <c r="M85" s="101">
        <f t="shared" si="3"/>
        <v>1.785355181609888</v>
      </c>
      <c r="N85" s="184"/>
      <c r="O85" s="101">
        <f>Fig1_future_Kaya!S42</f>
        <v>10.91651286039567</v>
      </c>
      <c r="P85" s="101">
        <f t="shared" si="4"/>
        <v>1.5726807805281555</v>
      </c>
      <c r="Q85" s="184"/>
      <c r="R85" s="101">
        <f>Fig1_future_Kaya!T42</f>
        <v>8.2730654174074409</v>
      </c>
      <c r="S85" s="103">
        <f t="shared" si="5"/>
        <v>0.8942422710019915</v>
      </c>
      <c r="U85" s="126">
        <f>Fig1_future_Kaya!AE42</f>
        <v>124.89516301119976</v>
      </c>
      <c r="V85" s="101">
        <f t="shared" si="6"/>
        <v>1.785355181609888</v>
      </c>
      <c r="W85" s="101">
        <f t="shared" si="7"/>
        <v>1.5726807805281555</v>
      </c>
      <c r="X85" s="101">
        <f t="shared" si="8"/>
        <v>0.8942422710019915</v>
      </c>
      <c r="Y85" s="184"/>
      <c r="Z85" s="101">
        <f>Fig1_future_Kaya!AF42</f>
        <v>120.69941527442059</v>
      </c>
      <c r="AA85" s="101">
        <f t="shared" si="9"/>
        <v>1.7253776790230591</v>
      </c>
      <c r="AB85" s="101">
        <f t="shared" si="10"/>
        <v>1.519847895198678</v>
      </c>
      <c r="AC85" s="101">
        <f t="shared" si="11"/>
        <v>0.86420095559610666</v>
      </c>
      <c r="AD85" s="184"/>
      <c r="AE85" s="101">
        <f>Fig1_future_Kaya!AG42</f>
        <v>104.62478300840054</v>
      </c>
      <c r="AF85" s="101">
        <f t="shared" si="12"/>
        <v>1.4955935359330752</v>
      </c>
      <c r="AG85" s="101">
        <f t="shared" si="13"/>
        <v>1.3174360114289239</v>
      </c>
      <c r="AH85" s="103">
        <f t="shared" si="14"/>
        <v>0.74910750188246167</v>
      </c>
    </row>
    <row r="86" spans="1:34">
      <c r="A86">
        <v>2029</v>
      </c>
      <c r="C86" s="183">
        <f>Fig1_future_Kaya!J43*10^6</f>
        <v>1268424393161.179</v>
      </c>
      <c r="D86" s="101">
        <f t="shared" si="0"/>
        <v>1.9921021557595431</v>
      </c>
      <c r="E86" s="184"/>
      <c r="F86" s="192">
        <f>Fig1_future_Kaya!K43*10^6</f>
        <v>1186075442190.6235</v>
      </c>
      <c r="G86" s="101">
        <f t="shared" si="1"/>
        <v>1.8627704244892704</v>
      </c>
      <c r="H86" s="184"/>
      <c r="I86" s="192">
        <f>Fig1_future_Kaya!L43*10^6</f>
        <v>876778886360.85828</v>
      </c>
      <c r="J86" s="103">
        <f t="shared" si="2"/>
        <v>1.3770100283951037</v>
      </c>
      <c r="L86" s="126">
        <f>Fig1_future_Kaya!R43</f>
        <v>11.603338385764872</v>
      </c>
      <c r="M86" s="101">
        <f t="shared" si="3"/>
        <v>1.8382016949855406</v>
      </c>
      <c r="N86" s="184"/>
      <c r="O86" s="101">
        <f>Fig1_future_Kaya!S43</f>
        <v>10.698182603187757</v>
      </c>
      <c r="P86" s="101">
        <f t="shared" si="4"/>
        <v>1.5847761967144476</v>
      </c>
      <c r="Q86" s="184"/>
      <c r="R86" s="101">
        <f>Fig1_future_Kaya!T43</f>
        <v>8.0668831017088127</v>
      </c>
      <c r="S86" s="103">
        <f t="shared" si="5"/>
        <v>0.88336759910526941</v>
      </c>
      <c r="U86" s="126">
        <f>Fig1_future_Kaya!AE43</f>
        <v>124.89516301119976</v>
      </c>
      <c r="V86" s="101">
        <f t="shared" si="6"/>
        <v>1.8382016949855406</v>
      </c>
      <c r="W86" s="101">
        <f t="shared" si="7"/>
        <v>1.5847761967144476</v>
      </c>
      <c r="X86" s="101">
        <f t="shared" si="8"/>
        <v>0.88336759910526941</v>
      </c>
      <c r="Y86" s="184"/>
      <c r="Z86" s="101">
        <f>Fig1_future_Kaya!AF43</f>
        <v>119.9066068753678</v>
      </c>
      <c r="AA86" s="101">
        <f t="shared" si="9"/>
        <v>1.7647803380383984</v>
      </c>
      <c r="AB86" s="101">
        <f t="shared" si="10"/>
        <v>1.5214771479007527</v>
      </c>
      <c r="AC86" s="101">
        <f t="shared" si="11"/>
        <v>0.84808417618907062</v>
      </c>
      <c r="AD86" s="184"/>
      <c r="AE86" s="101">
        <f>Fig1_future_Kaya!AG43</f>
        <v>101.00514841403935</v>
      </c>
      <c r="AF86" s="101">
        <f t="shared" si="12"/>
        <v>1.4865894766501391</v>
      </c>
      <c r="AG86" s="101">
        <f t="shared" si="13"/>
        <v>1.2816393452949459</v>
      </c>
      <c r="AH86" s="103">
        <f t="shared" si="14"/>
        <v>0.7143965650917985</v>
      </c>
    </row>
    <row r="87" spans="1:34">
      <c r="A87">
        <v>2030</v>
      </c>
      <c r="C87" s="183">
        <f>Fig1_future_Kaya!J44*10^6</f>
        <v>1319161368887.6262</v>
      </c>
      <c r="D87" s="101">
        <f t="shared" si="0"/>
        <v>2.0717862419899253</v>
      </c>
      <c r="E87" s="184"/>
      <c r="F87" s="192">
        <f>Fig1_future_Kaya!K44*10^6</f>
        <v>1219591215890.0398</v>
      </c>
      <c r="G87" s="101">
        <f t="shared" si="1"/>
        <v>1.9154080475108202</v>
      </c>
      <c r="H87" s="184"/>
      <c r="I87" s="192">
        <f>Fig1_future_Kaya!L44*10^6</f>
        <v>888105510248.72961</v>
      </c>
      <c r="J87" s="103">
        <f t="shared" si="2"/>
        <v>1.3947988630991357</v>
      </c>
      <c r="L87" s="126">
        <f>Fig1_future_Kaya!R44</f>
        <v>11.487305001907222</v>
      </c>
      <c r="M87" s="101">
        <f t="shared" si="3"/>
        <v>1.892612465157113</v>
      </c>
      <c r="N87" s="184"/>
      <c r="O87" s="101">
        <f>Fig1_future_Kaya!S44</f>
        <v>10.484218951124001</v>
      </c>
      <c r="P87" s="101">
        <f t="shared" si="4"/>
        <v>1.596967173178226</v>
      </c>
      <c r="Q87" s="184"/>
      <c r="R87" s="101">
        <f>Fig1_future_Kaya!T44</f>
        <v>7.8607007860101863</v>
      </c>
      <c r="S87" s="103">
        <f t="shared" si="5"/>
        <v>0.87190957948501235</v>
      </c>
      <c r="U87" s="126">
        <f>Fig1_future_Kaya!AE44</f>
        <v>124.89516301119976</v>
      </c>
      <c r="V87" s="101">
        <f t="shared" si="6"/>
        <v>1.8926124651571128</v>
      </c>
      <c r="W87" s="101">
        <f t="shared" si="7"/>
        <v>1.596967173178226</v>
      </c>
      <c r="X87" s="101">
        <f t="shared" si="8"/>
        <v>0.87190957948501235</v>
      </c>
      <c r="Y87" s="184"/>
      <c r="Z87" s="101">
        <f>Fig1_future_Kaya!AF44</f>
        <v>119.11633375996283</v>
      </c>
      <c r="AA87" s="101">
        <f t="shared" si="9"/>
        <v>1.8050423462572738</v>
      </c>
      <c r="AB87" s="101">
        <f t="shared" si="10"/>
        <v>1.5230763963768865</v>
      </c>
      <c r="AC87" s="101">
        <f t="shared" si="11"/>
        <v>0.83156681151160539</v>
      </c>
      <c r="AD87" s="184"/>
      <c r="AE87" s="101">
        <f>Fig1_future_Kaya!AG44</f>
        <v>97.439928389729616</v>
      </c>
      <c r="AF87" s="101">
        <f t="shared" si="12"/>
        <v>1.4765665749431907</v>
      </c>
      <c r="AG87" s="101">
        <f t="shared" si="13"/>
        <v>1.2459118771579758</v>
      </c>
      <c r="AH87" s="103">
        <f t="shared" si="14"/>
        <v>0.68024097121936045</v>
      </c>
    </row>
    <row r="88" spans="1:34">
      <c r="A88">
        <v>2031</v>
      </c>
      <c r="C88" s="183">
        <f>Fig1_future_Kaya!J45*10^6</f>
        <v>1371927823643.1313</v>
      </c>
      <c r="D88" s="101">
        <f t="shared" si="0"/>
        <v>2.1546576916695224</v>
      </c>
      <c r="E88" s="184"/>
      <c r="F88" s="192">
        <f>Fig1_future_Kaya!K45*10^6</f>
        <v>1254056056259.5122</v>
      </c>
      <c r="G88" s="101">
        <f t="shared" si="1"/>
        <v>1.9695362108984902</v>
      </c>
      <c r="H88" s="184"/>
      <c r="I88" s="192">
        <f>Fig1_future_Kaya!L45*10^6</f>
        <v>899432134136.60132</v>
      </c>
      <c r="J88" s="103">
        <f t="shared" si="2"/>
        <v>1.412587697803168</v>
      </c>
      <c r="L88" s="126">
        <f>Fig1_future_Kaya!R45</f>
        <v>11.372431951888149</v>
      </c>
      <c r="M88" s="101">
        <f t="shared" si="3"/>
        <v>1.9486337941257634</v>
      </c>
      <c r="N88" s="184"/>
      <c r="O88" s="101">
        <f>Fig1_future_Kaya!S45</f>
        <v>10.274534572101521</v>
      </c>
      <c r="P88" s="101">
        <f t="shared" si="4"/>
        <v>1.6092544801054927</v>
      </c>
      <c r="Q88" s="184"/>
      <c r="R88" s="101">
        <f>Fig1_future_Kaya!T45</f>
        <v>7.6545184703115581</v>
      </c>
      <c r="S88" s="103">
        <f t="shared" si="5"/>
        <v>0.85986821214122111</v>
      </c>
      <c r="U88" s="126">
        <f>Fig1_future_Kaya!AE45</f>
        <v>124.89516301119976</v>
      </c>
      <c r="V88" s="101">
        <f t="shared" si="6"/>
        <v>1.9486337941257634</v>
      </c>
      <c r="W88" s="101">
        <f t="shared" si="7"/>
        <v>1.6092544801054927</v>
      </c>
      <c r="X88" s="101">
        <f t="shared" si="8"/>
        <v>0.85986821214122111</v>
      </c>
      <c r="Y88" s="184"/>
      <c r="Z88" s="101">
        <f>Fig1_future_Kaya!AF45</f>
        <v>117.08879826131661</v>
      </c>
      <c r="AA88" s="101">
        <f t="shared" si="9"/>
        <v>1.8268376749315371</v>
      </c>
      <c r="AB88" s="101">
        <f t="shared" si="10"/>
        <v>1.5086707013248803</v>
      </c>
      <c r="AC88" s="101">
        <f t="shared" si="11"/>
        <v>0.80612357752953212</v>
      </c>
      <c r="AD88" s="184"/>
      <c r="AE88" s="101">
        <f>Fig1_future_Kaya!AG45</f>
        <v>93.929122935471284</v>
      </c>
      <c r="AF88" s="101">
        <f t="shared" si="12"/>
        <v>1.465496811820002</v>
      </c>
      <c r="AG88" s="101">
        <f t="shared" si="13"/>
        <v>1.2102619369072936</v>
      </c>
      <c r="AH88" s="103">
        <f t="shared" si="14"/>
        <v>0.64667570031734578</v>
      </c>
    </row>
    <row r="89" spans="1:34">
      <c r="A89">
        <v>2032</v>
      </c>
      <c r="C89" s="183">
        <f>Fig1_future_Kaya!J46*10^6</f>
        <v>1426804936588.8569</v>
      </c>
      <c r="D89" s="101">
        <f t="shared" si="0"/>
        <v>2.2408439993363038</v>
      </c>
      <c r="E89" s="184"/>
      <c r="F89" s="192">
        <f>Fig1_future_Kaya!K46*10^6</f>
        <v>1289496891072.5242</v>
      </c>
      <c r="G89" s="101">
        <f t="shared" si="1"/>
        <v>2.0251972056046581</v>
      </c>
      <c r="H89" s="184"/>
      <c r="I89" s="192">
        <f>Fig1_future_Kaya!L46*10^6</f>
        <v>910758758024.47278</v>
      </c>
      <c r="J89" s="103">
        <f t="shared" si="2"/>
        <v>1.4303765325072</v>
      </c>
      <c r="L89" s="126">
        <f>Fig1_future_Kaya!R46</f>
        <v>11.258707632369267</v>
      </c>
      <c r="M89" s="101">
        <f t="shared" si="3"/>
        <v>2.0063133544318861</v>
      </c>
      <c r="N89" s="184"/>
      <c r="O89" s="101">
        <f>Fig1_future_Kaya!S46</f>
        <v>10.069043880659491</v>
      </c>
      <c r="P89" s="101">
        <f t="shared" si="4"/>
        <v>1.6216388939785302</v>
      </c>
      <c r="Q89" s="184"/>
      <c r="R89" s="101">
        <f>Fig1_future_Kaya!T46</f>
        <v>7.4483361546129299</v>
      </c>
      <c r="S89" s="103">
        <f t="shared" si="5"/>
        <v>0.84724349707389512</v>
      </c>
      <c r="U89" s="126">
        <f>Fig1_future_Kaya!AE46</f>
        <v>124.89516301119976</v>
      </c>
      <c r="V89" s="101">
        <f t="shared" si="6"/>
        <v>2.0063133544318861</v>
      </c>
      <c r="W89" s="101">
        <f t="shared" si="7"/>
        <v>1.6216388939785302</v>
      </c>
      <c r="X89" s="101">
        <f t="shared" si="8"/>
        <v>0.84724349707389512</v>
      </c>
      <c r="Y89" s="184"/>
      <c r="Z89" s="101">
        <f>Fig1_future_Kaya!AF46</f>
        <v>115.07061162112177</v>
      </c>
      <c r="AA89" s="101">
        <f t="shared" si="9"/>
        <v>1.8484919610329422</v>
      </c>
      <c r="AB89" s="101">
        <f t="shared" si="10"/>
        <v>1.4940769110648076</v>
      </c>
      <c r="AC89" s="101">
        <f t="shared" si="11"/>
        <v>0.78059730296815988</v>
      </c>
      <c r="AD89" s="184"/>
      <c r="AE89" s="101">
        <f>Fig1_future_Kaya!AG46</f>
        <v>90.472732051264387</v>
      </c>
      <c r="AF89" s="101">
        <f t="shared" si="12"/>
        <v>1.4533521246944709</v>
      </c>
      <c r="AG89" s="101">
        <f t="shared" si="13"/>
        <v>1.1746980235389257</v>
      </c>
      <c r="AH89" s="103">
        <f t="shared" si="14"/>
        <v>0.61373420751345698</v>
      </c>
    </row>
    <row r="90" spans="1:34">
      <c r="A90">
        <v>2033</v>
      </c>
      <c r="C90" s="183">
        <f>Fig1_future_Kaya!J47*10^6</f>
        <v>1483877134052.4109</v>
      </c>
      <c r="D90" s="101">
        <f t="shared" si="0"/>
        <v>2.3304777593097556</v>
      </c>
      <c r="E90" s="184"/>
      <c r="F90" s="192">
        <f>Fig1_future_Kaya!K47*10^6</f>
        <v>1325941413533.8325</v>
      </c>
      <c r="G90" s="101">
        <f t="shared" si="1"/>
        <v>2.0824345247166489</v>
      </c>
      <c r="H90" s="184"/>
      <c r="I90" s="192">
        <f>Fig1_future_Kaya!L47*10^6</f>
        <v>922085381912.34436</v>
      </c>
      <c r="J90" s="103">
        <f t="shared" si="2"/>
        <v>1.448165367211232</v>
      </c>
      <c r="L90" s="126">
        <f>Fig1_future_Kaya!R47</f>
        <v>11.146120556045574</v>
      </c>
      <c r="M90" s="101">
        <f t="shared" si="3"/>
        <v>2.0657002297230695</v>
      </c>
      <c r="N90" s="184"/>
      <c r="O90" s="101">
        <f>Fig1_future_Kaya!S47</f>
        <v>9.8676630030463013</v>
      </c>
      <c r="P90" s="101">
        <f t="shared" si="4"/>
        <v>1.6341211976278842</v>
      </c>
      <c r="Q90" s="184"/>
      <c r="R90" s="101">
        <f>Fig1_future_Kaya!T47</f>
        <v>7.2421538389143016</v>
      </c>
      <c r="S90" s="103">
        <f t="shared" si="5"/>
        <v>0.83403543428303462</v>
      </c>
      <c r="U90" s="126">
        <f>Fig1_future_Kaya!AE47</f>
        <v>124.89516301119976</v>
      </c>
      <c r="V90" s="101">
        <f t="shared" si="6"/>
        <v>2.0657002297230695</v>
      </c>
      <c r="W90" s="101">
        <f t="shared" si="7"/>
        <v>1.6341211976278842</v>
      </c>
      <c r="X90" s="101">
        <f t="shared" si="8"/>
        <v>0.83403543428303462</v>
      </c>
      <c r="Y90" s="184"/>
      <c r="Z90" s="101">
        <f>Fig1_future_Kaya!AF47</f>
        <v>113.06177383937833</v>
      </c>
      <c r="AA90" s="101">
        <f t="shared" si="9"/>
        <v>1.8699822039702068</v>
      </c>
      <c r="AB90" s="101">
        <f t="shared" si="10"/>
        <v>1.4792938078456261</v>
      </c>
      <c r="AC90" s="101">
        <f t="shared" si="11"/>
        <v>0.75501343183706948</v>
      </c>
      <c r="AD90" s="184"/>
      <c r="AE90" s="101">
        <f>Fig1_future_Kaya!AG47</f>
        <v>87.070755737108882</v>
      </c>
      <c r="AF90" s="101">
        <f t="shared" si="12"/>
        <v>1.4401044507398439</v>
      </c>
      <c r="AG90" s="101">
        <f t="shared" si="13"/>
        <v>1.1392288076899362</v>
      </c>
      <c r="AH90" s="103">
        <f t="shared" si="14"/>
        <v>0.58144842301090205</v>
      </c>
    </row>
    <row r="91" spans="1:34">
      <c r="A91">
        <v>2034</v>
      </c>
      <c r="C91" s="183">
        <f>Fig1_future_Kaya!J48*10^6</f>
        <v>1543232219414.5078</v>
      </c>
      <c r="D91" s="101">
        <f t="shared" si="0"/>
        <v>2.4236968696821459</v>
      </c>
      <c r="E91" s="184"/>
      <c r="F91" s="192">
        <f>Fig1_future_Kaya!K48*10^6</f>
        <v>1363418104074.644</v>
      </c>
      <c r="G91" s="101">
        <f t="shared" si="1"/>
        <v>2.1412928976867733</v>
      </c>
      <c r="H91" s="184"/>
      <c r="I91" s="192">
        <f>Fig1_future_Kaya!L48*10^6</f>
        <v>933412005800.21582</v>
      </c>
      <c r="J91" s="103">
        <f t="shared" si="2"/>
        <v>1.465954201915264</v>
      </c>
      <c r="L91" s="126">
        <f>Fig1_future_Kaya!R48</f>
        <v>11.034659350485118</v>
      </c>
      <c r="M91" s="101">
        <f t="shared" si="3"/>
        <v>2.1268449565228731</v>
      </c>
      <c r="N91" s="184"/>
      <c r="O91" s="101">
        <f>Fig1_future_Kaya!S48</f>
        <v>9.6703097429853759</v>
      </c>
      <c r="P91" s="101">
        <f t="shared" si="4"/>
        <v>1.6467021802847737</v>
      </c>
      <c r="Q91" s="184"/>
      <c r="R91" s="101">
        <f>Fig1_future_Kaya!T48</f>
        <v>7.0359715232156734</v>
      </c>
      <c r="S91" s="103">
        <f t="shared" si="5"/>
        <v>0.82024402376863925</v>
      </c>
      <c r="U91" s="126">
        <f>Fig1_future_Kaya!AE48</f>
        <v>124.89516301119976</v>
      </c>
      <c r="V91" s="101">
        <f t="shared" si="6"/>
        <v>2.1268449565228731</v>
      </c>
      <c r="W91" s="101">
        <f t="shared" si="7"/>
        <v>1.6467021802847737</v>
      </c>
      <c r="X91" s="101">
        <f t="shared" si="8"/>
        <v>0.82024402376863925</v>
      </c>
      <c r="Y91" s="184"/>
      <c r="Z91" s="101">
        <f>Fig1_future_Kaya!AF48</f>
        <v>111.0622849160863</v>
      </c>
      <c r="AA91" s="101">
        <f t="shared" si="9"/>
        <v>1.8912842966745043</v>
      </c>
      <c r="AB91" s="101">
        <f t="shared" si="10"/>
        <v>1.4643201730905144</v>
      </c>
      <c r="AC91" s="101">
        <f t="shared" si="11"/>
        <v>0.72939714615161366</v>
      </c>
      <c r="AD91" s="184"/>
      <c r="AE91" s="101">
        <f>Fig1_future_Kaya!AG48</f>
        <v>83.723193993004827</v>
      </c>
      <c r="AF91" s="101">
        <f t="shared" si="12"/>
        <v>1.4257257734796394</v>
      </c>
      <c r="AG91" s="101">
        <f t="shared" si="13"/>
        <v>1.103863134205791</v>
      </c>
      <c r="AH91" s="103">
        <f t="shared" si="14"/>
        <v>0.54984875208839334</v>
      </c>
    </row>
    <row r="92" spans="1:34">
      <c r="A92">
        <v>2035</v>
      </c>
      <c r="C92" s="183">
        <f>Fig1_future_Kaya!J49*10^6</f>
        <v>1604961508191.0876</v>
      </c>
      <c r="D92" s="101">
        <f t="shared" si="0"/>
        <v>2.5206447444694313</v>
      </c>
      <c r="E92" s="184"/>
      <c r="F92" s="192">
        <f>Fig1_future_Kaya!K49*10^6</f>
        <v>1401956252769.3955</v>
      </c>
      <c r="G92" s="101">
        <f t="shared" si="1"/>
        <v>2.2018183255386172</v>
      </c>
      <c r="H92" s="184"/>
      <c r="I92" s="192">
        <f>Fig1_future_Kaya!L49*10^6</f>
        <v>944738629688.0874</v>
      </c>
      <c r="J92" s="103">
        <f t="shared" si="2"/>
        <v>1.4837430366192963</v>
      </c>
      <c r="L92" s="126">
        <f>Fig1_future_Kaya!R49</f>
        <v>10.924312756980267</v>
      </c>
      <c r="M92" s="101">
        <f t="shared" si="3"/>
        <v>2.1897995672359496</v>
      </c>
      <c r="N92" s="184"/>
      <c r="O92" s="101">
        <f>Fig1_future_Kaya!S49</f>
        <v>9.4769035481256676</v>
      </c>
      <c r="P92" s="101">
        <f t="shared" si="4"/>
        <v>1.6593826376339413</v>
      </c>
      <c r="Q92" s="184"/>
      <c r="R92" s="101">
        <f>Fig1_future_Kaya!T49</f>
        <v>6.8297892075170452</v>
      </c>
      <c r="S92" s="103">
        <f t="shared" si="5"/>
        <v>0.80586926553070959</v>
      </c>
      <c r="U92" s="126">
        <f>Fig1_future_Kaya!AE49</f>
        <v>124.89516301119976</v>
      </c>
      <c r="V92" s="101">
        <f t="shared" si="6"/>
        <v>2.1897995672359496</v>
      </c>
      <c r="W92" s="101">
        <f t="shared" si="7"/>
        <v>1.6593826376339413</v>
      </c>
      <c r="X92" s="101">
        <f t="shared" si="8"/>
        <v>0.80586926553070959</v>
      </c>
      <c r="Y92" s="184"/>
      <c r="Z92" s="101">
        <f>Fig1_future_Kaya!AF49</f>
        <v>109.07214485124565</v>
      </c>
      <c r="AA92" s="101">
        <f t="shared" si="9"/>
        <v>1.9123729841430002</v>
      </c>
      <c r="AB92" s="101">
        <f t="shared" si="10"/>
        <v>1.449154787519042</v>
      </c>
      <c r="AC92" s="101">
        <f t="shared" si="11"/>
        <v>0.70377336593291773</v>
      </c>
      <c r="AD92" s="184"/>
      <c r="AE92" s="101">
        <f>Fig1_future_Kaya!AG49</f>
        <v>80.430046818952178</v>
      </c>
      <c r="AF92" s="101">
        <f t="shared" si="12"/>
        <v>1.4101881727886842</v>
      </c>
      <c r="AG92" s="101">
        <f t="shared" si="13"/>
        <v>1.0686100247411989</v>
      </c>
      <c r="AH92" s="103">
        <f t="shared" si="14"/>
        <v>0.51896407510014864</v>
      </c>
    </row>
    <row r="93" spans="1:34">
      <c r="A93">
        <v>2036</v>
      </c>
      <c r="C93" s="183">
        <f>Fig1_future_Kaya!J50*10^6</f>
        <v>1669159968518.7314</v>
      </c>
      <c r="D93" s="101">
        <f t="shared" si="0"/>
        <v>2.6214705342482096</v>
      </c>
      <c r="E93" s="184"/>
      <c r="F93" s="192">
        <f>Fig1_future_Kaya!K50*10^6</f>
        <v>1441585982391.886</v>
      </c>
      <c r="G93" s="101">
        <f t="shared" si="1"/>
        <v>2.2640581170774574</v>
      </c>
      <c r="H93" s="184"/>
      <c r="I93" s="192">
        <f>Fig1_future_Kaya!L50*10^6</f>
        <v>956065253575.95898</v>
      </c>
      <c r="J93" s="103">
        <f t="shared" si="2"/>
        <v>1.5015318713233283</v>
      </c>
      <c r="L93" s="126">
        <f>Fig1_future_Kaya!R50</f>
        <v>10.815069629410464</v>
      </c>
      <c r="M93" s="101">
        <f t="shared" si="3"/>
        <v>2.2546176344261339</v>
      </c>
      <c r="N93" s="184"/>
      <c r="O93" s="101">
        <f>Fig1_future_Kaya!S50</f>
        <v>9.2873654771631546</v>
      </c>
      <c r="P93" s="101">
        <f t="shared" si="4"/>
        <v>1.6721633718669402</v>
      </c>
      <c r="Q93" s="184"/>
      <c r="R93" s="101">
        <f>Fig1_future_Kaya!T50</f>
        <v>6.623606891818417</v>
      </c>
      <c r="S93" s="103">
        <f t="shared" si="5"/>
        <v>0.7909111595692454</v>
      </c>
      <c r="U93" s="126">
        <f>Fig1_future_Kaya!AE50</f>
        <v>124.89516301119976</v>
      </c>
      <c r="V93" s="101">
        <f t="shared" si="6"/>
        <v>2.2546176344261339</v>
      </c>
      <c r="W93" s="101">
        <f t="shared" si="7"/>
        <v>1.6721633718669402</v>
      </c>
      <c r="X93" s="101">
        <f t="shared" si="8"/>
        <v>0.7909111595692454</v>
      </c>
      <c r="Y93" s="184"/>
      <c r="Z93" s="101">
        <f>Fig1_future_Kaya!AF50</f>
        <v>105.64109898848687</v>
      </c>
      <c r="AA93" s="101">
        <f t="shared" si="9"/>
        <v>1.9070417056763116</v>
      </c>
      <c r="AB93" s="101">
        <f t="shared" si="10"/>
        <v>1.4143796447623573</v>
      </c>
      <c r="AC93" s="101">
        <f t="shared" si="11"/>
        <v>0.66898286598706103</v>
      </c>
      <c r="AD93" s="184"/>
      <c r="AE93" s="101">
        <f>Fig1_future_Kaya!AG50</f>
        <v>77.191314214950978</v>
      </c>
      <c r="AF93" s="101">
        <f t="shared" si="12"/>
        <v>1.3934638784846356</v>
      </c>
      <c r="AG93" s="101">
        <f t="shared" si="13"/>
        <v>1.0334786803948379</v>
      </c>
      <c r="AH93" s="103">
        <f t="shared" si="14"/>
        <v>0.48882174747589036</v>
      </c>
    </row>
    <row r="94" spans="1:34">
      <c r="A94">
        <v>2037</v>
      </c>
      <c r="C94" s="183">
        <f>Fig1_future_Kaya!J51*10^6</f>
        <v>1735926367259.481</v>
      </c>
      <c r="D94" s="101">
        <f t="shared" si="0"/>
        <v>2.7263293556181378</v>
      </c>
      <c r="E94" s="184"/>
      <c r="F94" s="192">
        <f>Fig1_future_Kaya!K51*10^6</f>
        <v>1482338272129.0259</v>
      </c>
      <c r="G94" s="101">
        <f t="shared" si="1"/>
        <v>2.3280609261334781</v>
      </c>
      <c r="H94" s="184"/>
      <c r="I94" s="192">
        <f>Fig1_future_Kaya!L51*10^6</f>
        <v>967391877463.83057</v>
      </c>
      <c r="J94" s="103">
        <f t="shared" si="2"/>
        <v>1.5193207060273606</v>
      </c>
      <c r="L94" s="126">
        <f>Fig1_future_Kaya!R51</f>
        <v>10.706918933116359</v>
      </c>
      <c r="M94" s="101">
        <f t="shared" si="3"/>
        <v>2.3213543164051473</v>
      </c>
      <c r="N94" s="184"/>
      <c r="O94" s="101">
        <f>Fig1_future_Kaya!S51</f>
        <v>9.1016181676198915</v>
      </c>
      <c r="P94" s="101">
        <f t="shared" si="4"/>
        <v>1.685045191735866</v>
      </c>
      <c r="Q94" s="184"/>
      <c r="R94" s="101">
        <f>Fig1_future_Kaya!T51</f>
        <v>6.4174245761197888</v>
      </c>
      <c r="S94" s="103">
        <f t="shared" si="5"/>
        <v>0.77536970588424647</v>
      </c>
      <c r="U94" s="126">
        <f>Fig1_future_Kaya!AE51</f>
        <v>124.89516301119976</v>
      </c>
      <c r="V94" s="101">
        <f t="shared" si="6"/>
        <v>2.3213543164051482</v>
      </c>
      <c r="W94" s="101">
        <f t="shared" si="7"/>
        <v>1.685045191735866</v>
      </c>
      <c r="X94" s="101">
        <f t="shared" si="8"/>
        <v>0.77536970588424647</v>
      </c>
      <c r="Y94" s="184"/>
      <c r="Z94" s="101">
        <f>Fig1_future_Kaya!AF51</f>
        <v>102.22748320080694</v>
      </c>
      <c r="AA94" s="101">
        <f t="shared" si="9"/>
        <v>1.9000432335569946</v>
      </c>
      <c r="AB94" s="101">
        <f t="shared" si="10"/>
        <v>1.3792201785695402</v>
      </c>
      <c r="AC94" s="101">
        <f t="shared" si="11"/>
        <v>0.63464502284679003</v>
      </c>
      <c r="AD94" s="184"/>
      <c r="AE94" s="101">
        <f>Fig1_future_Kaya!AG51</f>
        <v>74.006996181001156</v>
      </c>
      <c r="AF94" s="101">
        <f t="shared" si="12"/>
        <v>1.3755253276985655</v>
      </c>
      <c r="AG94" s="101">
        <f t="shared" si="13"/>
        <v>0.99847848437835729</v>
      </c>
      <c r="AH94" s="103">
        <f t="shared" si="14"/>
        <v>0.4594475997208452</v>
      </c>
    </row>
    <row r="95" spans="1:34">
      <c r="A95">
        <v>2038</v>
      </c>
      <c r="C95" s="183">
        <f>Fig1_future_Kaya!J52*10^6</f>
        <v>1805363421949.8599</v>
      </c>
      <c r="D95" s="101">
        <f t="shared" si="0"/>
        <v>2.835382529842863</v>
      </c>
      <c r="E95" s="184"/>
      <c r="F95" s="192">
        <f>Fig1_future_Kaya!K52*10^6</f>
        <v>1524244981970.9844</v>
      </c>
      <c r="G95" s="101">
        <f t="shared" si="1"/>
        <v>2.3938767898673019</v>
      </c>
      <c r="H95" s="184"/>
      <c r="I95" s="192">
        <f>Fig1_future_Kaya!L52*10^6</f>
        <v>978718501351.7019</v>
      </c>
      <c r="J95" s="103">
        <f t="shared" si="2"/>
        <v>1.5371095407313922</v>
      </c>
      <c r="L95" s="126">
        <f>Fig1_future_Kaya!R52</f>
        <v>10.599849743785196</v>
      </c>
      <c r="M95" s="101">
        <f t="shared" si="3"/>
        <v>2.39006640417074</v>
      </c>
      <c r="N95" s="184"/>
      <c r="O95" s="101">
        <f>Fig1_future_Kaya!S52</f>
        <v>8.9195858042674931</v>
      </c>
      <c r="P95" s="101">
        <f t="shared" si="4"/>
        <v>1.6980289126075296</v>
      </c>
      <c r="Q95" s="184"/>
      <c r="R95" s="101">
        <f>Fig1_future_Kaya!T52</f>
        <v>6.2112422604211606</v>
      </c>
      <c r="S95" s="103">
        <f t="shared" si="5"/>
        <v>0.75924490447571291</v>
      </c>
      <c r="U95" s="126">
        <f>Fig1_future_Kaya!AE52</f>
        <v>124.89516301119976</v>
      </c>
      <c r="V95" s="101">
        <f t="shared" si="6"/>
        <v>2.3900664041707396</v>
      </c>
      <c r="W95" s="101">
        <f t="shared" si="7"/>
        <v>1.6980289126075296</v>
      </c>
      <c r="X95" s="101">
        <f t="shared" si="8"/>
        <v>0.75924490447571291</v>
      </c>
      <c r="Y95" s="184"/>
      <c r="Z95" s="101">
        <f>Fig1_future_Kaya!AF52</f>
        <v>98.831297488205905</v>
      </c>
      <c r="AA95" s="101">
        <f t="shared" si="9"/>
        <v>1.8912931302710492</v>
      </c>
      <c r="AB95" s="101">
        <f t="shared" si="10"/>
        <v>1.343674138849082</v>
      </c>
      <c r="AC95" s="101">
        <f t="shared" si="11"/>
        <v>0.6008011616423834</v>
      </c>
      <c r="AD95" s="184"/>
      <c r="AE95" s="101">
        <f>Fig1_future_Kaya!AG52</f>
        <v>70.877092717102784</v>
      </c>
      <c r="AF95" s="101">
        <f t="shared" si="12"/>
        <v>1.3563452262218612</v>
      </c>
      <c r="AG95" s="101">
        <f t="shared" si="13"/>
        <v>0.9636190047200851</v>
      </c>
      <c r="AH95" s="103">
        <f t="shared" si="14"/>
        <v>0.43086593741574564</v>
      </c>
    </row>
    <row r="96" spans="1:34">
      <c r="A96">
        <v>2039</v>
      </c>
      <c r="C96" s="183">
        <f>Fig1_future_Kaya!J53*10^6</f>
        <v>1877577958827.8545</v>
      </c>
      <c r="D96" s="101">
        <f t="shared" si="0"/>
        <v>2.9487978310365781</v>
      </c>
      <c r="E96" s="184"/>
      <c r="F96" s="192">
        <f>Fig1_future_Kaya!K53*10^6</f>
        <v>1567338877797.0657</v>
      </c>
      <c r="G96" s="101">
        <f t="shared" si="1"/>
        <v>2.4615571681681829</v>
      </c>
      <c r="H96" s="184"/>
      <c r="I96" s="192">
        <f>Fig1_future_Kaya!L53*10^6</f>
        <v>990045125239.57361</v>
      </c>
      <c r="J96" s="103">
        <f t="shared" si="2"/>
        <v>1.5548983754354246</v>
      </c>
      <c r="L96" s="126">
        <f>Fig1_future_Kaya!R53</f>
        <v>10.493851246347344</v>
      </c>
      <c r="M96" s="101">
        <f t="shared" si="3"/>
        <v>2.4608123697341941</v>
      </c>
      <c r="N96" s="184"/>
      <c r="O96" s="101">
        <f>Fig1_future_Kaya!S53</f>
        <v>8.7411940881821426</v>
      </c>
      <c r="P96" s="101">
        <f t="shared" si="4"/>
        <v>1.711115356518091</v>
      </c>
      <c r="Q96" s="184"/>
      <c r="R96" s="101">
        <f>Fig1_future_Kaya!T53</f>
        <v>6.0050599447225324</v>
      </c>
      <c r="S96" s="103">
        <f t="shared" si="5"/>
        <v>0.74253675534364483</v>
      </c>
      <c r="U96" s="126">
        <f>Fig1_future_Kaya!AE53</f>
        <v>124.89516301119976</v>
      </c>
      <c r="V96" s="101">
        <f t="shared" si="6"/>
        <v>2.4608123697341941</v>
      </c>
      <c r="W96" s="101">
        <f t="shared" si="7"/>
        <v>1.711115356518091</v>
      </c>
      <c r="X96" s="101">
        <f t="shared" si="8"/>
        <v>0.74253675534364483</v>
      </c>
      <c r="Y96" s="184"/>
      <c r="Z96" s="101">
        <f>Fig1_future_Kaya!AF53</f>
        <v>95.452541850683744</v>
      </c>
      <c r="AA96" s="101">
        <f t="shared" si="9"/>
        <v>1.8807037041752366</v>
      </c>
      <c r="AB96" s="101">
        <f t="shared" si="10"/>
        <v>1.3077392770186334</v>
      </c>
      <c r="AC96" s="101">
        <f t="shared" si="11"/>
        <v>0.56749211904030583</v>
      </c>
      <c r="AD96" s="184"/>
      <c r="AE96" s="101">
        <f>Fig1_future_Kaya!AG53</f>
        <v>67.801603823255832</v>
      </c>
      <c r="AF96" s="101">
        <f t="shared" si="12"/>
        <v>1.3358966140355928</v>
      </c>
      <c r="AG96" s="101">
        <f t="shared" si="13"/>
        <v>0.92890999700384858</v>
      </c>
      <c r="AH96" s="103">
        <f t="shared" si="14"/>
        <v>0.40309954121682867</v>
      </c>
    </row>
    <row r="97" spans="1:34">
      <c r="A97">
        <v>2040</v>
      </c>
      <c r="C97" s="183">
        <f>Fig1_future_Kaya!J54*10^6</f>
        <v>1952681077180.969</v>
      </c>
      <c r="D97" s="101">
        <f t="shared" si="0"/>
        <v>3.0667497442780416</v>
      </c>
      <c r="E97" s="184"/>
      <c r="F97" s="192">
        <f>Fig1_future_Kaya!K54*10^6</f>
        <v>1611653657177.175</v>
      </c>
      <c r="G97" s="101">
        <f t="shared" si="1"/>
        <v>2.5311549841760521</v>
      </c>
      <c r="H97" s="184"/>
      <c r="I97" s="192">
        <f>Fig1_future_Kaya!L54*10^6</f>
        <v>1001371749127.4451</v>
      </c>
      <c r="J97" s="103">
        <f t="shared" si="2"/>
        <v>1.5726872101394567</v>
      </c>
      <c r="L97" s="126">
        <f>Fig1_future_Kaya!R54</f>
        <v>10.38891273388387</v>
      </c>
      <c r="M97" s="101">
        <f t="shared" si="3"/>
        <v>2.5336524158783265</v>
      </c>
      <c r="N97" s="184"/>
      <c r="O97" s="101">
        <f>Fig1_future_Kaya!S54</f>
        <v>8.5663702064184992</v>
      </c>
      <c r="P97" s="101">
        <f t="shared" si="4"/>
        <v>1.7243053522281349</v>
      </c>
      <c r="Q97" s="184"/>
      <c r="R97" s="101">
        <f>Fig1_future_Kaya!T54</f>
        <v>5.7988776290239041</v>
      </c>
      <c r="S97" s="103">
        <f t="shared" si="5"/>
        <v>0.72524525848804222</v>
      </c>
      <c r="U97" s="126">
        <f>Fig1_future_Kaya!AE54</f>
        <v>124.89516301119976</v>
      </c>
      <c r="V97" s="101">
        <f t="shared" si="6"/>
        <v>2.5336524158783265</v>
      </c>
      <c r="W97" s="101">
        <f t="shared" si="7"/>
        <v>1.7243053522281349</v>
      </c>
      <c r="X97" s="101">
        <f t="shared" si="8"/>
        <v>0.72524525848804222</v>
      </c>
      <c r="Y97" s="184"/>
      <c r="Z97" s="101">
        <f>Fig1_future_Kaya!AF54</f>
        <v>92.091216288240432</v>
      </c>
      <c r="AA97" s="101">
        <f t="shared" si="9"/>
        <v>1.8681838992351583</v>
      </c>
      <c r="AB97" s="101">
        <f t="shared" si="10"/>
        <v>1.2714133462860544</v>
      </c>
      <c r="AC97" s="101">
        <f t="shared" si="11"/>
        <v>0.53475824324320687</v>
      </c>
      <c r="AD97" s="184"/>
      <c r="AE97" s="101">
        <f>Fig1_future_Kaya!AG54</f>
        <v>64.7805294994603</v>
      </c>
      <c r="AF97" s="101">
        <f t="shared" si="12"/>
        <v>1.3141529352379051</v>
      </c>
      <c r="AG97" s="101">
        <f t="shared" si="13"/>
        <v>0.89436140714332812</v>
      </c>
      <c r="AH97" s="103">
        <f t="shared" si="14"/>
        <v>0.37616966685583586</v>
      </c>
    </row>
    <row r="98" spans="1:34">
      <c r="A98">
        <v>2041</v>
      </c>
      <c r="C98" s="183">
        <f>Fig1_future_Kaya!J55*10^6</f>
        <v>2030788320268.2075</v>
      </c>
      <c r="D98" s="101">
        <f t="shared" si="0"/>
        <v>3.1894197340491623</v>
      </c>
      <c r="E98" s="184"/>
      <c r="F98" s="192">
        <f>Fig1_future_Kaya!K55*10^6</f>
        <v>1657223975909.3315</v>
      </c>
      <c r="G98" s="101">
        <f t="shared" si="1"/>
        <v>2.6027246659595549</v>
      </c>
      <c r="H98" s="184"/>
      <c r="I98" s="192">
        <f>Fig1_future_Kaya!L55*10^6</f>
        <v>1012698373015.3165</v>
      </c>
      <c r="J98" s="103">
        <f t="shared" si="2"/>
        <v>1.5904760448434887</v>
      </c>
      <c r="L98" s="126">
        <f>Fig1_future_Kaya!R55</f>
        <v>10.285023606545032</v>
      </c>
      <c r="M98" s="101">
        <f t="shared" si="3"/>
        <v>2.6086485273883246</v>
      </c>
      <c r="N98" s="184"/>
      <c r="O98" s="101">
        <f>Fig1_future_Kaya!S55</f>
        <v>8.3950428022901296</v>
      </c>
      <c r="P98" s="101">
        <f t="shared" si="4"/>
        <v>1.737599735278214</v>
      </c>
      <c r="Q98" s="184"/>
      <c r="R98" s="101">
        <f>Fig1_future_Kaya!T55</f>
        <v>5.5926953133252759</v>
      </c>
      <c r="S98" s="103">
        <f t="shared" si="5"/>
        <v>0.70737041390890487</v>
      </c>
      <c r="U98" s="126">
        <f>Fig1_future_Kaya!AE55</f>
        <v>124.89516301119976</v>
      </c>
      <c r="V98" s="101">
        <f t="shared" si="6"/>
        <v>2.6086485273883251</v>
      </c>
      <c r="W98" s="101">
        <f t="shared" si="7"/>
        <v>1.737599735278214</v>
      </c>
      <c r="X98" s="101">
        <f t="shared" si="8"/>
        <v>0.70737041390890487</v>
      </c>
      <c r="Y98" s="184"/>
      <c r="Z98" s="101">
        <f>Fig1_future_Kaya!AF55</f>
        <v>89.728728771817742</v>
      </c>
      <c r="AA98" s="101">
        <f t="shared" si="9"/>
        <v>1.8741375609080944</v>
      </c>
      <c r="AB98" s="101">
        <f t="shared" si="10"/>
        <v>1.2483479071705923</v>
      </c>
      <c r="AC98" s="101">
        <f t="shared" si="11"/>
        <v>0.50819780750955812</v>
      </c>
      <c r="AD98" s="184"/>
      <c r="AE98" s="101">
        <f>Fig1_future_Kaya!AG55</f>
        <v>61.813869745716175</v>
      </c>
      <c r="AF98" s="101">
        <f t="shared" si="12"/>
        <v>1.2910881125946916</v>
      </c>
      <c r="AG98" s="101">
        <f t="shared" si="13"/>
        <v>0.85998337419237625</v>
      </c>
      <c r="AH98" s="103">
        <f t="shared" si="14"/>
        <v>0.35009604514001386</v>
      </c>
    </row>
    <row r="99" spans="1:34">
      <c r="A99">
        <v>2042</v>
      </c>
      <c r="C99" s="183">
        <f>Fig1_future_Kaya!J56*10^6</f>
        <v>2112019853078.9363</v>
      </c>
      <c r="D99" s="101">
        <f t="shared" si="0"/>
        <v>3.31699652341113</v>
      </c>
      <c r="E99" s="184"/>
      <c r="F99" s="192">
        <f>Fig1_future_Kaya!K56*10^6</f>
        <v>1704085475314.2451</v>
      </c>
      <c r="G99" s="101">
        <f t="shared" si="1"/>
        <v>2.676322189383082</v>
      </c>
      <c r="H99" s="184"/>
      <c r="I99" s="192">
        <f>Fig1_future_Kaya!L56*10^6</f>
        <v>1024024996903.188</v>
      </c>
      <c r="J99" s="103">
        <f t="shared" si="2"/>
        <v>1.6082648795475205</v>
      </c>
      <c r="L99" s="126">
        <f>Fig1_future_Kaya!R56</f>
        <v>10.182173370479582</v>
      </c>
      <c r="M99" s="101">
        <f t="shared" si="3"/>
        <v>2.6858645237990202</v>
      </c>
      <c r="N99" s="184"/>
      <c r="O99" s="101">
        <f>Fig1_future_Kaya!S56</f>
        <v>8.2271419462443269</v>
      </c>
      <c r="P99" s="101">
        <f t="shared" si="4"/>
        <v>1.7509993480448489</v>
      </c>
      <c r="Q99" s="184"/>
      <c r="R99" s="101">
        <f>Fig1_future_Kaya!T56</f>
        <v>5.3865129976266477</v>
      </c>
      <c r="S99" s="103">
        <f t="shared" si="5"/>
        <v>0.688912221606233</v>
      </c>
      <c r="U99" s="126">
        <f>Fig1_future_Kaya!AE56</f>
        <v>124.89516301119976</v>
      </c>
      <c r="V99" s="101">
        <f t="shared" si="6"/>
        <v>2.6858645237990202</v>
      </c>
      <c r="W99" s="101">
        <f t="shared" si="7"/>
        <v>1.7509993480448489</v>
      </c>
      <c r="X99" s="101">
        <f t="shared" si="8"/>
        <v>0.688912221606233</v>
      </c>
      <c r="Y99" s="184"/>
      <c r="Z99" s="101">
        <f>Fig1_future_Kaya!AF56</f>
        <v>87.378125397494301</v>
      </c>
      <c r="AA99" s="101">
        <f t="shared" si="9"/>
        <v>1.8790624192559564</v>
      </c>
      <c r="AB99" s="101">
        <f t="shared" si="10"/>
        <v>1.2250197438845063</v>
      </c>
      <c r="AC99" s="101">
        <f t="shared" si="11"/>
        <v>0.48197109508538655</v>
      </c>
      <c r="AD99" s="184"/>
      <c r="AE99" s="101">
        <f>Fig1_future_Kaya!AG56</f>
        <v>58.901624562023478</v>
      </c>
      <c r="AF99" s="101">
        <f t="shared" si="12"/>
        <v>1.2666766269489664</v>
      </c>
      <c r="AG99" s="101">
        <f t="shared" si="13"/>
        <v>0.82578623319172872</v>
      </c>
      <c r="AH99" s="103">
        <f t="shared" si="14"/>
        <v>0.32489688195211441</v>
      </c>
    </row>
    <row r="100" spans="1:34">
      <c r="A100">
        <v>2043</v>
      </c>
      <c r="C100" s="183">
        <f>Fig1_future_Kaya!J57*10^6</f>
        <v>2196500647202.0935</v>
      </c>
      <c r="D100" s="101">
        <f t="shared" si="0"/>
        <v>3.4496763843475744</v>
      </c>
      <c r="E100" s="184"/>
      <c r="F100" s="192">
        <f>Fig1_future_Kaya!K57*10^6</f>
        <v>1752274810308.5933</v>
      </c>
      <c r="G100" s="101">
        <f t="shared" si="1"/>
        <v>2.7520051221967696</v>
      </c>
      <c r="H100" s="184"/>
      <c r="I100" s="192">
        <f>Fig1_future_Kaya!L57*10^6</f>
        <v>1035351620791.0594</v>
      </c>
      <c r="J100" s="103">
        <f t="shared" si="2"/>
        <v>1.6260537142515528</v>
      </c>
      <c r="L100" s="126">
        <f>Fig1_future_Kaya!R57</f>
        <v>10.080351636774786</v>
      </c>
      <c r="M100" s="101">
        <f t="shared" si="3"/>
        <v>2.7653661137034704</v>
      </c>
      <c r="N100" s="184"/>
      <c r="O100" s="101">
        <f>Fig1_future_Kaya!S57</f>
        <v>8.062599107319441</v>
      </c>
      <c r="P100" s="101">
        <f t="shared" si="4"/>
        <v>1.764505039796995</v>
      </c>
      <c r="Q100" s="184"/>
      <c r="R100" s="101">
        <f>Fig1_future_Kaya!T57</f>
        <v>5.1803306819280195</v>
      </c>
      <c r="S100" s="103">
        <f t="shared" si="5"/>
        <v>0.66987068158002661</v>
      </c>
      <c r="U100" s="126">
        <f>Fig1_future_Kaya!AE57</f>
        <v>124.89516301119976</v>
      </c>
      <c r="V100" s="101">
        <f t="shared" si="6"/>
        <v>2.7653661137034704</v>
      </c>
      <c r="W100" s="101">
        <f t="shared" si="7"/>
        <v>1.764505039796995</v>
      </c>
      <c r="X100" s="101">
        <f t="shared" si="8"/>
        <v>0.66987068158002661</v>
      </c>
      <c r="Y100" s="184"/>
      <c r="Z100" s="101">
        <f>Fig1_future_Kaya!AF57</f>
        <v>85.039406165270094</v>
      </c>
      <c r="AA100" s="101">
        <f t="shared" si="9"/>
        <v>1.8828999175717951</v>
      </c>
      <c r="AB100" s="101">
        <f t="shared" si="10"/>
        <v>1.2014273182581703</v>
      </c>
      <c r="AC100" s="101">
        <f t="shared" si="11"/>
        <v>0.45610577379991829</v>
      </c>
      <c r="AD100" s="184"/>
      <c r="AE100" s="101">
        <f>Fig1_future_Kaya!AG57</f>
        <v>56.043793948382209</v>
      </c>
      <c r="AF100" s="101">
        <f t="shared" si="12"/>
        <v>1.2408936017349053</v>
      </c>
      <c r="AG100" s="101">
        <f t="shared" si="13"/>
        <v>0.79178051805254446</v>
      </c>
      <c r="AH100" s="103">
        <f t="shared" si="14"/>
        <v>0.30058885825039389</v>
      </c>
    </row>
    <row r="101" spans="1:34">
      <c r="A101">
        <v>2044</v>
      </c>
      <c r="C101" s="183">
        <f>Fig1_future_Kaya!J58*10^6</f>
        <v>2284360673090.1777</v>
      </c>
      <c r="D101" s="101">
        <f t="shared" si="0"/>
        <v>3.5876634397214784</v>
      </c>
      <c r="E101" s="184"/>
      <c r="F101" s="192">
        <f>Fig1_future_Kaya!K58*10^6</f>
        <v>1801829678279.2439</v>
      </c>
      <c r="G101" s="101">
        <f t="shared" si="1"/>
        <v>2.8298326693844156</v>
      </c>
      <c r="H101" s="184"/>
      <c r="I101" s="192">
        <f>Fig1_future_Kaya!L58*10^6</f>
        <v>1046678244678.9308</v>
      </c>
      <c r="J101" s="103">
        <f t="shared" si="2"/>
        <v>1.6438425489555843</v>
      </c>
      <c r="L101" s="126">
        <f>Fig1_future_Kaya!R58</f>
        <v>9.9795481204070384</v>
      </c>
      <c r="M101" s="101">
        <f t="shared" si="3"/>
        <v>2.8472209506690942</v>
      </c>
      <c r="N101" s="184"/>
      <c r="O101" s="101">
        <f>Fig1_future_Kaya!S58</f>
        <v>7.9013471251730518</v>
      </c>
      <c r="P101" s="101">
        <f t="shared" si="4"/>
        <v>1.7781176667529783</v>
      </c>
      <c r="Q101" s="184"/>
      <c r="R101" s="101">
        <f>Fig1_future_Kaya!T58</f>
        <v>4.9741483662293913</v>
      </c>
      <c r="S101" s="103">
        <f t="shared" si="5"/>
        <v>0.65024579383028558</v>
      </c>
      <c r="U101" s="126">
        <f>Fig1_future_Kaya!AE58</f>
        <v>124.89516301119976</v>
      </c>
      <c r="V101" s="101">
        <f t="shared" si="6"/>
        <v>2.8472209506690942</v>
      </c>
      <c r="W101" s="101">
        <f t="shared" si="7"/>
        <v>1.7781176667529783</v>
      </c>
      <c r="X101" s="101">
        <f t="shared" si="8"/>
        <v>0.65024579383028558</v>
      </c>
      <c r="Y101" s="184"/>
      <c r="Z101" s="101">
        <f>Fig1_future_Kaya!AF58</f>
        <v>82.712571075145092</v>
      </c>
      <c r="AA101" s="101">
        <f t="shared" si="9"/>
        <v>1.8855891579063113</v>
      </c>
      <c r="AB101" s="101">
        <f t="shared" si="10"/>
        <v>1.1775690935131602</v>
      </c>
      <c r="AC101" s="101">
        <f t="shared" si="11"/>
        <v>0.43062917843886955</v>
      </c>
      <c r="AD101" s="184"/>
      <c r="AE101" s="101">
        <f>Fig1_future_Kaya!AG58</f>
        <v>53.240377904792354</v>
      </c>
      <c r="AF101" s="101">
        <f t="shared" si="12"/>
        <v>1.2137148928535479</v>
      </c>
      <c r="AG101" s="101">
        <f t="shared" si="13"/>
        <v>0.75797696447721552</v>
      </c>
      <c r="AH101" s="103">
        <f t="shared" si="14"/>
        <v>0.27718713006861345</v>
      </c>
    </row>
    <row r="102" spans="1:34">
      <c r="A102">
        <v>2045</v>
      </c>
      <c r="C102" s="183">
        <f>Fig1_future_Kaya!J59*10^6</f>
        <v>2375735100013.7842</v>
      </c>
      <c r="D102" s="101">
        <f t="shared" si="0"/>
        <v>3.7311699773103362</v>
      </c>
      <c r="E102" s="184"/>
      <c r="F102" s="192">
        <f>Fig1_future_Kaya!K59*10^6</f>
        <v>1852788848781.3071</v>
      </c>
      <c r="G102" s="101">
        <f t="shared" si="1"/>
        <v>2.9098657198052447</v>
      </c>
      <c r="H102" s="184"/>
      <c r="I102" s="192">
        <f>Fig1_future_Kaya!L59*10^6</f>
        <v>1058004868566.8022</v>
      </c>
      <c r="J102" s="103">
        <f t="shared" si="2"/>
        <v>1.6616313836596162</v>
      </c>
      <c r="L102" s="126">
        <f>Fig1_future_Kaya!R59</f>
        <v>9.8797526392029678</v>
      </c>
      <c r="M102" s="101">
        <f t="shared" si="3"/>
        <v>2.9314986908088985</v>
      </c>
      <c r="N102" s="184"/>
      <c r="O102" s="101">
        <f>Fig1_future_Kaya!S59</f>
        <v>7.7433201826695903</v>
      </c>
      <c r="P102" s="101">
        <f t="shared" si="4"/>
        <v>1.7918380921379047</v>
      </c>
      <c r="Q102" s="184"/>
      <c r="R102" s="101">
        <f>Fig1_future_Kaya!T59</f>
        <v>4.7679660505307631</v>
      </c>
      <c r="S102" s="103">
        <f t="shared" si="5"/>
        <v>0.63003755835701014</v>
      </c>
      <c r="U102" s="126">
        <f>Fig1_future_Kaya!AE59</f>
        <v>124.89516301119976</v>
      </c>
      <c r="V102" s="101">
        <f t="shared" si="6"/>
        <v>2.931498690808898</v>
      </c>
      <c r="W102" s="101">
        <f t="shared" si="7"/>
        <v>1.7918380921379047</v>
      </c>
      <c r="X102" s="101">
        <f t="shared" si="8"/>
        <v>0.63003755835701014</v>
      </c>
      <c r="Y102" s="184"/>
      <c r="Z102" s="101">
        <f>Fig1_future_Kaya!AF59</f>
        <v>80.397620127119353</v>
      </c>
      <c r="AA102" s="101">
        <f t="shared" si="9"/>
        <v>1.8870668203993366</v>
      </c>
      <c r="AB102" s="101">
        <f t="shared" si="10"/>
        <v>1.1534435344632785</v>
      </c>
      <c r="AC102" s="101">
        <f t="shared" si="11"/>
        <v>0.40556831074444749</v>
      </c>
      <c r="AD102" s="184"/>
      <c r="AE102" s="101">
        <f>Fig1_future_Kaya!AG59</f>
        <v>50.491376431253926</v>
      </c>
      <c r="AF102" s="101">
        <f t="shared" si="12"/>
        <v>1.185117184178599</v>
      </c>
      <c r="AG102" s="101">
        <f t="shared" si="13"/>
        <v>0.72438651291789302</v>
      </c>
      <c r="AH102" s="103">
        <f t="shared" si="14"/>
        <v>0.25470532851603928</v>
      </c>
    </row>
    <row r="103" spans="1:34">
      <c r="A103">
        <v>2046</v>
      </c>
      <c r="C103" s="183">
        <f>Fig1_future_Kaya!J60*10^6</f>
        <v>2470764504014.3359</v>
      </c>
      <c r="D103" s="101">
        <f t="shared" si="0"/>
        <v>3.8804167764027508</v>
      </c>
      <c r="E103" s="184"/>
      <c r="F103" s="192">
        <f>Fig1_future_Kaya!K60*10^6</f>
        <v>1905192194083.5618</v>
      </c>
      <c r="G103" s="101">
        <f t="shared" si="1"/>
        <v>2.9921668941665041</v>
      </c>
      <c r="H103" s="184"/>
      <c r="I103" s="192">
        <f>Fig1_future_Kaya!L60*10^6</f>
        <v>1069331492454.6738</v>
      </c>
      <c r="J103" s="103">
        <f t="shared" si="2"/>
        <v>1.6794202183636484</v>
      </c>
      <c r="L103" s="126">
        <f>Fig1_future_Kaya!R60</f>
        <v>9.780955112810938</v>
      </c>
      <c r="M103" s="101">
        <f t="shared" si="3"/>
        <v>3.0182710520568419</v>
      </c>
      <c r="N103" s="184"/>
      <c r="O103" s="101">
        <f>Fig1_future_Kaya!S60</f>
        <v>7.5884537790161986</v>
      </c>
      <c r="P103" s="101">
        <f t="shared" si="4"/>
        <v>1.8056671862415501</v>
      </c>
      <c r="Q103" s="184"/>
      <c r="R103" s="101">
        <f>Fig1_future_Kaya!T60</f>
        <v>4.5617837348321348</v>
      </c>
      <c r="S103" s="103">
        <f t="shared" si="5"/>
        <v>0.60924597516019996</v>
      </c>
      <c r="U103" s="126">
        <f>Fig1_future_Kaya!AE60</f>
        <v>124.89516301119976</v>
      </c>
      <c r="V103" s="101">
        <f t="shared" si="6"/>
        <v>3.0182710520568419</v>
      </c>
      <c r="W103" s="101">
        <f t="shared" si="7"/>
        <v>1.8056671862415501</v>
      </c>
      <c r="X103" s="101">
        <f t="shared" si="8"/>
        <v>0.60924597516019996</v>
      </c>
      <c r="Y103" s="184"/>
      <c r="Z103" s="101">
        <f>Fig1_future_Kaya!AF60</f>
        <v>78.647435114617195</v>
      </c>
      <c r="AA103" s="101">
        <f t="shared" si="9"/>
        <v>1.9006282629510745</v>
      </c>
      <c r="AB103" s="101">
        <f t="shared" si="10"/>
        <v>1.1370423757386916</v>
      </c>
      <c r="AC103" s="101">
        <f t="shared" si="11"/>
        <v>0.38364682942890876</v>
      </c>
      <c r="AD103" s="184"/>
      <c r="AE103" s="101">
        <f>Fig1_future_Kaya!AG60</f>
        <v>47.796789527766919</v>
      </c>
      <c r="AF103" s="101">
        <f t="shared" si="12"/>
        <v>1.1550780889727166</v>
      </c>
      <c r="AG103" s="101">
        <f t="shared" si="13"/>
        <v>0.691020311573181</v>
      </c>
      <c r="AH103" s="103">
        <f t="shared" si="14"/>
        <v>0.23315555977744234</v>
      </c>
    </row>
    <row r="104" spans="1:34">
      <c r="A104">
        <v>2047</v>
      </c>
      <c r="C104" s="183">
        <f>Fig1_future_Kaya!J61*10^6</f>
        <v>2569595084174.9097</v>
      </c>
      <c r="D104" s="101">
        <f t="shared" si="0"/>
        <v>4.0356334474588609</v>
      </c>
      <c r="E104" s="184"/>
      <c r="F104" s="192">
        <f>Fig1_future_Kaya!K61*10^6</f>
        <v>1959080720585.4595</v>
      </c>
      <c r="G104" s="101">
        <f t="shared" si="1"/>
        <v>3.0768005943649004</v>
      </c>
      <c r="H104" s="184"/>
      <c r="I104" s="192">
        <f>Fig1_future_Kaya!L61*10^6</f>
        <v>1080658116342.5453</v>
      </c>
      <c r="J104" s="103">
        <f t="shared" si="2"/>
        <v>1.6972090530676804</v>
      </c>
      <c r="L104" s="126">
        <f>Fig1_future_Kaya!R61</f>
        <v>9.6831455616828279</v>
      </c>
      <c r="M104" s="101">
        <f t="shared" si="3"/>
        <v>3.1076118751977249</v>
      </c>
      <c r="N104" s="184"/>
      <c r="O104" s="101">
        <f>Fig1_future_Kaya!S61</f>
        <v>7.4366847034358745</v>
      </c>
      <c r="P104" s="101">
        <f t="shared" si="4"/>
        <v>1.8196058264767243</v>
      </c>
      <c r="Q104" s="184"/>
      <c r="R104" s="101">
        <f>Fig1_future_Kaya!T61</f>
        <v>4.3556014191335066</v>
      </c>
      <c r="S104" s="103">
        <f t="shared" si="5"/>
        <v>0.58787104423985526</v>
      </c>
      <c r="U104" s="126">
        <f>Fig1_future_Kaya!AE61</f>
        <v>124.89516301119976</v>
      </c>
      <c r="V104" s="101">
        <f t="shared" si="6"/>
        <v>3.1076118751977249</v>
      </c>
      <c r="W104" s="101">
        <f t="shared" si="7"/>
        <v>1.8196058264767243</v>
      </c>
      <c r="X104" s="101">
        <f t="shared" si="8"/>
        <v>0.58787104423985526</v>
      </c>
      <c r="Y104" s="184"/>
      <c r="Z104" s="101">
        <f>Fig1_future_Kaya!AF61</f>
        <v>76.905965139654484</v>
      </c>
      <c r="AA104" s="101">
        <f t="shared" si="9"/>
        <v>1.9135560159371519</v>
      </c>
      <c r="AB104" s="101">
        <f t="shared" si="10"/>
        <v>1.1204480532715457</v>
      </c>
      <c r="AC104" s="101">
        <f t="shared" si="11"/>
        <v>0.36198991974467731</v>
      </c>
      <c r="AD104" s="184"/>
      <c r="AE104" s="101">
        <f>Fig1_future_Kaya!AG61</f>
        <v>45.156617194331332</v>
      </c>
      <c r="AF104" s="101">
        <f t="shared" si="12"/>
        <v>1.1235762575070904</v>
      </c>
      <c r="AG104" s="101">
        <f t="shared" si="13"/>
        <v>0.65788971942345054</v>
      </c>
      <c r="AH104" s="103">
        <f t="shared" si="14"/>
        <v>0.21254840511309853</v>
      </c>
    </row>
    <row r="105" spans="1:34">
      <c r="A105">
        <v>2048</v>
      </c>
      <c r="C105" s="183">
        <f>Fig1_future_Kaya!J62*10^6</f>
        <v>2672378887541.9058</v>
      </c>
      <c r="D105" s="101">
        <f t="shared" si="0"/>
        <v>4.1970587853572159</v>
      </c>
      <c r="E105" s="184"/>
      <c r="F105" s="192">
        <f>Fig1_future_Kaya!K62*10^6</f>
        <v>2014496601130.6218</v>
      </c>
      <c r="G105" s="101">
        <f t="shared" si="1"/>
        <v>3.1638330542360054</v>
      </c>
      <c r="H105" s="184"/>
      <c r="I105" s="192">
        <f>Fig1_future_Kaya!L62*10^6</f>
        <v>1091984740230.4166</v>
      </c>
      <c r="J105" s="103">
        <f t="shared" si="2"/>
        <v>1.7149978877717122</v>
      </c>
      <c r="L105" s="126">
        <f>Fig1_future_Kaya!R62</f>
        <v>9.5863141060660002</v>
      </c>
      <c r="M105" s="101">
        <f t="shared" si="3"/>
        <v>3.1995971867035773</v>
      </c>
      <c r="N105" s="184"/>
      <c r="O105" s="101">
        <f>Fig1_future_Kaya!S62</f>
        <v>7.2879510093671565</v>
      </c>
      <c r="P105" s="101">
        <f t="shared" si="4"/>
        <v>1.8336548974381255</v>
      </c>
      <c r="Q105" s="184"/>
      <c r="R105" s="101">
        <f>Fig1_future_Kaya!T62</f>
        <v>4.1494191034348784</v>
      </c>
      <c r="S105" s="103">
        <f t="shared" si="5"/>
        <v>0.56591276559597592</v>
      </c>
      <c r="U105" s="126">
        <f>Fig1_future_Kaya!AE62</f>
        <v>124.89516301119976</v>
      </c>
      <c r="V105" s="101">
        <f t="shared" si="6"/>
        <v>3.1995971867035768</v>
      </c>
      <c r="W105" s="101">
        <f t="shared" si="7"/>
        <v>1.8336548974381255</v>
      </c>
      <c r="X105" s="101">
        <f t="shared" si="8"/>
        <v>0.56591276559597592</v>
      </c>
      <c r="Y105" s="184"/>
      <c r="Z105" s="101">
        <f>Fig1_future_Kaya!AF62</f>
        <v>75.173210202231189</v>
      </c>
      <c r="AA105" s="101">
        <f t="shared" si="9"/>
        <v>1.9258071015685934</v>
      </c>
      <c r="AB105" s="101">
        <f t="shared" si="10"/>
        <v>1.1036594350023481</v>
      </c>
      <c r="AC105" s="101">
        <f t="shared" si="11"/>
        <v>0.34061750878580827</v>
      </c>
      <c r="AD105" s="184"/>
      <c r="AE105" s="101">
        <f>Fig1_future_Kaya!AG62</f>
        <v>42.570859430947159</v>
      </c>
      <c r="AF105" s="101">
        <f t="shared" si="12"/>
        <v>1.090591491190076</v>
      </c>
      <c r="AG105" s="101">
        <f t="shared" si="13"/>
        <v>0.62500630930523993</v>
      </c>
      <c r="AH105" s="103">
        <f t="shared" si="14"/>
        <v>0.19289292085878848</v>
      </c>
    </row>
    <row r="106" spans="1:34">
      <c r="A106">
        <v>2049</v>
      </c>
      <c r="C106" s="183">
        <f>Fig1_future_Kaya!J63*10^6</f>
        <v>2779274043043.582</v>
      </c>
      <c r="D106" s="101">
        <f t="shared" si="0"/>
        <v>4.3649411367715034</v>
      </c>
      <c r="E106" s="184"/>
      <c r="F106" s="192">
        <f>Fig1_future_Kaya!K63*10^6</f>
        <v>2071483208242.4473</v>
      </c>
      <c r="G106" s="101">
        <f t="shared" si="1"/>
        <v>3.2533323917518708</v>
      </c>
      <c r="H106" s="184"/>
      <c r="I106" s="192">
        <f>Fig1_future_Kaya!L63*10^6</f>
        <v>1103311364118.2883</v>
      </c>
      <c r="J106" s="103">
        <f t="shared" si="2"/>
        <v>1.7327867224757447</v>
      </c>
      <c r="L106" s="126">
        <f>Fig1_future_Kaya!R63</f>
        <v>9.4904509650053406</v>
      </c>
      <c r="M106" s="101">
        <f t="shared" si="3"/>
        <v>3.2943052634300036</v>
      </c>
      <c r="N106" s="184"/>
      <c r="O106" s="101">
        <f>Fig1_future_Kaya!S63</f>
        <v>7.1421919891798131</v>
      </c>
      <c r="P106" s="101">
        <f t="shared" si="4"/>
        <v>1.8478152909616881</v>
      </c>
      <c r="Q106" s="184"/>
      <c r="R106" s="101">
        <f>Fig1_future_Kaya!T63</f>
        <v>3.9432367877362506</v>
      </c>
      <c r="S106" s="103">
        <f t="shared" si="5"/>
        <v>0.54337113922856228</v>
      </c>
      <c r="U106" s="126">
        <f>Fig1_future_Kaya!AE63</f>
        <v>124.89516301119976</v>
      </c>
      <c r="V106" s="101">
        <f t="shared" si="6"/>
        <v>3.2943052634300036</v>
      </c>
      <c r="W106" s="101">
        <f t="shared" si="7"/>
        <v>1.8478152909616881</v>
      </c>
      <c r="X106" s="101">
        <f t="shared" si="8"/>
        <v>0.54337113922856228</v>
      </c>
      <c r="Y106" s="184"/>
      <c r="Z106" s="101">
        <f>Fig1_future_Kaya!AF63</f>
        <v>73.449170302347355</v>
      </c>
      <c r="AA106" s="101">
        <f t="shared" si="9"/>
        <v>1.9373367429761224</v>
      </c>
      <c r="AB106" s="101">
        <f t="shared" si="10"/>
        <v>1.0866753901506663</v>
      </c>
      <c r="AC106" s="101">
        <f t="shared" si="11"/>
        <v>0.3195492794144501</v>
      </c>
      <c r="AD106" s="184"/>
      <c r="AE106" s="101">
        <f>Fig1_future_Kaya!AG63</f>
        <v>40.039516237614414</v>
      </c>
      <c r="AF106" s="101">
        <f t="shared" si="12"/>
        <v>1.0561048635241073</v>
      </c>
      <c r="AG106" s="101">
        <f t="shared" si="13"/>
        <v>0.59238187102520679</v>
      </c>
      <c r="AH106" s="103">
        <f t="shared" si="14"/>
        <v>0.17419663842579797</v>
      </c>
    </row>
    <row r="107" spans="1:34" ht="17" thickBot="1">
      <c r="A107">
        <v>2050</v>
      </c>
      <c r="C107" s="193">
        <f>Fig1_future_Kaya!J64*10^6</f>
        <v>2890445004765.3257</v>
      </c>
      <c r="D107" s="98">
        <f t="shared" si="0"/>
        <v>4.5395387822423654</v>
      </c>
      <c r="E107" s="99"/>
      <c r="F107" s="194">
        <f>Fig1_future_Kaya!K64*10^6</f>
        <v>2130085148308.1699</v>
      </c>
      <c r="G107" s="98">
        <f>(F107*$B$111*$B$112)/10^15</f>
        <v>3.3453686627082146</v>
      </c>
      <c r="H107" s="99"/>
      <c r="I107" s="194">
        <f>Fig1_future_Kaya!L64*10^6</f>
        <v>1114637988006.1594</v>
      </c>
      <c r="J107" s="104">
        <f>(I107*$B$111*$B$112)/10^15</f>
        <v>1.7505755571797761</v>
      </c>
      <c r="L107" s="127">
        <f>Fig1_future_Kaya!R64</f>
        <v>9.3955464553552872</v>
      </c>
      <c r="M107" s="98">
        <f>(C107*L107*$B$111)/10^15</f>
        <v>3.3918166992275318</v>
      </c>
      <c r="N107" s="99"/>
      <c r="O107" s="98">
        <f>Fig1_future_Kaya!S64</f>
        <v>6.9993481493962166</v>
      </c>
      <c r="P107" s="98">
        <f t="shared" si="4"/>
        <v>1.862087906184412</v>
      </c>
      <c r="Q107" s="99"/>
      <c r="R107" s="98">
        <f>Fig1_future_Kaya!T64</f>
        <v>3.7370544720376229</v>
      </c>
      <c r="S107" s="104">
        <f t="shared" si="5"/>
        <v>0.52024616513761379</v>
      </c>
      <c r="U107" s="127">
        <f>Fig1_future_Kaya!AE64</f>
        <v>124.89516301119976</v>
      </c>
      <c r="V107" s="98">
        <f>(L107*U107*C107)/10^15</f>
        <v>3.3918166992275318</v>
      </c>
      <c r="W107" s="98">
        <f t="shared" si="7"/>
        <v>1.862087906184412</v>
      </c>
      <c r="X107" s="98">
        <f t="shared" si="8"/>
        <v>0.52024616513761379</v>
      </c>
      <c r="Y107" s="99"/>
      <c r="Z107" s="98">
        <f>Fig1_future_Kaya!AF64</f>
        <v>71.733845440002966</v>
      </c>
      <c r="AA107" s="98">
        <f>(C107*L107*Z107)/10^15</f>
        <v>1.9480983009837665</v>
      </c>
      <c r="AB107" s="98">
        <f>(F107*O107*Z107)/10^15</f>
        <v>1.0694947893694911</v>
      </c>
      <c r="AC107" s="98">
        <f>(I107*R107*Z107)/10^15</f>
        <v>0.29880467026084356</v>
      </c>
      <c r="AD107" s="99"/>
      <c r="AE107" s="98">
        <f>Fig1_future_Kaya!AG64</f>
        <v>37.562587614333069</v>
      </c>
      <c r="AF107" s="98">
        <f t="shared" si="12"/>
        <v>1.0200988482241486</v>
      </c>
      <c r="AG107" s="98">
        <f t="shared" si="13"/>
        <v>0.56002841451409779</v>
      </c>
      <c r="AH107" s="104">
        <f t="shared" si="14"/>
        <v>0.15646556430091715</v>
      </c>
    </row>
    <row r="108" spans="1:34">
      <c r="L108" s="68"/>
      <c r="M108" s="68"/>
      <c r="N108" s="68"/>
      <c r="O108" s="68"/>
      <c r="P108" s="68"/>
      <c r="Q108" s="68"/>
      <c r="R108" s="101"/>
      <c r="S108" s="68"/>
    </row>
    <row r="110" spans="1:34" ht="17" thickBot="1">
      <c r="A110">
        <v>2021</v>
      </c>
    </row>
    <row r="111" spans="1:34" ht="28" customHeight="1">
      <c r="A111" s="69" t="s">
        <v>286</v>
      </c>
      <c r="B111" s="179">
        <f>E71</f>
        <v>124.89516301119976</v>
      </c>
      <c r="C111" s="95" t="s">
        <v>242</v>
      </c>
    </row>
    <row r="112" spans="1:34" ht="35" thickBot="1">
      <c r="A112" s="180" t="s">
        <v>287</v>
      </c>
      <c r="B112" s="98">
        <f>D71</f>
        <v>12.574809105739336</v>
      </c>
      <c r="C112" s="97" t="s">
        <v>288</v>
      </c>
    </row>
    <row r="116" spans="1:34" ht="17" thickBot="1">
      <c r="A116" s="79" t="s">
        <v>319</v>
      </c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</row>
    <row r="117" spans="1:34" s="184" customFormat="1">
      <c r="C117" s="372" t="s">
        <v>259</v>
      </c>
      <c r="D117" s="373"/>
      <c r="E117" s="373"/>
      <c r="F117" s="373"/>
      <c r="G117" s="373"/>
      <c r="H117" s="373"/>
      <c r="I117" s="373"/>
      <c r="J117" s="374"/>
      <c r="L117" s="372" t="s">
        <v>260</v>
      </c>
      <c r="M117" s="373"/>
      <c r="N117" s="373"/>
      <c r="O117" s="373"/>
      <c r="P117" s="373"/>
      <c r="Q117" s="373"/>
      <c r="R117" s="373"/>
      <c r="S117" s="374"/>
      <c r="U117" s="372" t="s">
        <v>261</v>
      </c>
      <c r="V117" s="373"/>
      <c r="W117" s="373"/>
      <c r="X117" s="373"/>
      <c r="Y117" s="373"/>
      <c r="Z117" s="373"/>
      <c r="AA117" s="373"/>
      <c r="AB117" s="373"/>
      <c r="AC117" s="373"/>
      <c r="AD117" s="373"/>
      <c r="AE117" s="373"/>
      <c r="AF117" s="373"/>
      <c r="AG117" s="168"/>
      <c r="AH117" s="169"/>
    </row>
    <row r="118" spans="1:34" s="184" customFormat="1">
      <c r="C118" s="375" t="s">
        <v>279</v>
      </c>
      <c r="D118" s="376"/>
      <c r="E118" s="376"/>
      <c r="F118" s="376"/>
      <c r="G118" s="376"/>
      <c r="H118" s="376"/>
      <c r="I118" s="376"/>
      <c r="J118" s="377"/>
      <c r="L118" s="170"/>
      <c r="M118" s="184" t="s">
        <v>280</v>
      </c>
      <c r="S118" s="171"/>
      <c r="U118" s="375" t="s">
        <v>281</v>
      </c>
      <c r="V118" s="376"/>
      <c r="W118" s="376"/>
      <c r="X118" s="376"/>
      <c r="Y118" s="376"/>
      <c r="Z118" s="376"/>
      <c r="AA118" s="376"/>
      <c r="AB118" s="376"/>
      <c r="AC118" s="376"/>
      <c r="AD118" s="376"/>
      <c r="AE118" s="376"/>
      <c r="AF118" s="376"/>
      <c r="AG118" s="376"/>
      <c r="AH118" s="377"/>
    </row>
    <row r="119" spans="1:34" s="184" customFormat="1" ht="16" customHeight="1">
      <c r="C119" s="366" t="s">
        <v>244</v>
      </c>
      <c r="D119" s="367"/>
      <c r="F119" s="368" t="s">
        <v>268</v>
      </c>
      <c r="G119" s="368"/>
      <c r="I119" s="369" t="s">
        <v>177</v>
      </c>
      <c r="J119" s="370"/>
      <c r="L119" s="366" t="s">
        <v>244</v>
      </c>
      <c r="M119" s="367"/>
      <c r="O119" s="368" t="s">
        <v>268</v>
      </c>
      <c r="P119" s="368"/>
      <c r="R119" s="369" t="s">
        <v>177</v>
      </c>
      <c r="S119" s="370"/>
      <c r="U119" s="366" t="s">
        <v>121</v>
      </c>
      <c r="V119" s="367"/>
      <c r="W119" s="367"/>
      <c r="X119" s="367"/>
      <c r="Z119" s="368" t="s">
        <v>189</v>
      </c>
      <c r="AA119" s="368"/>
      <c r="AB119" s="368"/>
      <c r="AC119" s="368"/>
      <c r="AE119" s="369" t="s">
        <v>282</v>
      </c>
      <c r="AF119" s="369"/>
      <c r="AG119" s="369"/>
      <c r="AH119" s="370"/>
    </row>
    <row r="120" spans="1:34" s="184" customFormat="1" ht="16" customHeight="1">
      <c r="C120" s="172"/>
      <c r="D120" s="185"/>
      <c r="F120" s="186"/>
      <c r="G120" s="186"/>
      <c r="I120" s="187"/>
      <c r="J120" s="173"/>
      <c r="L120" s="172"/>
      <c r="M120" s="185"/>
      <c r="O120" s="186"/>
      <c r="P120" s="186"/>
      <c r="R120" s="187"/>
      <c r="S120" s="173"/>
      <c r="U120" s="43"/>
      <c r="V120" s="195" t="s">
        <v>244</v>
      </c>
      <c r="W120" s="196" t="s">
        <v>268</v>
      </c>
      <c r="X120" s="197" t="s">
        <v>177</v>
      </c>
      <c r="Z120" s="129"/>
      <c r="AA120" s="195" t="s">
        <v>244</v>
      </c>
      <c r="AB120" s="196" t="s">
        <v>268</v>
      </c>
      <c r="AC120" s="197" t="s">
        <v>177</v>
      </c>
      <c r="AE120" s="129"/>
      <c r="AF120" s="195" t="s">
        <v>244</v>
      </c>
      <c r="AG120" s="196" t="s">
        <v>268</v>
      </c>
      <c r="AH120" s="174" t="s">
        <v>177</v>
      </c>
    </row>
    <row r="121" spans="1:34" s="189" customFormat="1" ht="34">
      <c r="C121" s="198" t="s">
        <v>283</v>
      </c>
      <c r="D121" s="188" t="s">
        <v>320</v>
      </c>
      <c r="F121" s="190" t="s">
        <v>283</v>
      </c>
      <c r="G121" s="190" t="s">
        <v>320</v>
      </c>
      <c r="I121" s="191" t="s">
        <v>283</v>
      </c>
      <c r="J121" s="176" t="s">
        <v>320</v>
      </c>
      <c r="L121" s="198" t="s">
        <v>285</v>
      </c>
      <c r="M121" s="188" t="s">
        <v>320</v>
      </c>
      <c r="O121" s="190" t="s">
        <v>285</v>
      </c>
      <c r="P121" s="190" t="s">
        <v>320</v>
      </c>
      <c r="R121" s="191" t="s">
        <v>285</v>
      </c>
      <c r="S121" s="176" t="s">
        <v>320</v>
      </c>
      <c r="U121" s="177" t="s">
        <v>58</v>
      </c>
      <c r="V121" s="75" t="s">
        <v>320</v>
      </c>
      <c r="W121" s="75" t="s">
        <v>320</v>
      </c>
      <c r="X121" s="75" t="s">
        <v>320</v>
      </c>
      <c r="Z121" s="133" t="s">
        <v>58</v>
      </c>
      <c r="AA121" s="75" t="s">
        <v>320</v>
      </c>
      <c r="AB121" s="75" t="s">
        <v>320</v>
      </c>
      <c r="AC121" s="75" t="s">
        <v>320</v>
      </c>
      <c r="AE121" s="133" t="s">
        <v>58</v>
      </c>
      <c r="AF121" s="75" t="s">
        <v>320</v>
      </c>
      <c r="AG121" s="75" t="s">
        <v>320</v>
      </c>
      <c r="AH121" s="178" t="s">
        <v>320</v>
      </c>
    </row>
    <row r="122" spans="1:34" s="68" customFormat="1">
      <c r="A122" s="68">
        <v>2022</v>
      </c>
      <c r="C122" s="183">
        <f>Fig1_future_Kaya!J36*10^6</f>
        <v>871240571894.19678</v>
      </c>
      <c r="D122" s="101">
        <f>(C122*$B$154*$B$155)/10^15</f>
        <v>0.80488936687364776</v>
      </c>
      <c r="E122" s="184"/>
      <c r="F122" s="192">
        <f>Fig1_future_Kaya!K36*10^6</f>
        <v>867894656955.89612</v>
      </c>
      <c r="G122" s="101">
        <f>(F122*$B$154*$B$155)/10^15</f>
        <v>0.80179826730461967</v>
      </c>
      <c r="H122" s="184"/>
      <c r="I122" s="192">
        <f>Fig1_future_Kaya!L36*10^6</f>
        <v>797492519145.75732</v>
      </c>
      <c r="J122" s="103">
        <f>(I122*$B$154*$B$155)/10^15</f>
        <v>0.73675775615698758</v>
      </c>
      <c r="L122" s="126">
        <f>Fig1_future_Kaya!R36</f>
        <v>12.449061014681941</v>
      </c>
      <c r="M122" s="101">
        <f>(C122*L122*$B$154)/10^15</f>
        <v>0.79684047320491125</v>
      </c>
      <c r="N122" s="184"/>
      <c r="O122" s="101">
        <f>Fig1_future_Kaya!S36</f>
        <v>12.323312923624549</v>
      </c>
      <c r="P122" s="101">
        <f>(F122*O122*$B$154)/10^15</f>
        <v>0.78576230195852736</v>
      </c>
      <c r="Q122" s="184"/>
      <c r="R122" s="101">
        <f>Fig1_future_Kaya!T36</f>
        <v>11.654009920430333</v>
      </c>
      <c r="S122" s="103">
        <f>(I122*R122*$B$154)/10^15</f>
        <v>0.68280815454197707</v>
      </c>
      <c r="U122" s="126">
        <f>Fig1_future_Kaya!AA36</f>
        <v>73.467742947764563</v>
      </c>
      <c r="V122" s="101">
        <f>(C122*L122*U122)/10^15</f>
        <v>0.79684047320491125</v>
      </c>
      <c r="W122" s="101">
        <f>(F122*O122*U122)/10^15</f>
        <v>0.78576230195852736</v>
      </c>
      <c r="X122" s="101">
        <f>(I122*R122*U122)/10^15</f>
        <v>0.68280815454197707</v>
      </c>
      <c r="Y122" s="184"/>
      <c r="Z122" s="101">
        <f>Fig1_future_Kaya!AB36</f>
        <v>73.467742947764563</v>
      </c>
      <c r="AA122" s="101">
        <f>(C122*L122*Z122)/10^15</f>
        <v>0.79684047320491125</v>
      </c>
      <c r="AB122" s="101">
        <f>(F122*O122*Z122)/10^15</f>
        <v>0.78576230195852736</v>
      </c>
      <c r="AC122" s="101">
        <f>(I122*R122*Z122)/10^15</f>
        <v>0.68280815454197707</v>
      </c>
      <c r="AD122" s="184"/>
      <c r="AE122" s="101">
        <f>Fig1_future_Kaya!AC36</f>
        <v>73.467742947764563</v>
      </c>
      <c r="AF122" s="101">
        <f>(C122*L122*AE122)/10^15</f>
        <v>0.79684047320491125</v>
      </c>
      <c r="AG122" s="101">
        <f>(F122*O122*AE122)/10^15</f>
        <v>0.78576230195852736</v>
      </c>
      <c r="AH122" s="103">
        <f>(I122*R122*AE122)/10^15</f>
        <v>0.68280815454197707</v>
      </c>
    </row>
    <row r="123" spans="1:34" s="68" customFormat="1">
      <c r="A123" s="68">
        <v>2023</v>
      </c>
      <c r="C123" s="183">
        <f>Fig1_future_Kaya!J37*10^6</f>
        <v>956697638809.17065</v>
      </c>
      <c r="D123" s="101">
        <f t="shared" ref="D123:D150" si="15">(C123*$B$154*$B$155)/10^15</f>
        <v>0.88383826652661901</v>
      </c>
      <c r="E123" s="184"/>
      <c r="F123" s="192">
        <f>Fig1_future_Kaya!K37*10^6</f>
        <v>949784978546.64185</v>
      </c>
      <c r="G123" s="101">
        <f t="shared" ref="G123:G150" si="16">(F123*$B$154*$B$155)/10^15</f>
        <v>0.8774520548170075</v>
      </c>
      <c r="H123" s="184"/>
      <c r="I123" s="192">
        <f>Fig1_future_Kaya!L37*10^6</f>
        <v>808819143033.62878</v>
      </c>
      <c r="J123" s="103">
        <f t="shared" ref="J123:J150" si="17">(I123*$B$154*$B$155)/10^15</f>
        <v>0.74722177657112399</v>
      </c>
      <c r="L123" s="126">
        <f>Fig1_future_Kaya!R37</f>
        <v>12.324570404535121</v>
      </c>
      <c r="M123" s="101">
        <f t="shared" ref="M123:M150" si="18">(C123*L123*$B$154)/10^15</f>
        <v>0.86624988502273936</v>
      </c>
      <c r="N123" s="184"/>
      <c r="O123" s="101">
        <f>Fig1_future_Kaya!S37</f>
        <v>12.076846665152058</v>
      </c>
      <c r="P123" s="101">
        <f t="shared" ref="P123:P150" si="19">(F123*O123*$B$154)/10^15</f>
        <v>0.84270495344625385</v>
      </c>
      <c r="Q123" s="184"/>
      <c r="R123" s="101">
        <f>Fig1_future_Kaya!T37</f>
        <v>10.733210735121331</v>
      </c>
      <c r="S123" s="103">
        <f t="shared" ref="S123:S150" si="20">(I123*R123*$B$154)/10^15</f>
        <v>0.63779010292483329</v>
      </c>
      <c r="U123" s="126">
        <f>Fig1_future_Kaya!AA37</f>
        <v>73.467742947764563</v>
      </c>
      <c r="V123" s="101">
        <f t="shared" ref="V123:V149" si="21">(L123*U123*C123)/10^15</f>
        <v>0.86624988502273925</v>
      </c>
      <c r="W123" s="101">
        <f t="shared" ref="W123:W150" si="22">(F123*O123*U123)/10^15</f>
        <v>0.84270495344625385</v>
      </c>
      <c r="X123" s="101">
        <f t="shared" ref="X123:X150" si="23">(I123*R123*U123)/10^15</f>
        <v>0.63779010292483329</v>
      </c>
      <c r="Y123" s="184"/>
      <c r="Z123" s="101">
        <f>Fig1_future_Kaya!AB37</f>
        <v>72.977957994779473</v>
      </c>
      <c r="AA123" s="101">
        <f t="shared" ref="AA123:AA149" si="24">(C123*L123*Z123)/10^15</f>
        <v>0.86047488578925446</v>
      </c>
      <c r="AB123" s="101">
        <f t="shared" ref="AB123:AB149" si="25">(F123*O123*Z123)/10^15</f>
        <v>0.83708692042327904</v>
      </c>
      <c r="AC123" s="101">
        <f t="shared" ref="AC123:AC149" si="26">(I123*R123*Z123)/10^15</f>
        <v>0.63353816890533432</v>
      </c>
      <c r="AD123" s="184"/>
      <c r="AE123" s="101">
        <f>Fig1_future_Kaya!AC37</f>
        <v>70.843894985344406</v>
      </c>
      <c r="AF123" s="101">
        <f t="shared" ref="AF123:AF150" si="27">(C123*L123*AE123)/10^15</f>
        <v>0.83531238912907013</v>
      </c>
      <c r="AG123" s="101">
        <f t="shared" ref="AG123:AG150" si="28">(F123*O123*AE123)/10^15</f>
        <v>0.81260834796603065</v>
      </c>
      <c r="AH123" s="103">
        <f t="shared" ref="AH123:AH150" si="29">(I123*R123*AE123)/10^15</f>
        <v>0.61501188496323211</v>
      </c>
    </row>
    <row r="124" spans="1:34" s="68" customFormat="1">
      <c r="A124" s="68">
        <v>2024</v>
      </c>
      <c r="C124" s="183">
        <f>Fig1_future_Kaya!J38*10^6</f>
        <v>1042552391613.954</v>
      </c>
      <c r="D124" s="101">
        <f t="shared" si="15"/>
        <v>0.96315456544265188</v>
      </c>
      <c r="E124" s="184"/>
      <c r="F124" s="192">
        <f>Fig1_future_Kaya!K38*10^6</f>
        <v>1031841060587.3335</v>
      </c>
      <c r="G124" s="101">
        <f t="shared" si="16"/>
        <v>0.95325897893472988</v>
      </c>
      <c r="H124" s="184"/>
      <c r="I124" s="192">
        <f>Fig1_future_Kaya!L38*10^6</f>
        <v>820145766921.50049</v>
      </c>
      <c r="J124" s="103">
        <f t="shared" si="17"/>
        <v>0.75768579698526062</v>
      </c>
      <c r="L124" s="126">
        <f>Fig1_future_Kaya!R38</f>
        <v>12.201324700489771</v>
      </c>
      <c r="M124" s="101">
        <f t="shared" si="18"/>
        <v>0.93454791169443974</v>
      </c>
      <c r="N124" s="184"/>
      <c r="O124" s="101">
        <f>Fig1_future_Kaya!S38</f>
        <v>11.835309731849016</v>
      </c>
      <c r="P124" s="101">
        <f t="shared" si="19"/>
        <v>0.8971997249015361</v>
      </c>
      <c r="Q124" s="184"/>
      <c r="R124" s="101">
        <f>Fig1_future_Kaya!T38</f>
        <v>9.8124115498123281</v>
      </c>
      <c r="S124" s="103">
        <f t="shared" si="20"/>
        <v>0.59123958089141948</v>
      </c>
      <c r="U124" s="126">
        <f>Fig1_future_Kaya!AA38</f>
        <v>73.467742947764563</v>
      </c>
      <c r="V124" s="101">
        <f t="shared" si="21"/>
        <v>0.93454791169443974</v>
      </c>
      <c r="W124" s="101">
        <f t="shared" si="22"/>
        <v>0.8971997249015361</v>
      </c>
      <c r="X124" s="101">
        <f t="shared" si="23"/>
        <v>0.59123958089141948</v>
      </c>
      <c r="Y124" s="184"/>
      <c r="Z124" s="101">
        <f>Fig1_future_Kaya!AB38</f>
        <v>72.488173041794369</v>
      </c>
      <c r="AA124" s="101">
        <f t="shared" si="24"/>
        <v>0.92208727287184722</v>
      </c>
      <c r="AB124" s="101">
        <f t="shared" si="25"/>
        <v>0.88523706190284901</v>
      </c>
      <c r="AC124" s="101">
        <f t="shared" si="26"/>
        <v>0.58335638647953392</v>
      </c>
      <c r="AD124" s="184"/>
      <c r="AE124" s="101">
        <f>Fig1_future_Kaya!AC38</f>
        <v>68.220047022924234</v>
      </c>
      <c r="AF124" s="101">
        <f t="shared" si="27"/>
        <v>0.86779448943055115</v>
      </c>
      <c r="AG124" s="101">
        <f t="shared" si="28"/>
        <v>0.83311403026571218</v>
      </c>
      <c r="AH124" s="103">
        <f t="shared" si="29"/>
        <v>0.54900818225631809</v>
      </c>
    </row>
    <row r="125" spans="1:34" s="68" customFormat="1">
      <c r="A125" s="68">
        <v>2025</v>
      </c>
      <c r="C125" s="183">
        <f>Fig1_future_Kaya!J39*10^6</f>
        <v>1084254487278.5122</v>
      </c>
      <c r="D125" s="101">
        <f t="shared" si="15"/>
        <v>1.0016807480603582</v>
      </c>
      <c r="E125" s="184"/>
      <c r="F125" s="192">
        <f>Fig1_future_Kaya!K39*10^6</f>
        <v>1060990078352.9128</v>
      </c>
      <c r="G125" s="101">
        <f t="shared" si="16"/>
        <v>0.98018809037787225</v>
      </c>
      <c r="H125" s="184"/>
      <c r="I125" s="192">
        <f>Fig1_future_Kaya!L39*10^6</f>
        <v>831472390809.37207</v>
      </c>
      <c r="J125" s="103">
        <f t="shared" si="17"/>
        <v>0.76814981739939725</v>
      </c>
      <c r="L125" s="126">
        <f>Fig1_future_Kaya!R39</f>
        <v>12.079311453484873</v>
      </c>
      <c r="M125" s="101">
        <f t="shared" si="18"/>
        <v>0.9622105298805953</v>
      </c>
      <c r="N125" s="184"/>
      <c r="O125" s="101">
        <f>Fig1_future_Kaya!S39</f>
        <v>11.598603537212036</v>
      </c>
      <c r="P125" s="101">
        <f t="shared" si="19"/>
        <v>0.90409428537575154</v>
      </c>
      <c r="Q125" s="184"/>
      <c r="R125" s="101">
        <f>Fig1_future_Kaya!T39</f>
        <v>8.8916123645033256</v>
      </c>
      <c r="S125" s="103">
        <f t="shared" si="20"/>
        <v>0.54315658844173587</v>
      </c>
      <c r="U125" s="126">
        <f>Fig1_future_Kaya!AA39</f>
        <v>73.467742947764563</v>
      </c>
      <c r="V125" s="101">
        <f t="shared" si="21"/>
        <v>0.9622105298805953</v>
      </c>
      <c r="W125" s="101">
        <f t="shared" si="22"/>
        <v>0.90409428537575154</v>
      </c>
      <c r="X125" s="101">
        <f t="shared" si="23"/>
        <v>0.54315658844173587</v>
      </c>
      <c r="Y125" s="184"/>
      <c r="Z125" s="101">
        <f>Fig1_future_Kaya!AB39</f>
        <v>71.804280434521843</v>
      </c>
      <c r="AA125" s="101">
        <f t="shared" si="24"/>
        <v>0.94042408208619632</v>
      </c>
      <c r="AB125" s="101">
        <f t="shared" si="25"/>
        <v>0.88362371023873088</v>
      </c>
      <c r="AC125" s="101">
        <f t="shared" si="26"/>
        <v>0.530858393513711</v>
      </c>
      <c r="AD125" s="184"/>
      <c r="AE125" s="101">
        <f>Fig1_future_Kaya!AC39</f>
        <v>64.916016934861304</v>
      </c>
      <c r="AF125" s="101">
        <f t="shared" si="27"/>
        <v>0.85020816682828526</v>
      </c>
      <c r="AG125" s="101">
        <f t="shared" si="28"/>
        <v>0.79885671704781025</v>
      </c>
      <c r="AH125" s="103">
        <f t="shared" si="29"/>
        <v>0.47993256467174583</v>
      </c>
    </row>
    <row r="126" spans="1:34" s="68" customFormat="1">
      <c r="A126" s="68">
        <v>2026</v>
      </c>
      <c r="C126" s="183">
        <f>Fig1_future_Kaya!J40*10^6</f>
        <v>1127624666769.6528</v>
      </c>
      <c r="D126" s="101">
        <f t="shared" si="15"/>
        <v>1.0417479779827725</v>
      </c>
      <c r="E126" s="184"/>
      <c r="F126" s="192">
        <f>Fig1_future_Kaya!K40*10^6</f>
        <v>1090964283935.9156</v>
      </c>
      <c r="G126" s="101">
        <f t="shared" si="16"/>
        <v>1.0078795456802701</v>
      </c>
      <c r="H126" s="184"/>
      <c r="I126" s="192">
        <f>Fig1_future_Kaya!L40*10^6</f>
        <v>842799014697.24341</v>
      </c>
      <c r="J126" s="103">
        <f t="shared" si="17"/>
        <v>0.77861383781353366</v>
      </c>
      <c r="L126" s="126">
        <f>Fig1_future_Kaya!R40</f>
        <v>11.958518338950025</v>
      </c>
      <c r="M126" s="101">
        <f t="shared" si="18"/>
        <v>0.99069196156506101</v>
      </c>
      <c r="N126" s="184"/>
      <c r="O126" s="101">
        <f>Fig1_future_Kaya!S40</f>
        <v>11.366631466467794</v>
      </c>
      <c r="P126" s="101">
        <f t="shared" si="19"/>
        <v>0.9110432820097315</v>
      </c>
      <c r="Q126" s="184"/>
      <c r="R126" s="101">
        <f>Fig1_future_Kaya!T40</f>
        <v>8.6854300488046974</v>
      </c>
      <c r="S126" s="103">
        <f t="shared" si="20"/>
        <v>0.53778915977931308</v>
      </c>
      <c r="U126" s="126">
        <f>Fig1_future_Kaya!AA40</f>
        <v>73.467742947764563</v>
      </c>
      <c r="V126" s="101">
        <f t="shared" si="21"/>
        <v>0.99069196156506101</v>
      </c>
      <c r="W126" s="101">
        <f t="shared" si="22"/>
        <v>0.9110432820097315</v>
      </c>
      <c r="X126" s="101">
        <f t="shared" si="23"/>
        <v>0.53778915977931308</v>
      </c>
      <c r="Y126" s="184"/>
      <c r="Z126" s="101">
        <f>Fig1_future_Kaya!AB40</f>
        <v>71.14251450901655</v>
      </c>
      <c r="AA126" s="101">
        <f t="shared" si="24"/>
        <v>0.95933690653488302</v>
      </c>
      <c r="AB126" s="101">
        <f t="shared" si="25"/>
        <v>0.88220907990602027</v>
      </c>
      <c r="AC126" s="101">
        <f t="shared" si="26"/>
        <v>0.52076832045315669</v>
      </c>
      <c r="AD126" s="184"/>
      <c r="AE126" s="101">
        <f>Fig1_future_Kaya!AC40</f>
        <v>61.666401416849808</v>
      </c>
      <c r="AF126" s="101">
        <f t="shared" si="27"/>
        <v>0.83155417236315521</v>
      </c>
      <c r="AG126" s="101">
        <f t="shared" si="28"/>
        <v>0.76469969652505643</v>
      </c>
      <c r="AH126" s="103">
        <f t="shared" si="29"/>
        <v>0.45140249140579564</v>
      </c>
    </row>
    <row r="127" spans="1:34" s="68" customFormat="1">
      <c r="A127" s="68">
        <v>2027</v>
      </c>
      <c r="C127" s="183">
        <f>Fig1_future_Kaya!J41*10^6</f>
        <v>1172729653440.4392</v>
      </c>
      <c r="D127" s="101">
        <f t="shared" si="15"/>
        <v>1.0834178971020836</v>
      </c>
      <c r="E127" s="184"/>
      <c r="F127" s="192">
        <f>Fig1_future_Kaya!K41*10^6</f>
        <v>1121787084306.9055</v>
      </c>
      <c r="G127" s="101">
        <f t="shared" si="16"/>
        <v>1.0363549692041549</v>
      </c>
      <c r="H127" s="184"/>
      <c r="I127" s="192">
        <f>Fig1_future_Kaya!L41*10^6</f>
        <v>854125638585.11511</v>
      </c>
      <c r="J127" s="103">
        <f t="shared" si="17"/>
        <v>0.78907785822767029</v>
      </c>
      <c r="L127" s="126">
        <f>Fig1_future_Kaya!R41</f>
        <v>11.838933155560525</v>
      </c>
      <c r="M127" s="101">
        <f t="shared" si="18"/>
        <v>1.0200164436273871</v>
      </c>
      <c r="N127" s="184"/>
      <c r="O127" s="101">
        <f>Fig1_future_Kaya!S41</f>
        <v>11.139298837138439</v>
      </c>
      <c r="P127" s="101">
        <f t="shared" si="19"/>
        <v>0.91804715334004572</v>
      </c>
      <c r="Q127" s="184"/>
      <c r="R127" s="101">
        <f>Fig1_future_Kaya!T41</f>
        <v>8.4792477331060692</v>
      </c>
      <c r="S127" s="103">
        <f t="shared" si="20"/>
        <v>0.53207858539716424</v>
      </c>
      <c r="U127" s="126">
        <f>Fig1_future_Kaya!AA41</f>
        <v>73.467742947764563</v>
      </c>
      <c r="V127" s="101">
        <f t="shared" si="21"/>
        <v>1.0200164436273871</v>
      </c>
      <c r="W127" s="101">
        <f t="shared" si="22"/>
        <v>0.91804715334004572</v>
      </c>
      <c r="X127" s="101">
        <f t="shared" si="23"/>
        <v>0.53207858539716424</v>
      </c>
      <c r="Y127" s="184"/>
      <c r="Z127" s="101">
        <f>Fig1_future_Kaya!AB41</f>
        <v>70.483283867159102</v>
      </c>
      <c r="AA127" s="101">
        <f t="shared" si="24"/>
        <v>0.97858060777062117</v>
      </c>
      <c r="AB127" s="101">
        <f t="shared" si="25"/>
        <v>0.8807535867586177</v>
      </c>
      <c r="AC127" s="101">
        <f t="shared" si="26"/>
        <v>0.51046410940988207</v>
      </c>
      <c r="AD127" s="184"/>
      <c r="AE127" s="101">
        <f>Fig1_future_Kaya!AC41</f>
        <v>58.471200468889712</v>
      </c>
      <c r="AF127" s="101">
        <f t="shared" si="27"/>
        <v>0.8118064277448398</v>
      </c>
      <c r="AG127" s="101">
        <f t="shared" si="28"/>
        <v>0.73065153479677813</v>
      </c>
      <c r="AH127" s="103">
        <f t="shared" si="29"/>
        <v>0.42346848267927473</v>
      </c>
    </row>
    <row r="128" spans="1:34" s="68" customFormat="1">
      <c r="A128" s="68">
        <v>2028</v>
      </c>
      <c r="C128" s="183">
        <f>Fig1_future_Kaya!J42*10^6</f>
        <v>1219638839578.0566</v>
      </c>
      <c r="D128" s="101">
        <f t="shared" si="15"/>
        <v>1.126754612986167</v>
      </c>
      <c r="E128" s="184"/>
      <c r="F128" s="192">
        <f>Fig1_future_Kaya!K42*10^6</f>
        <v>1153482551628.2122</v>
      </c>
      <c r="G128" s="101">
        <f t="shared" si="16"/>
        <v>1.0656365998444104</v>
      </c>
      <c r="H128" s="184"/>
      <c r="I128" s="192">
        <f>Fig1_future_Kaya!L42*10^6</f>
        <v>865452262472.98669</v>
      </c>
      <c r="J128" s="103">
        <f t="shared" si="17"/>
        <v>0.79954187864180692</v>
      </c>
      <c r="L128" s="126">
        <f>Fig1_future_Kaya!R42</f>
        <v>11.72054382400492</v>
      </c>
      <c r="M128" s="101">
        <f t="shared" si="18"/>
        <v>1.0502089303587576</v>
      </c>
      <c r="N128" s="184"/>
      <c r="O128" s="101">
        <f>Fig1_future_Kaya!S42</f>
        <v>10.91651286039567</v>
      </c>
      <c r="P128" s="101">
        <f t="shared" si="19"/>
        <v>0.92510634148715021</v>
      </c>
      <c r="Q128" s="184"/>
      <c r="R128" s="101">
        <f>Fig1_future_Kaya!T42</f>
        <v>8.2730654174074409</v>
      </c>
      <c r="S128" s="103">
        <f t="shared" si="20"/>
        <v>0.52602486529528913</v>
      </c>
      <c r="U128" s="126">
        <f>Fig1_future_Kaya!AA42</f>
        <v>73.467742947764563</v>
      </c>
      <c r="V128" s="101">
        <f t="shared" si="21"/>
        <v>1.0502089303587576</v>
      </c>
      <c r="W128" s="101">
        <f t="shared" si="22"/>
        <v>0.92510634148715021</v>
      </c>
      <c r="X128" s="101">
        <f t="shared" si="23"/>
        <v>0.52602486529528913</v>
      </c>
      <c r="Y128" s="184"/>
      <c r="Z128" s="101">
        <f>Fig1_future_Kaya!AB42</f>
        <v>69.826588508949484</v>
      </c>
      <c r="AA128" s="101">
        <f t="shared" si="24"/>
        <v>0.99815924494542096</v>
      </c>
      <c r="AB128" s="101">
        <f t="shared" si="25"/>
        <v>0.87925689890829117</v>
      </c>
      <c r="AC128" s="101">
        <f t="shared" si="26"/>
        <v>0.49995440639254529</v>
      </c>
      <c r="AD128" s="184"/>
      <c r="AE128" s="101">
        <f>Fig1_future_Kaya!AC42</f>
        <v>55.330414090981058</v>
      </c>
      <c r="AF128" s="101">
        <f t="shared" si="27"/>
        <v>0.79093888919537636</v>
      </c>
      <c r="AG128" s="101">
        <f t="shared" si="28"/>
        <v>0.69672096758260404</v>
      </c>
      <c r="AH128" s="103">
        <f t="shared" si="29"/>
        <v>0.39616262118784029</v>
      </c>
    </row>
    <row r="129" spans="1:34" s="68" customFormat="1">
      <c r="A129" s="68">
        <v>2029</v>
      </c>
      <c r="C129" s="183">
        <f>Fig1_future_Kaya!J43*10^6</f>
        <v>1268424393161.179</v>
      </c>
      <c r="D129" s="101">
        <f t="shared" si="15"/>
        <v>1.1718247975056137</v>
      </c>
      <c r="E129" s="184"/>
      <c r="F129" s="192">
        <f>Fig1_future_Kaya!K43*10^6</f>
        <v>1186075442190.6235</v>
      </c>
      <c r="G129" s="101">
        <f t="shared" si="16"/>
        <v>1.0957473085231004</v>
      </c>
      <c r="H129" s="184"/>
      <c r="I129" s="192">
        <f>Fig1_future_Kaya!L43*10^6</f>
        <v>876778886360.85828</v>
      </c>
      <c r="J129" s="103">
        <f t="shared" si="17"/>
        <v>0.81000589905594333</v>
      </c>
      <c r="L129" s="126">
        <f>Fig1_future_Kaya!R43</f>
        <v>11.603338385764872</v>
      </c>
      <c r="M129" s="101">
        <f t="shared" si="18"/>
        <v>1.081295114697377</v>
      </c>
      <c r="N129" s="184"/>
      <c r="O129" s="101">
        <f>Fig1_future_Kaya!S43</f>
        <v>10.698182603187757</v>
      </c>
      <c r="P129" s="101">
        <f t="shared" si="19"/>
        <v>0.93222129218496907</v>
      </c>
      <c r="Q129" s="184"/>
      <c r="R129" s="101">
        <f>Fig1_future_Kaya!T43</f>
        <v>8.0668831017088127</v>
      </c>
      <c r="S129" s="103">
        <f t="shared" si="20"/>
        <v>0.51962799947368787</v>
      </c>
      <c r="U129" s="126">
        <f>Fig1_future_Kaya!AA43</f>
        <v>73.467742947764563</v>
      </c>
      <c r="V129" s="101">
        <f t="shared" si="21"/>
        <v>1.081295114697377</v>
      </c>
      <c r="W129" s="101">
        <f t="shared" si="22"/>
        <v>0.93222129218496907</v>
      </c>
      <c r="X129" s="101">
        <f t="shared" si="23"/>
        <v>0.51962799947368787</v>
      </c>
      <c r="Y129" s="184"/>
      <c r="Z129" s="101">
        <f>Fig1_future_Kaya!AB43</f>
        <v>69.172428434387712</v>
      </c>
      <c r="AA129" s="101">
        <f t="shared" si="24"/>
        <v>1.0180768584525191</v>
      </c>
      <c r="AB129" s="101">
        <f t="shared" si="25"/>
        <v>0.8777186834843318</v>
      </c>
      <c r="AC129" s="101">
        <f t="shared" si="26"/>
        <v>0.48924778636052285</v>
      </c>
      <c r="AD129" s="184"/>
      <c r="AE129" s="101">
        <f>Fig1_future_Kaya!AC43</f>
        <v>52.244042283123811</v>
      </c>
      <c r="AF129" s="101">
        <f t="shared" si="27"/>
        <v>0.76892559137076166</v>
      </c>
      <c r="AG129" s="101">
        <f t="shared" si="28"/>
        <v>0.66291690273876525</v>
      </c>
      <c r="AH129" s="103">
        <f t="shared" si="29"/>
        <v>0.36951546470265445</v>
      </c>
    </row>
    <row r="130" spans="1:34" s="68" customFormat="1">
      <c r="A130" s="68">
        <v>2030</v>
      </c>
      <c r="C130" s="183">
        <f>Fig1_future_Kaya!J44*10^6</f>
        <v>1319161368887.6262</v>
      </c>
      <c r="D130" s="101">
        <f t="shared" si="15"/>
        <v>1.2186977894058382</v>
      </c>
      <c r="E130" s="184"/>
      <c r="F130" s="192">
        <f>Fig1_future_Kaya!K44*10^6</f>
        <v>1219591215890.0398</v>
      </c>
      <c r="G130" s="101">
        <f t="shared" si="16"/>
        <v>1.1267106161828355</v>
      </c>
      <c r="H130" s="184"/>
      <c r="I130" s="192">
        <f>Fig1_future_Kaya!L44*10^6</f>
        <v>888105510248.72961</v>
      </c>
      <c r="J130" s="103">
        <f t="shared" si="17"/>
        <v>0.82046991947007974</v>
      </c>
      <c r="L130" s="126">
        <f>Fig1_future_Kaya!R44</f>
        <v>11.487305001907222</v>
      </c>
      <c r="M130" s="101">
        <f t="shared" si="18"/>
        <v>1.1133014500924194</v>
      </c>
      <c r="N130" s="184"/>
      <c r="O130" s="101">
        <f>Fig1_future_Kaya!S44</f>
        <v>10.484218951124001</v>
      </c>
      <c r="P130" s="101">
        <f t="shared" si="19"/>
        <v>0.9393924548107212</v>
      </c>
      <c r="Q130" s="184"/>
      <c r="R130" s="101">
        <f>Fig1_future_Kaya!T44</f>
        <v>7.8607007860101863</v>
      </c>
      <c r="S130" s="103">
        <f t="shared" si="20"/>
        <v>0.51288798793236023</v>
      </c>
      <c r="U130" s="126">
        <f>Fig1_future_Kaya!AA44</f>
        <v>73.467742947764563</v>
      </c>
      <c r="V130" s="101">
        <f t="shared" si="21"/>
        <v>1.1133014500924192</v>
      </c>
      <c r="W130" s="101">
        <f t="shared" si="22"/>
        <v>0.9393924548107212</v>
      </c>
      <c r="X130" s="101">
        <f t="shared" si="23"/>
        <v>0.51288798793236023</v>
      </c>
      <c r="Y130" s="184"/>
      <c r="Z130" s="101">
        <f>Fig1_future_Kaya!AB44</f>
        <v>68.520803643473755</v>
      </c>
      <c r="AA130" s="101">
        <f t="shared" si="24"/>
        <v>1.0383374661722666</v>
      </c>
      <c r="AB130" s="101">
        <f t="shared" si="25"/>
        <v>0.87613860665369436</v>
      </c>
      <c r="AC130" s="101">
        <f t="shared" si="26"/>
        <v>0.47835275322390886</v>
      </c>
      <c r="AD130" s="184"/>
      <c r="AE130" s="101">
        <f>Fig1_future_Kaya!AC44</f>
        <v>49.212085045317991</v>
      </c>
      <c r="AF130" s="101">
        <f t="shared" si="27"/>
        <v>0.74574069441575297</v>
      </c>
      <c r="AG130" s="101">
        <f t="shared" si="28"/>
        <v>0.62924842280705851</v>
      </c>
      <c r="AH130" s="103">
        <f t="shared" si="29"/>
        <v>0.34355604607038415</v>
      </c>
    </row>
    <row r="131" spans="1:34" s="68" customFormat="1">
      <c r="A131" s="68">
        <v>2031</v>
      </c>
      <c r="C131" s="183">
        <f>Fig1_future_Kaya!J45*10^6</f>
        <v>1371927823643.1313</v>
      </c>
      <c r="D131" s="101">
        <f t="shared" si="15"/>
        <v>1.2674457009820717</v>
      </c>
      <c r="E131" s="184"/>
      <c r="F131" s="192">
        <f>Fig1_future_Kaya!K45*10^6</f>
        <v>1254056056259.5122</v>
      </c>
      <c r="G131" s="101">
        <f t="shared" si="16"/>
        <v>1.1585507122932295</v>
      </c>
      <c r="H131" s="184"/>
      <c r="I131" s="192">
        <f>Fig1_future_Kaya!L45*10^6</f>
        <v>899432134136.60132</v>
      </c>
      <c r="J131" s="103">
        <f t="shared" si="17"/>
        <v>0.83093393988421649</v>
      </c>
      <c r="L131" s="126">
        <f>Fig1_future_Kaya!R45</f>
        <v>11.372431951888149</v>
      </c>
      <c r="M131" s="101">
        <f t="shared" si="18"/>
        <v>1.1462551730151549</v>
      </c>
      <c r="N131" s="184"/>
      <c r="O131" s="101">
        <f>Fig1_future_Kaya!S45</f>
        <v>10.274534572101521</v>
      </c>
      <c r="P131" s="101">
        <f t="shared" si="19"/>
        <v>0.94662028241499574</v>
      </c>
      <c r="Q131" s="184"/>
      <c r="R131" s="101">
        <f>Fig1_future_Kaya!T45</f>
        <v>7.6545184703115581</v>
      </c>
      <c r="S131" s="103">
        <f t="shared" si="20"/>
        <v>0.50580483067130655</v>
      </c>
      <c r="U131" s="126">
        <f>Fig1_future_Kaya!AA45</f>
        <v>73.467742947764563</v>
      </c>
      <c r="V131" s="101">
        <f t="shared" si="21"/>
        <v>1.1462551730151549</v>
      </c>
      <c r="W131" s="101">
        <f t="shared" si="22"/>
        <v>0.94662028241499574</v>
      </c>
      <c r="X131" s="101">
        <f t="shared" si="23"/>
        <v>0.50580483067130655</v>
      </c>
      <c r="Y131" s="184"/>
      <c r="Z131" s="101">
        <f>Fig1_future_Kaya!AB45</f>
        <v>66.631916469318554</v>
      </c>
      <c r="AA131" s="101">
        <f t="shared" si="24"/>
        <v>1.0396015431585279</v>
      </c>
      <c r="AB131" s="101">
        <f t="shared" si="25"/>
        <v>0.85854173621319829</v>
      </c>
      <c r="AC131" s="101">
        <f t="shared" si="26"/>
        <v>0.45874208019471768</v>
      </c>
      <c r="AD131" s="184"/>
      <c r="AE131" s="101">
        <f>Fig1_future_Kaya!AC45</f>
        <v>46.234542377563585</v>
      </c>
      <c r="AF131" s="101">
        <f t="shared" si="27"/>
        <v>0.72135853431554497</v>
      </c>
      <c r="AG131" s="101">
        <f t="shared" si="28"/>
        <v>0.59572478759685421</v>
      </c>
      <c r="AH131" s="103">
        <f t="shared" si="29"/>
        <v>0.31831187321320131</v>
      </c>
    </row>
    <row r="132" spans="1:34" s="68" customFormat="1">
      <c r="A132" s="68">
        <v>2032</v>
      </c>
      <c r="C132" s="183">
        <f>Fig1_future_Kaya!J46*10^6</f>
        <v>1426804936588.8569</v>
      </c>
      <c r="D132" s="101">
        <f t="shared" si="15"/>
        <v>1.318143529021355</v>
      </c>
      <c r="E132" s="184"/>
      <c r="F132" s="192">
        <f>Fig1_future_Kaya!K46*10^6</f>
        <v>1289496891072.5242</v>
      </c>
      <c r="G132" s="101">
        <f t="shared" si="16"/>
        <v>1.1912924738850932</v>
      </c>
      <c r="H132" s="184"/>
      <c r="I132" s="192">
        <f>Fig1_future_Kaya!L46*10^6</f>
        <v>910758758024.47278</v>
      </c>
      <c r="J132" s="103">
        <f t="shared" si="17"/>
        <v>0.8413979602983529</v>
      </c>
      <c r="L132" s="126">
        <f>Fig1_future_Kaya!R46</f>
        <v>11.258707632369267</v>
      </c>
      <c r="M132" s="101">
        <f t="shared" si="18"/>
        <v>1.1801843261364038</v>
      </c>
      <c r="N132" s="184"/>
      <c r="O132" s="101">
        <f>Fig1_future_Kaya!S46</f>
        <v>10.069043880659491</v>
      </c>
      <c r="P132" s="101">
        <f t="shared" si="19"/>
        <v>0.95390523175207675</v>
      </c>
      <c r="Q132" s="184"/>
      <c r="R132" s="101">
        <f>Fig1_future_Kaya!T46</f>
        <v>7.4483361546129299</v>
      </c>
      <c r="S132" s="103">
        <f t="shared" si="20"/>
        <v>0.49837852769052654</v>
      </c>
      <c r="U132" s="126">
        <f>Fig1_future_Kaya!AA46</f>
        <v>73.467742947764563</v>
      </c>
      <c r="V132" s="101">
        <f t="shared" si="21"/>
        <v>1.1801843261364038</v>
      </c>
      <c r="W132" s="101">
        <f t="shared" si="22"/>
        <v>0.95390523175207675</v>
      </c>
      <c r="X132" s="101">
        <f t="shared" si="23"/>
        <v>0.49837852769052654</v>
      </c>
      <c r="Y132" s="184"/>
      <c r="Z132" s="101">
        <f>Fig1_future_Kaya!AB46</f>
        <v>64.752378153614757</v>
      </c>
      <c r="AA132" s="101">
        <f t="shared" si="24"/>
        <v>1.0401808836197366</v>
      </c>
      <c r="AB132" s="101">
        <f t="shared" si="25"/>
        <v>0.84074492846525417</v>
      </c>
      <c r="AC132" s="101">
        <f t="shared" si="26"/>
        <v>0.43925665324445179</v>
      </c>
      <c r="AD132" s="184"/>
      <c r="AE132" s="101">
        <f>Fig1_future_Kaya!AC46</f>
        <v>43.311414279860614</v>
      </c>
      <c r="AF132" s="101">
        <f t="shared" si="27"/>
        <v>0.69575367671543842</v>
      </c>
      <c r="AG132" s="101">
        <f t="shared" si="28"/>
        <v>0.56235543680054967</v>
      </c>
      <c r="AH132" s="103">
        <f t="shared" si="29"/>
        <v>0.29380892912878265</v>
      </c>
    </row>
    <row r="133" spans="1:34" s="68" customFormat="1">
      <c r="A133" s="68">
        <v>2033</v>
      </c>
      <c r="C133" s="183">
        <f>Fig1_future_Kaya!J47*10^6</f>
        <v>1483877134052.4109</v>
      </c>
      <c r="D133" s="101">
        <f t="shared" si="15"/>
        <v>1.3708692701822089</v>
      </c>
      <c r="E133" s="184"/>
      <c r="F133" s="192">
        <f>Fig1_future_Kaya!K47*10^6</f>
        <v>1325941413533.8325</v>
      </c>
      <c r="G133" s="101">
        <f t="shared" si="16"/>
        <v>1.2249614851274409</v>
      </c>
      <c r="H133" s="184"/>
      <c r="I133" s="192">
        <f>Fig1_future_Kaya!L47*10^6</f>
        <v>922085381912.34436</v>
      </c>
      <c r="J133" s="103">
        <f t="shared" si="17"/>
        <v>0.85186198071248953</v>
      </c>
      <c r="L133" s="126">
        <f>Fig1_future_Kaya!R47</f>
        <v>11.146120556045574</v>
      </c>
      <c r="M133" s="101">
        <f t="shared" si="18"/>
        <v>1.215117782190041</v>
      </c>
      <c r="N133" s="184"/>
      <c r="O133" s="101">
        <f>Fig1_future_Kaya!S47</f>
        <v>9.8676630030463013</v>
      </c>
      <c r="P133" s="101">
        <f t="shared" si="19"/>
        <v>0.96124776331052009</v>
      </c>
      <c r="Q133" s="184"/>
      <c r="R133" s="101">
        <f>Fig1_future_Kaya!T47</f>
        <v>7.2421538389143016</v>
      </c>
      <c r="S133" s="103">
        <f t="shared" si="20"/>
        <v>0.49060907899002038</v>
      </c>
      <c r="U133" s="126">
        <f>Fig1_future_Kaya!AA47</f>
        <v>73.467742947764563</v>
      </c>
      <c r="V133" s="101">
        <f t="shared" si="21"/>
        <v>1.215117782190041</v>
      </c>
      <c r="W133" s="101">
        <f t="shared" si="22"/>
        <v>0.96124776331052009</v>
      </c>
      <c r="X133" s="101">
        <f t="shared" si="23"/>
        <v>0.49060907899002038</v>
      </c>
      <c r="Y133" s="184"/>
      <c r="Z133" s="101">
        <f>Fig1_future_Kaya!AB47</f>
        <v>62.882188696362334</v>
      </c>
      <c r="AA133" s="101">
        <f t="shared" si="24"/>
        <v>1.0400382889441195</v>
      </c>
      <c r="AB133" s="101">
        <f t="shared" si="25"/>
        <v>0.82274697453853873</v>
      </c>
      <c r="AC133" s="101">
        <f t="shared" si="26"/>
        <v>0.41991997362888495</v>
      </c>
      <c r="AD133" s="184"/>
      <c r="AE133" s="101">
        <f>Fig1_future_Kaya!AC47</f>
        <v>40.442700752209049</v>
      </c>
      <c r="AF133" s="101">
        <f t="shared" si="27"/>
        <v>0.66890097438735929</v>
      </c>
      <c r="AG133" s="101">
        <f t="shared" si="28"/>
        <v>0.52914999264286666</v>
      </c>
      <c r="AH133" s="103">
        <f t="shared" si="29"/>
        <v>0.27007167189030967</v>
      </c>
    </row>
    <row r="134" spans="1:34" s="68" customFormat="1">
      <c r="A134" s="68">
        <v>2034</v>
      </c>
      <c r="C134" s="183">
        <f>Fig1_future_Kaya!J48*10^6</f>
        <v>1543232219414.5078</v>
      </c>
      <c r="D134" s="101">
        <f t="shared" si="15"/>
        <v>1.4257040409894981</v>
      </c>
      <c r="E134" s="184"/>
      <c r="F134" s="192">
        <f>Fig1_future_Kaya!K48*10^6</f>
        <v>1363418104074.644</v>
      </c>
      <c r="G134" s="101">
        <f t="shared" si="16"/>
        <v>1.2595840574628077</v>
      </c>
      <c r="H134" s="184"/>
      <c r="I134" s="192">
        <f>Fig1_future_Kaya!L48*10^6</f>
        <v>933412005800.21582</v>
      </c>
      <c r="J134" s="103">
        <f t="shared" si="17"/>
        <v>0.86232600112662583</v>
      </c>
      <c r="L134" s="126">
        <f>Fig1_future_Kaya!R48</f>
        <v>11.034659350485118</v>
      </c>
      <c r="M134" s="101">
        <f t="shared" si="18"/>
        <v>1.2510852685428664</v>
      </c>
      <c r="N134" s="184"/>
      <c r="O134" s="101">
        <f>Fig1_future_Kaya!S48</f>
        <v>9.6703097429853759</v>
      </c>
      <c r="P134" s="101">
        <f t="shared" si="19"/>
        <v>0.96864834134398459</v>
      </c>
      <c r="Q134" s="184"/>
      <c r="R134" s="101">
        <f>Fig1_future_Kaya!T48</f>
        <v>7.0359715232156734</v>
      </c>
      <c r="S134" s="103">
        <f t="shared" si="20"/>
        <v>0.48249648456978783</v>
      </c>
      <c r="U134" s="126">
        <f>Fig1_future_Kaya!AA48</f>
        <v>73.467742947764563</v>
      </c>
      <c r="V134" s="101">
        <f t="shared" si="21"/>
        <v>1.2510852685428664</v>
      </c>
      <c r="W134" s="101">
        <f t="shared" si="22"/>
        <v>0.96864834134398459</v>
      </c>
      <c r="X134" s="101">
        <f t="shared" si="23"/>
        <v>0.48249648456978783</v>
      </c>
      <c r="Y134" s="184"/>
      <c r="Z134" s="101">
        <f>Fig1_future_Kaya!AB48</f>
        <v>61.021348097561315</v>
      </c>
      <c r="AA134" s="101">
        <f t="shared" si="24"/>
        <v>1.0391350898824387</v>
      </c>
      <c r="AB134" s="101">
        <f t="shared" si="25"/>
        <v>0.80454666564756905</v>
      </c>
      <c r="AC134" s="101">
        <f t="shared" si="26"/>
        <v>0.40075528060956317</v>
      </c>
      <c r="AD134" s="184"/>
      <c r="AE134" s="101">
        <f>Fig1_future_Kaya!AC48</f>
        <v>37.628401794608919</v>
      </c>
      <c r="AF134" s="101">
        <f t="shared" si="27"/>
        <v>0.64077562853017511</v>
      </c>
      <c r="AG134" s="101">
        <f t="shared" si="28"/>
        <v>0.4961182625644005</v>
      </c>
      <c r="AH134" s="103">
        <f t="shared" si="29"/>
        <v>0.24712303464646898</v>
      </c>
    </row>
    <row r="135" spans="1:34" s="68" customFormat="1">
      <c r="A135" s="68">
        <v>2035</v>
      </c>
      <c r="C135" s="183">
        <f>Fig1_future_Kaya!J49*10^6</f>
        <v>1604961508191.0876</v>
      </c>
      <c r="D135" s="101">
        <f t="shared" si="15"/>
        <v>1.4827322026290772</v>
      </c>
      <c r="E135" s="184"/>
      <c r="F135" s="192">
        <f>Fig1_future_Kaya!K49*10^6</f>
        <v>1401956252769.3955</v>
      </c>
      <c r="G135" s="101">
        <f t="shared" si="16"/>
        <v>1.2951872503168338</v>
      </c>
      <c r="H135" s="184"/>
      <c r="I135" s="192">
        <f>Fig1_future_Kaya!L49*10^6</f>
        <v>944738629688.0874</v>
      </c>
      <c r="J135" s="103">
        <f t="shared" si="17"/>
        <v>0.87279002154076246</v>
      </c>
      <c r="L135" s="126">
        <f>Fig1_future_Kaya!R49</f>
        <v>10.924312756980267</v>
      </c>
      <c r="M135" s="101">
        <f t="shared" si="18"/>
        <v>1.2881173924917353</v>
      </c>
      <c r="N135" s="184"/>
      <c r="O135" s="101">
        <f>Fig1_future_Kaya!S49</f>
        <v>9.4769035481256676</v>
      </c>
      <c r="P135" s="101">
        <f t="shared" si="19"/>
        <v>0.97610743390231836</v>
      </c>
      <c r="Q135" s="184"/>
      <c r="R135" s="101">
        <f>Fig1_future_Kaya!T49</f>
        <v>6.8297892075170452</v>
      </c>
      <c r="S135" s="103">
        <f t="shared" si="20"/>
        <v>0.47404074442982919</v>
      </c>
      <c r="U135" s="126">
        <f>Fig1_future_Kaya!AA49</f>
        <v>73.467742947764563</v>
      </c>
      <c r="V135" s="101">
        <f t="shared" si="21"/>
        <v>1.2881173924917351</v>
      </c>
      <c r="W135" s="101">
        <f t="shared" si="22"/>
        <v>0.97610743390231836</v>
      </c>
      <c r="X135" s="101">
        <f t="shared" si="23"/>
        <v>0.47404074442982919</v>
      </c>
      <c r="Y135" s="184"/>
      <c r="Z135" s="101">
        <f>Fig1_future_Kaya!AB49</f>
        <v>59.1698563572117</v>
      </c>
      <c r="AA135" s="101">
        <f t="shared" si="24"/>
        <v>1.0374310959730002</v>
      </c>
      <c r="AB135" s="101">
        <f t="shared" si="25"/>
        <v>0.78614279322928438</v>
      </c>
      <c r="AC135" s="101">
        <f t="shared" si="26"/>
        <v>0.38178555145380505</v>
      </c>
      <c r="AD135" s="184"/>
      <c r="AE135" s="101">
        <f>Fig1_future_Kaya!AC49</f>
        <v>34.868517407060203</v>
      </c>
      <c r="AF135" s="101">
        <f t="shared" si="27"/>
        <v>0.61135325409914076</v>
      </c>
      <c r="AG135" s="101">
        <f t="shared" si="28"/>
        <v>0.46327024193982624</v>
      </c>
      <c r="AH135" s="103">
        <f t="shared" si="29"/>
        <v>0.22498442562145179</v>
      </c>
    </row>
    <row r="136" spans="1:34" s="68" customFormat="1">
      <c r="A136" s="68">
        <v>2036</v>
      </c>
      <c r="C136" s="183">
        <f>Fig1_future_Kaya!J50*10^6</f>
        <v>1669159968518.7314</v>
      </c>
      <c r="D136" s="101">
        <f t="shared" si="15"/>
        <v>1.5420414907342408</v>
      </c>
      <c r="E136" s="184"/>
      <c r="F136" s="192">
        <f>Fig1_future_Kaya!K50*10^6</f>
        <v>1441585982391.886</v>
      </c>
      <c r="G136" s="101">
        <f t="shared" si="16"/>
        <v>1.3317988923985042</v>
      </c>
      <c r="H136" s="184"/>
      <c r="I136" s="192">
        <f>Fig1_future_Kaya!L50*10^6</f>
        <v>956065253575.95898</v>
      </c>
      <c r="J136" s="103">
        <f t="shared" si="17"/>
        <v>0.88325404195489898</v>
      </c>
      <c r="L136" s="126">
        <f>Fig1_future_Kaya!R50</f>
        <v>10.815069629410464</v>
      </c>
      <c r="M136" s="101">
        <f t="shared" si="18"/>
        <v>1.3262456673094907</v>
      </c>
      <c r="N136" s="184"/>
      <c r="O136" s="101">
        <f>Fig1_future_Kaya!S50</f>
        <v>9.2873654771631546</v>
      </c>
      <c r="P136" s="101">
        <f t="shared" si="19"/>
        <v>0.983625512862906</v>
      </c>
      <c r="Q136" s="184"/>
      <c r="R136" s="101">
        <f>Fig1_future_Kaya!T50</f>
        <v>6.623606891818417</v>
      </c>
      <c r="S136" s="103">
        <f t="shared" si="20"/>
        <v>0.46524185857014433</v>
      </c>
      <c r="U136" s="126">
        <f>Fig1_future_Kaya!AA50</f>
        <v>73.467742947764563</v>
      </c>
      <c r="V136" s="101">
        <f t="shared" si="21"/>
        <v>1.3262456673094907</v>
      </c>
      <c r="W136" s="101">
        <f t="shared" si="22"/>
        <v>0.983625512862906</v>
      </c>
      <c r="X136" s="101">
        <f t="shared" si="23"/>
        <v>0.46524185857014433</v>
      </c>
      <c r="Y136" s="184"/>
      <c r="Z136" s="101">
        <f>Fig1_future_Kaya!AB50</f>
        <v>55.877458818943936</v>
      </c>
      <c r="AA136" s="101">
        <f t="shared" si="24"/>
        <v>1.0087044284398257</v>
      </c>
      <c r="AB136" s="101">
        <f t="shared" si="25"/>
        <v>0.74811736257282158</v>
      </c>
      <c r="AC136" s="101">
        <f t="shared" si="26"/>
        <v>0.35384961821388289</v>
      </c>
      <c r="AD136" s="184"/>
      <c r="AE136" s="101">
        <f>Fig1_future_Kaya!AC50</f>
        <v>32.163047589562915</v>
      </c>
      <c r="AF136" s="101">
        <f t="shared" si="27"/>
        <v>0.58060994936859822</v>
      </c>
      <c r="AG136" s="101">
        <f t="shared" si="28"/>
        <v>0.43061611683118256</v>
      </c>
      <c r="AH136" s="103">
        <f t="shared" si="29"/>
        <v>0.20367572811495438</v>
      </c>
    </row>
    <row r="137" spans="1:34" s="68" customFormat="1">
      <c r="A137" s="68">
        <v>2037</v>
      </c>
      <c r="C137" s="183">
        <f>Fig1_future_Kaya!J51*10^6</f>
        <v>1735926367259.481</v>
      </c>
      <c r="D137" s="101">
        <f t="shared" si="15"/>
        <v>1.6037231503636107</v>
      </c>
      <c r="E137" s="184"/>
      <c r="F137" s="192">
        <f>Fig1_future_Kaya!K51*10^6</f>
        <v>1482338272129.0259</v>
      </c>
      <c r="G137" s="101">
        <f t="shared" si="16"/>
        <v>1.3694476036079282</v>
      </c>
      <c r="H137" s="184"/>
      <c r="I137" s="192">
        <f>Fig1_future_Kaya!L51*10^6</f>
        <v>967391877463.83057</v>
      </c>
      <c r="J137" s="103">
        <f t="shared" si="17"/>
        <v>0.89371806236903562</v>
      </c>
      <c r="L137" s="126">
        <f>Fig1_future_Kaya!R51</f>
        <v>10.706918933116359</v>
      </c>
      <c r="M137" s="101">
        <f t="shared" si="18"/>
        <v>1.3655025390618516</v>
      </c>
      <c r="N137" s="184"/>
      <c r="O137" s="101">
        <f>Fig1_future_Kaya!S51</f>
        <v>9.1016181676198915</v>
      </c>
      <c r="P137" s="101">
        <f t="shared" si="19"/>
        <v>0.99120305396227415</v>
      </c>
      <c r="Q137" s="184"/>
      <c r="R137" s="101">
        <f>Fig1_future_Kaya!T51</f>
        <v>6.4174245761197888</v>
      </c>
      <c r="S137" s="103">
        <f t="shared" si="20"/>
        <v>0.45609982699073326</v>
      </c>
      <c r="U137" s="126">
        <f>Fig1_future_Kaya!AA51</f>
        <v>73.467742947764563</v>
      </c>
      <c r="V137" s="101">
        <f t="shared" si="21"/>
        <v>1.3655025390618518</v>
      </c>
      <c r="W137" s="101">
        <f t="shared" si="22"/>
        <v>0.99120305396227415</v>
      </c>
      <c r="X137" s="101">
        <f t="shared" si="23"/>
        <v>0.45609982699073326</v>
      </c>
      <c r="Y137" s="184"/>
      <c r="Z137" s="101">
        <f>Fig1_future_Kaya!AB51</f>
        <v>52.602491355755035</v>
      </c>
      <c r="AA137" s="101">
        <f t="shared" si="24"/>
        <v>0.97769214930602633</v>
      </c>
      <c r="AB137" s="101">
        <f t="shared" si="25"/>
        <v>0.70969582004063725</v>
      </c>
      <c r="AC137" s="101">
        <f t="shared" si="26"/>
        <v>0.32656491466873661</v>
      </c>
      <c r="AD137" s="184"/>
      <c r="AE137" s="101">
        <f>Fig1_future_Kaya!AC51</f>
        <v>29.511992342117033</v>
      </c>
      <c r="AF137" s="101">
        <f t="shared" si="27"/>
        <v>0.54852236994114589</v>
      </c>
      <c r="AG137" s="101">
        <f t="shared" si="28"/>
        <v>0.39816626677664563</v>
      </c>
      <c r="AH137" s="103">
        <f t="shared" si="29"/>
        <v>0.1832153005021776</v>
      </c>
    </row>
    <row r="138" spans="1:34" s="68" customFormat="1">
      <c r="A138" s="68">
        <v>2038</v>
      </c>
      <c r="C138" s="183">
        <f>Fig1_future_Kaya!J52*10^6</f>
        <v>1805363421949.8599</v>
      </c>
      <c r="D138" s="101">
        <f t="shared" si="15"/>
        <v>1.6678720763781547</v>
      </c>
      <c r="E138" s="184"/>
      <c r="F138" s="192">
        <f>Fig1_future_Kaya!K52*10^6</f>
        <v>1524244981970.9844</v>
      </c>
      <c r="G138" s="101">
        <f t="shared" si="16"/>
        <v>1.4081628175690015</v>
      </c>
      <c r="H138" s="184"/>
      <c r="I138" s="192">
        <f>Fig1_future_Kaya!L52*10^6</f>
        <v>978718501351.7019</v>
      </c>
      <c r="J138" s="103">
        <f t="shared" si="17"/>
        <v>0.90418208278317203</v>
      </c>
      <c r="L138" s="126">
        <f>Fig1_future_Kaya!R52</f>
        <v>10.599849743785196</v>
      </c>
      <c r="M138" s="101">
        <f t="shared" si="18"/>
        <v>1.4059214142180823</v>
      </c>
      <c r="N138" s="184"/>
      <c r="O138" s="101">
        <f>Fig1_future_Kaya!S52</f>
        <v>8.9195858042674931</v>
      </c>
      <c r="P138" s="101">
        <f t="shared" si="19"/>
        <v>0.99884053682795859</v>
      </c>
      <c r="Q138" s="184"/>
      <c r="R138" s="101">
        <f>Fig1_future_Kaya!T52</f>
        <v>6.2112422604211606</v>
      </c>
      <c r="S138" s="103">
        <f t="shared" si="20"/>
        <v>0.44661464969159581</v>
      </c>
      <c r="U138" s="126">
        <f>Fig1_future_Kaya!AA52</f>
        <v>73.467742947764563</v>
      </c>
      <c r="V138" s="101">
        <f t="shared" si="21"/>
        <v>1.4059214142180823</v>
      </c>
      <c r="W138" s="101">
        <f t="shared" si="22"/>
        <v>0.99884053682795859</v>
      </c>
      <c r="X138" s="101">
        <f t="shared" si="23"/>
        <v>0.44661464969159581</v>
      </c>
      <c r="Y138" s="184"/>
      <c r="Z138" s="101">
        <f>Fig1_future_Kaya!AB52</f>
        <v>49.344953967645012</v>
      </c>
      <c r="AA138" s="101">
        <f t="shared" si="24"/>
        <v>0.94429370881916486</v>
      </c>
      <c r="AB138" s="101">
        <f t="shared" si="25"/>
        <v>0.6708759291249351</v>
      </c>
      <c r="AC138" s="101">
        <f t="shared" si="26"/>
        <v>0.29997082319483809</v>
      </c>
      <c r="AD138" s="184"/>
      <c r="AE138" s="101">
        <f>Fig1_future_Kaya!AC52</f>
        <v>26.915351664722582</v>
      </c>
      <c r="AF138" s="101">
        <f t="shared" si="27"/>
        <v>0.51506780742602343</v>
      </c>
      <c r="AG138" s="101">
        <f t="shared" si="28"/>
        <v>0.36593126761522232</v>
      </c>
      <c r="AH138" s="103">
        <f t="shared" si="29"/>
        <v>0.16361997623382751</v>
      </c>
    </row>
    <row r="139" spans="1:34" s="68" customFormat="1">
      <c r="A139" s="68">
        <v>2039</v>
      </c>
      <c r="C139" s="183">
        <f>Fig1_future_Kaya!J53*10^6</f>
        <v>1877577958827.8545</v>
      </c>
      <c r="D139" s="101">
        <f t="shared" si="15"/>
        <v>1.7345869594332812</v>
      </c>
      <c r="E139" s="184"/>
      <c r="F139" s="192">
        <f>Fig1_future_Kaya!K53*10^6</f>
        <v>1567338877797.0657</v>
      </c>
      <c r="G139" s="101">
        <f t="shared" si="16"/>
        <v>1.4479748048048136</v>
      </c>
      <c r="H139" s="184"/>
      <c r="I139" s="192">
        <f>Fig1_future_Kaya!L53*10^6</f>
        <v>990045125239.57361</v>
      </c>
      <c r="J139" s="103">
        <f t="shared" si="17"/>
        <v>0.91464610319730877</v>
      </c>
      <c r="L139" s="126">
        <f>Fig1_future_Kaya!R53</f>
        <v>10.493851246347344</v>
      </c>
      <c r="M139" s="101">
        <f t="shared" si="18"/>
        <v>1.4475366880789375</v>
      </c>
      <c r="N139" s="184"/>
      <c r="O139" s="101">
        <f>Fig1_future_Kaya!S53</f>
        <v>8.7411940881821426</v>
      </c>
      <c r="P139" s="101">
        <f t="shared" si="19"/>
        <v>1.0065384450106418</v>
      </c>
      <c r="Q139" s="184"/>
      <c r="R139" s="101">
        <f>Fig1_future_Kaya!T53</f>
        <v>6.0050599447225324</v>
      </c>
      <c r="S139" s="103">
        <f t="shared" si="20"/>
        <v>0.43678632667273232</v>
      </c>
      <c r="U139" s="126">
        <f>Fig1_future_Kaya!AA53</f>
        <v>73.467742947764563</v>
      </c>
      <c r="V139" s="101">
        <f t="shared" si="21"/>
        <v>1.4475366880789378</v>
      </c>
      <c r="W139" s="101">
        <f t="shared" si="22"/>
        <v>1.0065384450106418</v>
      </c>
      <c r="X139" s="101">
        <f t="shared" si="23"/>
        <v>0.43678632667273232</v>
      </c>
      <c r="Y139" s="184"/>
      <c r="Z139" s="101">
        <f>Fig1_future_Kaya!AB53</f>
        <v>46.104846654613866</v>
      </c>
      <c r="AA139" s="101">
        <f t="shared" si="24"/>
        <v>0.90840489108611877</v>
      </c>
      <c r="AB139" s="101">
        <f t="shared" si="25"/>
        <v>0.63165545581254512</v>
      </c>
      <c r="AC139" s="101">
        <f t="shared" si="26"/>
        <v>0.27410623770484499</v>
      </c>
      <c r="AD139" s="184"/>
      <c r="AE139" s="101">
        <f>Fig1_future_Kaya!AC53</f>
        <v>24.373125557379552</v>
      </c>
      <c r="AF139" s="101">
        <f t="shared" si="27"/>
        <v>0.48022427301933079</v>
      </c>
      <c r="AG139" s="101">
        <f t="shared" si="28"/>
        <v>0.33392189434778879</v>
      </c>
      <c r="AH139" s="103">
        <f t="shared" si="29"/>
        <v>0.1449050638361149</v>
      </c>
    </row>
    <row r="140" spans="1:34" s="68" customFormat="1">
      <c r="A140" s="68">
        <v>2040</v>
      </c>
      <c r="C140" s="183">
        <f>Fig1_future_Kaya!J54*10^6</f>
        <v>1952681077180.969</v>
      </c>
      <c r="D140" s="101">
        <f t="shared" si="15"/>
        <v>1.8039704378106125</v>
      </c>
      <c r="E140" s="184"/>
      <c r="F140" s="192">
        <f>Fig1_future_Kaya!K54*10^6</f>
        <v>1611653657177.175</v>
      </c>
      <c r="G140" s="101">
        <f t="shared" si="16"/>
        <v>1.4889146965741482</v>
      </c>
      <c r="H140" s="184"/>
      <c r="I140" s="192">
        <f>Fig1_future_Kaya!L54*10^6</f>
        <v>1001371749127.4451</v>
      </c>
      <c r="J140" s="103">
        <f t="shared" si="17"/>
        <v>0.92511012361144518</v>
      </c>
      <c r="L140" s="126">
        <f>Fig1_future_Kaya!R54</f>
        <v>10.38891273388387</v>
      </c>
      <c r="M140" s="101">
        <f t="shared" si="18"/>
        <v>1.4903837740460746</v>
      </c>
      <c r="N140" s="184"/>
      <c r="O140" s="101">
        <f>Fig1_future_Kaya!S54</f>
        <v>8.5663702064184992</v>
      </c>
      <c r="P140" s="101">
        <f t="shared" si="19"/>
        <v>1.0142972660165499</v>
      </c>
      <c r="Q140" s="184"/>
      <c r="R140" s="101">
        <f>Fig1_future_Kaya!T54</f>
        <v>5.7988776290239041</v>
      </c>
      <c r="S140" s="103">
        <f t="shared" si="20"/>
        <v>0.4266148579341425</v>
      </c>
      <c r="U140" s="126">
        <f>Fig1_future_Kaya!AA54</f>
        <v>73.467742947764563</v>
      </c>
      <c r="V140" s="101">
        <f t="shared" si="21"/>
        <v>1.4903837740460746</v>
      </c>
      <c r="W140" s="101">
        <f t="shared" si="22"/>
        <v>1.0142972660165499</v>
      </c>
      <c r="X140" s="101">
        <f t="shared" si="23"/>
        <v>0.4266148579341425</v>
      </c>
      <c r="Y140" s="184"/>
      <c r="Z140" s="101">
        <f>Fig1_future_Kaya!AB54</f>
        <v>42.882169416661576</v>
      </c>
      <c r="AA140" s="101">
        <f t="shared" si="24"/>
        <v>0.86991769353698212</v>
      </c>
      <c r="AB140" s="101">
        <f t="shared" si="25"/>
        <v>0.59203216888129262</v>
      </c>
      <c r="AC140" s="101">
        <f t="shared" si="26"/>
        <v>0.24900956364760016</v>
      </c>
      <c r="AD140" s="184"/>
      <c r="AE140" s="101">
        <f>Fig1_future_Kaya!AC54</f>
        <v>21.885314020087947</v>
      </c>
      <c r="AF140" s="101">
        <f t="shared" si="27"/>
        <v>0.44397058622902213</v>
      </c>
      <c r="AG140" s="101">
        <f t="shared" si="28"/>
        <v>0.30214912403490823</v>
      </c>
      <c r="AH140" s="103">
        <f t="shared" si="29"/>
        <v>0.1270843469107554</v>
      </c>
    </row>
    <row r="141" spans="1:34" s="68" customFormat="1">
      <c r="A141" s="68">
        <v>2041</v>
      </c>
      <c r="C141" s="183">
        <f>Fig1_future_Kaya!J55*10^6</f>
        <v>2030788320268.2075</v>
      </c>
      <c r="D141" s="101">
        <f t="shared" si="15"/>
        <v>1.8761292553230371</v>
      </c>
      <c r="E141" s="184"/>
      <c r="F141" s="192">
        <f>Fig1_future_Kaya!K55*10^6</f>
        <v>1657223975909.3315</v>
      </c>
      <c r="G141" s="101">
        <f t="shared" si="16"/>
        <v>1.5310145093879735</v>
      </c>
      <c r="H141" s="184"/>
      <c r="I141" s="192">
        <f>Fig1_future_Kaya!L55*10^6</f>
        <v>1012698373015.3165</v>
      </c>
      <c r="J141" s="103">
        <f t="shared" si="17"/>
        <v>0.93557414402558159</v>
      </c>
      <c r="L141" s="126">
        <f>Fig1_future_Kaya!R55</f>
        <v>10.285023606545032</v>
      </c>
      <c r="M141" s="101">
        <f t="shared" si="18"/>
        <v>1.534499133757838</v>
      </c>
      <c r="N141" s="184"/>
      <c r="O141" s="101">
        <f>Fig1_future_Kaya!S55</f>
        <v>8.3950428022901296</v>
      </c>
      <c r="P141" s="101">
        <f t="shared" si="19"/>
        <v>1.0221174913401259</v>
      </c>
      <c r="Q141" s="184"/>
      <c r="R141" s="101">
        <f>Fig1_future_Kaya!T55</f>
        <v>5.5926953133252759</v>
      </c>
      <c r="S141" s="103">
        <f t="shared" si="20"/>
        <v>0.41610024347582636</v>
      </c>
      <c r="U141" s="126">
        <f>Fig1_future_Kaya!AA55</f>
        <v>73.467742947764563</v>
      </c>
      <c r="V141" s="101">
        <f t="shared" si="21"/>
        <v>1.5344991337578382</v>
      </c>
      <c r="W141" s="101">
        <f t="shared" si="22"/>
        <v>1.0221174913401259</v>
      </c>
      <c r="X141" s="101">
        <f t="shared" si="23"/>
        <v>0.41610024347582636</v>
      </c>
      <c r="Y141" s="184"/>
      <c r="Z141" s="101">
        <f>Fig1_future_Kaya!AB55</f>
        <v>40.658330224729916</v>
      </c>
      <c r="AA141" s="101">
        <f t="shared" si="24"/>
        <v>0.84921858228648028</v>
      </c>
      <c r="AB141" s="101">
        <f t="shared" si="25"/>
        <v>0.56565764543667463</v>
      </c>
      <c r="AC141" s="101">
        <f t="shared" si="26"/>
        <v>0.23027713152776852</v>
      </c>
      <c r="AD141" s="184"/>
      <c r="AE141" s="101">
        <f>Fig1_future_Kaya!AC55</f>
        <v>19.451917052847755</v>
      </c>
      <c r="AF141" s="101">
        <f t="shared" si="27"/>
        <v>0.4062864689983296</v>
      </c>
      <c r="AG141" s="101">
        <f t="shared" si="28"/>
        <v>0.27062413873186675</v>
      </c>
      <c r="AH141" s="103">
        <f t="shared" si="29"/>
        <v>0.11017008413496945</v>
      </c>
    </row>
    <row r="142" spans="1:34" s="68" customFormat="1">
      <c r="A142" s="68">
        <v>2042</v>
      </c>
      <c r="C142" s="183">
        <f>Fig1_future_Kaya!J56*10^6</f>
        <v>2112019853078.9363</v>
      </c>
      <c r="D142" s="101">
        <f t="shared" si="15"/>
        <v>1.9511744255359591</v>
      </c>
      <c r="E142" s="184"/>
      <c r="F142" s="192">
        <f>Fig1_future_Kaya!K56*10^6</f>
        <v>1704085475314.2451</v>
      </c>
      <c r="G142" s="101">
        <f t="shared" si="16"/>
        <v>1.5743071702253424</v>
      </c>
      <c r="H142" s="184"/>
      <c r="I142" s="192">
        <f>Fig1_future_Kaya!L56*10^6</f>
        <v>1024024996903.188</v>
      </c>
      <c r="J142" s="103">
        <f t="shared" si="17"/>
        <v>0.946038164439718</v>
      </c>
      <c r="L142" s="126">
        <f>Fig1_future_Kaya!R56</f>
        <v>10.182173370479582</v>
      </c>
      <c r="M142" s="101">
        <f t="shared" si="18"/>
        <v>1.5799203081170705</v>
      </c>
      <c r="N142" s="184"/>
      <c r="O142" s="101">
        <f>Fig1_future_Kaya!S56</f>
        <v>8.2271419462443269</v>
      </c>
      <c r="P142" s="101">
        <f t="shared" si="19"/>
        <v>1.02999961649697</v>
      </c>
      <c r="Q142" s="184"/>
      <c r="R142" s="101">
        <f>Fig1_future_Kaya!T56</f>
        <v>5.3865129976266477</v>
      </c>
      <c r="S142" s="103">
        <f t="shared" si="20"/>
        <v>0.40524248329778412</v>
      </c>
      <c r="U142" s="126">
        <f>Fig1_future_Kaya!AA56</f>
        <v>73.467742947764563</v>
      </c>
      <c r="V142" s="101">
        <f t="shared" si="21"/>
        <v>1.5799203081170705</v>
      </c>
      <c r="W142" s="101">
        <f t="shared" si="22"/>
        <v>1.02999961649697</v>
      </c>
      <c r="X142" s="101">
        <f t="shared" si="23"/>
        <v>0.40524248329778412</v>
      </c>
      <c r="Y142" s="184"/>
      <c r="Z142" s="101">
        <f>Fig1_future_Kaya!AB56</f>
        <v>38.44637517489749</v>
      </c>
      <c r="AA142" s="101">
        <f t="shared" si="24"/>
        <v>0.82678746447262075</v>
      </c>
      <c r="AB142" s="101">
        <f t="shared" si="25"/>
        <v>0.53900868730918272</v>
      </c>
      <c r="AC142" s="101">
        <f t="shared" si="26"/>
        <v>0.21206728183757007</v>
      </c>
      <c r="AD142" s="184"/>
      <c r="AE142" s="101">
        <f>Fig1_future_Kaya!AC56</f>
        <v>17.07293465565899</v>
      </c>
      <c r="AF142" s="101">
        <f t="shared" si="27"/>
        <v>0.3671526454924543</v>
      </c>
      <c r="AG142" s="101">
        <f t="shared" si="28"/>
        <v>0.23935832846137081</v>
      </c>
      <c r="AH142" s="103">
        <f t="shared" si="29"/>
        <v>9.4173009261482504E-2</v>
      </c>
    </row>
    <row r="143" spans="1:34" s="68" customFormat="1">
      <c r="A143" s="68">
        <v>2043</v>
      </c>
      <c r="C143" s="183">
        <f>Fig1_future_Kaya!J57*10^6</f>
        <v>2196500647202.0935</v>
      </c>
      <c r="D143" s="101">
        <f t="shared" si="15"/>
        <v>2.0292214025573969</v>
      </c>
      <c r="E143" s="184"/>
      <c r="F143" s="192">
        <f>Fig1_future_Kaya!K57*10^6</f>
        <v>1752274810308.5933</v>
      </c>
      <c r="G143" s="101">
        <f t="shared" si="16"/>
        <v>1.6188265424686881</v>
      </c>
      <c r="H143" s="184"/>
      <c r="I143" s="192">
        <f>Fig1_future_Kaya!L57*10^6</f>
        <v>1035351620791.0594</v>
      </c>
      <c r="J143" s="103">
        <f t="shared" si="17"/>
        <v>0.95650218485385452</v>
      </c>
      <c r="L143" s="126">
        <f>Fig1_future_Kaya!R57</f>
        <v>10.080351636774786</v>
      </c>
      <c r="M143" s="101">
        <f t="shared" si="18"/>
        <v>1.6266859492373358</v>
      </c>
      <c r="N143" s="184"/>
      <c r="O143" s="101">
        <f>Fig1_future_Kaya!S57</f>
        <v>8.062599107319441</v>
      </c>
      <c r="P143" s="101">
        <f t="shared" si="19"/>
        <v>1.0379441410570558</v>
      </c>
      <c r="Q143" s="184"/>
      <c r="R143" s="101">
        <f>Fig1_future_Kaya!T57</f>
        <v>5.1803306819280195</v>
      </c>
      <c r="S143" s="103">
        <f t="shared" si="20"/>
        <v>0.39404157740001566</v>
      </c>
      <c r="U143" s="126">
        <f>Fig1_future_Kaya!AA57</f>
        <v>73.467742947764563</v>
      </c>
      <c r="V143" s="101">
        <f t="shared" si="21"/>
        <v>1.6266859492373358</v>
      </c>
      <c r="W143" s="101">
        <f t="shared" si="22"/>
        <v>1.0379441410570558</v>
      </c>
      <c r="X143" s="101">
        <f t="shared" si="23"/>
        <v>0.39404157740001566</v>
      </c>
      <c r="Y143" s="184"/>
      <c r="Z143" s="101">
        <f>Fig1_future_Kaya!AB57</f>
        <v>36.246304267164291</v>
      </c>
      <c r="AA143" s="101">
        <f t="shared" si="24"/>
        <v>0.80254750585027301</v>
      </c>
      <c r="AB143" s="101">
        <f t="shared" si="25"/>
        <v>0.51208377499528546</v>
      </c>
      <c r="AC143" s="101">
        <f t="shared" si="26"/>
        <v>0.19440573965242414</v>
      </c>
      <c r="AD143" s="184"/>
      <c r="AE143" s="101">
        <f>Fig1_future_Kaya!AC57</f>
        <v>14.748366828521643</v>
      </c>
      <c r="AF143" s="101">
        <f t="shared" si="27"/>
        <v>0.32655094782497529</v>
      </c>
      <c r="AG143" s="101">
        <f t="shared" si="28"/>
        <v>0.20836329422435393</v>
      </c>
      <c r="AH143" s="103">
        <f t="shared" si="29"/>
        <v>7.9102331118524771E-2</v>
      </c>
    </row>
    <row r="144" spans="1:34" s="68" customFormat="1">
      <c r="A144" s="68">
        <v>2044</v>
      </c>
      <c r="C144" s="183">
        <f>Fig1_future_Kaya!J58*10^6</f>
        <v>2284360673090.1777</v>
      </c>
      <c r="D144" s="101">
        <f t="shared" si="15"/>
        <v>2.1103902586596934</v>
      </c>
      <c r="E144" s="184"/>
      <c r="F144" s="192">
        <f>Fig1_future_Kaya!K58*10^6</f>
        <v>1801829678279.2439</v>
      </c>
      <c r="G144" s="101">
        <f t="shared" si="16"/>
        <v>1.6646074525790677</v>
      </c>
      <c r="H144" s="184"/>
      <c r="I144" s="192">
        <f>Fig1_future_Kaya!L58*10^6</f>
        <v>1046678244678.9308</v>
      </c>
      <c r="J144" s="103">
        <f t="shared" si="17"/>
        <v>0.96696620526799093</v>
      </c>
      <c r="L144" s="126">
        <f>Fig1_future_Kaya!R58</f>
        <v>9.9795481204070384</v>
      </c>
      <c r="M144" s="101">
        <f t="shared" si="18"/>
        <v>1.6748358533347611</v>
      </c>
      <c r="N144" s="184"/>
      <c r="O144" s="101">
        <f>Fig1_future_Kaya!S58</f>
        <v>7.9013471251730518</v>
      </c>
      <c r="P144" s="101">
        <f t="shared" si="19"/>
        <v>1.0459515686782226</v>
      </c>
      <c r="Q144" s="184"/>
      <c r="R144" s="101">
        <f>Fig1_future_Kaya!T58</f>
        <v>4.9741483662293913</v>
      </c>
      <c r="S144" s="103">
        <f t="shared" si="20"/>
        <v>0.38249752578252094</v>
      </c>
      <c r="U144" s="126">
        <f>Fig1_future_Kaya!AA58</f>
        <v>73.467742947764563</v>
      </c>
      <c r="V144" s="101">
        <f t="shared" si="21"/>
        <v>1.6748358533347611</v>
      </c>
      <c r="W144" s="101">
        <f t="shared" si="22"/>
        <v>1.0459515686782226</v>
      </c>
      <c r="X144" s="101">
        <f t="shared" si="23"/>
        <v>0.38249752578252094</v>
      </c>
      <c r="Y144" s="184"/>
      <c r="Z144" s="101">
        <f>Fig1_future_Kaya!AB58</f>
        <v>34.058117501530333</v>
      </c>
      <c r="AA144" s="101">
        <f t="shared" si="24"/>
        <v>0.77641906502024571</v>
      </c>
      <c r="AB144" s="101">
        <f t="shared" si="25"/>
        <v>0.48488139144659542</v>
      </c>
      <c r="AC144" s="101">
        <f t="shared" si="26"/>
        <v>0.17731789700424042</v>
      </c>
      <c r="AD144" s="184"/>
      <c r="AE144" s="101">
        <f>Fig1_future_Kaya!AC58</f>
        <v>12.47821357143572</v>
      </c>
      <c r="AF144" s="101">
        <f t="shared" si="27"/>
        <v>0.28446442801255056</v>
      </c>
      <c r="AG144" s="101">
        <f t="shared" si="28"/>
        <v>0.17765085104934755</v>
      </c>
      <c r="AH144" s="103">
        <f t="shared" si="29"/>
        <v>6.4965733609831336E-2</v>
      </c>
    </row>
    <row r="145" spans="1:34" s="68" customFormat="1">
      <c r="A145" s="68">
        <v>2045</v>
      </c>
      <c r="C145" s="183">
        <f>Fig1_future_Kaya!J59*10^6</f>
        <v>2375735100013.7842</v>
      </c>
      <c r="D145" s="101">
        <f t="shared" si="15"/>
        <v>2.1948058690060805</v>
      </c>
      <c r="E145" s="184"/>
      <c r="F145" s="192">
        <f>Fig1_future_Kaya!K59*10^6</f>
        <v>1852788848781.3071</v>
      </c>
      <c r="G145" s="101">
        <f t="shared" si="16"/>
        <v>1.7116857175324967</v>
      </c>
      <c r="H145" s="184"/>
      <c r="I145" s="192">
        <f>Fig1_future_Kaya!L59*10^6</f>
        <v>1058004868566.8022</v>
      </c>
      <c r="J145" s="103">
        <f t="shared" si="17"/>
        <v>0.97743022568212734</v>
      </c>
      <c r="L145" s="126">
        <f>Fig1_future_Kaya!R59</f>
        <v>9.8797526392029678</v>
      </c>
      <c r="M145" s="101">
        <f t="shared" si="18"/>
        <v>1.7244109945934698</v>
      </c>
      <c r="N145" s="184"/>
      <c r="O145" s="101">
        <f>Fig1_future_Kaya!S59</f>
        <v>7.7433201826695903</v>
      </c>
      <c r="P145" s="101">
        <f t="shared" si="19"/>
        <v>1.054022407139944</v>
      </c>
      <c r="Q145" s="184"/>
      <c r="R145" s="101">
        <f>Fig1_future_Kaya!T59</f>
        <v>4.7679660505307631</v>
      </c>
      <c r="S145" s="103">
        <f t="shared" si="20"/>
        <v>0.37061032844530006</v>
      </c>
      <c r="U145" s="126">
        <f>Fig1_future_Kaya!AA59</f>
        <v>73.467742947764563</v>
      </c>
      <c r="V145" s="101">
        <f t="shared" si="21"/>
        <v>1.7244109945934698</v>
      </c>
      <c r="W145" s="101">
        <f t="shared" si="22"/>
        <v>1.054022407139944</v>
      </c>
      <c r="X145" s="101">
        <f t="shared" si="23"/>
        <v>0.37061032844530006</v>
      </c>
      <c r="Y145" s="184"/>
      <c r="Z145" s="101">
        <f>Fig1_future_Kaya!AB59</f>
        <v>31.881814877995602</v>
      </c>
      <c r="AA145" s="101">
        <f t="shared" si="24"/>
        <v>0.74831960119284024</v>
      </c>
      <c r="AB145" s="101">
        <f t="shared" si="25"/>
        <v>0.45740002228716209</v>
      </c>
      <c r="AC145" s="101">
        <f t="shared" si="26"/>
        <v>0.16082881288141881</v>
      </c>
      <c r="AD145" s="184"/>
      <c r="AE145" s="101">
        <f>Fig1_future_Kaya!AC59</f>
        <v>10.262474884401215</v>
      </c>
      <c r="AF145" s="101">
        <f t="shared" si="27"/>
        <v>0.24087747645906507</v>
      </c>
      <c r="AG145" s="101">
        <f t="shared" si="28"/>
        <v>0.14723303108087271</v>
      </c>
      <c r="AH145" s="103">
        <f t="shared" si="29"/>
        <v>5.1769375714642178E-2</v>
      </c>
    </row>
    <row r="146" spans="1:34" s="68" customFormat="1">
      <c r="A146" s="68">
        <v>2046</v>
      </c>
      <c r="C146" s="183">
        <f>Fig1_future_Kaya!J60*10^6</f>
        <v>2470764504014.3359</v>
      </c>
      <c r="D146" s="101">
        <f t="shared" si="15"/>
        <v>2.2825981037663241</v>
      </c>
      <c r="E146" s="184"/>
      <c r="F146" s="192">
        <f>Fig1_future_Kaya!K60*10^6</f>
        <v>1905192194083.5618</v>
      </c>
      <c r="G146" s="101">
        <f t="shared" si="16"/>
        <v>1.7600981730391201</v>
      </c>
      <c r="H146" s="184"/>
      <c r="I146" s="192">
        <f>Fig1_future_Kaya!L60*10^6</f>
        <v>1069331492454.6738</v>
      </c>
      <c r="J146" s="103">
        <f t="shared" si="17"/>
        <v>0.98789424609626386</v>
      </c>
      <c r="L146" s="126">
        <f>Fig1_future_Kaya!R60</f>
        <v>9.780955112810938</v>
      </c>
      <c r="M146" s="101">
        <f t="shared" si="18"/>
        <v>1.7754535600334365</v>
      </c>
      <c r="N146" s="184"/>
      <c r="O146" s="101">
        <f>Fig1_future_Kaya!S60</f>
        <v>7.5884537790161986</v>
      </c>
      <c r="P146" s="101">
        <f t="shared" si="19"/>
        <v>1.0621571683773823</v>
      </c>
      <c r="Q146" s="184"/>
      <c r="R146" s="101">
        <f>Fig1_future_Kaya!T60</f>
        <v>4.5617837348321348</v>
      </c>
      <c r="S146" s="103">
        <f t="shared" si="20"/>
        <v>0.35837998538835292</v>
      </c>
      <c r="U146" s="126">
        <f>Fig1_future_Kaya!AA60</f>
        <v>73.467742947764563</v>
      </c>
      <c r="V146" s="101">
        <f t="shared" si="21"/>
        <v>1.7754535600334365</v>
      </c>
      <c r="W146" s="101">
        <f t="shared" si="22"/>
        <v>1.0621571683773823</v>
      </c>
      <c r="X146" s="101">
        <f t="shared" si="23"/>
        <v>0.35837998538835292</v>
      </c>
      <c r="Y146" s="184"/>
      <c r="Z146" s="101">
        <f>Fig1_future_Kaya!AB60</f>
        <v>30.27027818998447</v>
      </c>
      <c r="AA146" s="101">
        <f t="shared" si="24"/>
        <v>0.73152476201456107</v>
      </c>
      <c r="AB146" s="101">
        <f t="shared" si="25"/>
        <v>0.43763142405408334</v>
      </c>
      <c r="AC146" s="101">
        <f t="shared" si="26"/>
        <v>0.1476602032424095</v>
      </c>
      <c r="AD146" s="184"/>
      <c r="AE146" s="101">
        <f>Fig1_future_Kaya!AC60</f>
        <v>8.1011507674181349</v>
      </c>
      <c r="AF146" s="101">
        <f t="shared" si="27"/>
        <v>0.19577594728351155</v>
      </c>
      <c r="AG146" s="101">
        <f t="shared" si="28"/>
        <v>0.117122086707319</v>
      </c>
      <c r="AH146" s="103">
        <f t="shared" si="29"/>
        <v>3.9517891487702156E-2</v>
      </c>
    </row>
    <row r="147" spans="1:34" s="68" customFormat="1">
      <c r="A147" s="68">
        <v>2047</v>
      </c>
      <c r="C147" s="183">
        <f>Fig1_future_Kaya!J61*10^6</f>
        <v>2569595084174.9097</v>
      </c>
      <c r="D147" s="101">
        <f t="shared" si="15"/>
        <v>2.3739020279169774</v>
      </c>
      <c r="E147" s="184"/>
      <c r="F147" s="192">
        <f>Fig1_future_Kaya!K61*10^6</f>
        <v>1959080720585.4595</v>
      </c>
      <c r="G147" s="101">
        <f t="shared" si="16"/>
        <v>1.8098827025675883</v>
      </c>
      <c r="H147" s="184"/>
      <c r="I147" s="192">
        <f>Fig1_future_Kaya!L61*10^6</f>
        <v>1080658116342.5453</v>
      </c>
      <c r="J147" s="103">
        <f t="shared" si="17"/>
        <v>0.99835826651040027</v>
      </c>
      <c r="L147" s="126">
        <f>Fig1_future_Kaya!R61</f>
        <v>9.6831455616828279</v>
      </c>
      <c r="M147" s="101">
        <f t="shared" si="18"/>
        <v>1.8280069854104262</v>
      </c>
      <c r="N147" s="184"/>
      <c r="O147" s="101">
        <f>Fig1_future_Kaya!S61</f>
        <v>7.4366847034358745</v>
      </c>
      <c r="P147" s="101">
        <f t="shared" si="19"/>
        <v>1.07035636851572</v>
      </c>
      <c r="Q147" s="184"/>
      <c r="R147" s="101">
        <f>Fig1_future_Kaya!T61</f>
        <v>4.3556014191335066</v>
      </c>
      <c r="S147" s="103">
        <f t="shared" si="20"/>
        <v>0.34580649661167956</v>
      </c>
      <c r="U147" s="126">
        <f>Fig1_future_Kaya!AA61</f>
        <v>73.467742947764563</v>
      </c>
      <c r="V147" s="101">
        <f t="shared" si="21"/>
        <v>1.8280069854104266</v>
      </c>
      <c r="W147" s="101">
        <f t="shared" si="22"/>
        <v>1.07035636851572</v>
      </c>
      <c r="X147" s="101">
        <f t="shared" si="23"/>
        <v>0.34580649661167956</v>
      </c>
      <c r="Y147" s="184"/>
      <c r="Z147" s="101">
        <f>Fig1_future_Kaya!AB61</f>
        <v>28.667456539512777</v>
      </c>
      <c r="AA147" s="101">
        <f t="shared" si="24"/>
        <v>0.71329686615578403</v>
      </c>
      <c r="AB147" s="101">
        <f t="shared" si="25"/>
        <v>0.41765805569978759</v>
      </c>
      <c r="AC147" s="101">
        <f t="shared" si="26"/>
        <v>0.13493531058582953</v>
      </c>
      <c r="AD147" s="184"/>
      <c r="AE147" s="101">
        <f>Fig1_future_Kaya!AC61</f>
        <v>5.9942412204864741</v>
      </c>
      <c r="AF147" s="101">
        <f t="shared" si="27"/>
        <v>0.14914729081952563</v>
      </c>
      <c r="AG147" s="101">
        <f t="shared" si="28"/>
        <v>8.7330493728776812E-2</v>
      </c>
      <c r="AH147" s="103">
        <f t="shared" si="29"/>
        <v>2.8214390059260932E-2</v>
      </c>
    </row>
    <row r="148" spans="1:34" s="68" customFormat="1">
      <c r="A148" s="68">
        <v>2048</v>
      </c>
      <c r="C148" s="183">
        <f>Fig1_future_Kaya!J62*10^6</f>
        <v>2672378887541.9058</v>
      </c>
      <c r="D148" s="101">
        <f t="shared" si="15"/>
        <v>2.4688581090336559</v>
      </c>
      <c r="E148" s="184"/>
      <c r="F148" s="192">
        <f>Fig1_future_Kaya!K62*10^6</f>
        <v>2014496601130.6218</v>
      </c>
      <c r="G148" s="101">
        <f t="shared" si="16"/>
        <v>1.8610782671976505</v>
      </c>
      <c r="H148" s="184"/>
      <c r="I148" s="192">
        <f>Fig1_future_Kaya!L62*10^6</f>
        <v>1091984740230.4166</v>
      </c>
      <c r="J148" s="103">
        <f t="shared" si="17"/>
        <v>1.0088222869245365</v>
      </c>
      <c r="L148" s="126">
        <f>Fig1_future_Kaya!R62</f>
        <v>9.5863141060660002</v>
      </c>
      <c r="M148" s="101">
        <f t="shared" si="18"/>
        <v>1.8821159921785751</v>
      </c>
      <c r="N148" s="184"/>
      <c r="O148" s="101">
        <f>Fig1_future_Kaya!S62</f>
        <v>7.2879510093671565</v>
      </c>
      <c r="P148" s="101">
        <f t="shared" si="19"/>
        <v>1.0786205279047798</v>
      </c>
      <c r="Q148" s="184"/>
      <c r="R148" s="101">
        <f>Fig1_future_Kaya!T62</f>
        <v>4.1494191034348784</v>
      </c>
      <c r="S148" s="103">
        <f t="shared" si="20"/>
        <v>0.33288986211527993</v>
      </c>
      <c r="U148" s="126">
        <f>Fig1_future_Kaya!AA62</f>
        <v>73.467742947764563</v>
      </c>
      <c r="V148" s="101">
        <f t="shared" si="21"/>
        <v>1.8821159921785748</v>
      </c>
      <c r="W148" s="101">
        <f t="shared" si="22"/>
        <v>1.0786205279047798</v>
      </c>
      <c r="X148" s="101">
        <f t="shared" si="23"/>
        <v>0.33288986211527993</v>
      </c>
      <c r="Y148" s="184"/>
      <c r="Z148" s="101">
        <f>Fig1_future_Kaya!AB62</f>
        <v>27.073349926580519</v>
      </c>
      <c r="AA148" s="101">
        <f t="shared" si="24"/>
        <v>0.69357221025413685</v>
      </c>
      <c r="AB148" s="101">
        <f t="shared" si="25"/>
        <v>0.39747880931528806</v>
      </c>
      <c r="AC148" s="101">
        <f t="shared" si="26"/>
        <v>0.12267211925192728</v>
      </c>
      <c r="AD148" s="184"/>
      <c r="AE148" s="101">
        <f>Fig1_future_Kaya!AC62</f>
        <v>3.9417462436062336</v>
      </c>
      <c r="AF148" s="101">
        <f t="shared" si="27"/>
        <v>0.10098069362871114</v>
      </c>
      <c r="AG148" s="101">
        <f t="shared" si="28"/>
        <v>5.7870954565300212E-2</v>
      </c>
      <c r="AH148" s="103">
        <f t="shared" si="29"/>
        <v>1.7860455635073075E-2</v>
      </c>
    </row>
    <row r="149" spans="1:34" s="68" customFormat="1">
      <c r="A149" s="68">
        <v>2049</v>
      </c>
      <c r="C149" s="183">
        <f>Fig1_future_Kaya!J63*10^6</f>
        <v>2779274043043.582</v>
      </c>
      <c r="D149" s="101">
        <f t="shared" si="15"/>
        <v>2.5676124333950021</v>
      </c>
      <c r="E149" s="184"/>
      <c r="F149" s="192">
        <f>Fig1_future_Kaya!K63*10^6</f>
        <v>2071483208242.4473</v>
      </c>
      <c r="G149" s="101">
        <f t="shared" si="16"/>
        <v>1.9137249363246303</v>
      </c>
      <c r="H149" s="184"/>
      <c r="I149" s="192">
        <f>Fig1_future_Kaya!L63*10^6</f>
        <v>1103311364118.2883</v>
      </c>
      <c r="J149" s="103">
        <f t="shared" si="17"/>
        <v>1.0192863073386733</v>
      </c>
      <c r="L149" s="126">
        <f>Fig1_future_Kaya!R63</f>
        <v>9.4904509650053406</v>
      </c>
      <c r="M149" s="101">
        <f t="shared" si="18"/>
        <v>1.9378266255470606</v>
      </c>
      <c r="N149" s="184"/>
      <c r="O149" s="101">
        <f>Fig1_future_Kaya!S63</f>
        <v>7.1421919891798131</v>
      </c>
      <c r="P149" s="101">
        <f t="shared" si="19"/>
        <v>1.0869501711539342</v>
      </c>
      <c r="Q149" s="184"/>
      <c r="R149" s="101">
        <f>Fig1_future_Kaya!T63</f>
        <v>3.9432367877362506</v>
      </c>
      <c r="S149" s="103">
        <f t="shared" si="20"/>
        <v>0.31963008189915432</v>
      </c>
      <c r="U149" s="126">
        <f>Fig1_future_Kaya!AA63</f>
        <v>73.467742947764563</v>
      </c>
      <c r="V149" s="101">
        <f t="shared" si="21"/>
        <v>1.9378266255470606</v>
      </c>
      <c r="W149" s="101">
        <f t="shared" si="22"/>
        <v>1.0869501711539342</v>
      </c>
      <c r="X149" s="101">
        <f t="shared" si="23"/>
        <v>0.31963008189915432</v>
      </c>
      <c r="Y149" s="184"/>
      <c r="Z149" s="101">
        <f>Fig1_future_Kaya!AB63</f>
        <v>25.4879583511877</v>
      </c>
      <c r="AA149" s="101">
        <f t="shared" si="24"/>
        <v>0.67228476528649017</v>
      </c>
      <c r="AB149" s="101">
        <f t="shared" si="25"/>
        <v>0.37709257941795504</v>
      </c>
      <c r="AC149" s="101">
        <f t="shared" si="26"/>
        <v>0.11088836934904425</v>
      </c>
      <c r="AD149" s="184"/>
      <c r="AE149" s="101">
        <f>Fig1_future_Kaya!AC63</f>
        <v>1.9436658367774151</v>
      </c>
      <c r="AF149" s="101">
        <f t="shared" si="27"/>
        <v>5.1267226384665833E-2</v>
      </c>
      <c r="AG149" s="101">
        <f t="shared" si="28"/>
        <v>2.8756401506078243E-2</v>
      </c>
      <c r="AH149" s="103">
        <f t="shared" si="29"/>
        <v>8.456147496398031E-3</v>
      </c>
    </row>
    <row r="150" spans="1:34" s="68" customFormat="1" ht="17" thickBot="1">
      <c r="A150" s="68">
        <v>2050</v>
      </c>
      <c r="C150" s="193">
        <f>Fig1_future_Kaya!J64*10^6</f>
        <v>2890445004765.3257</v>
      </c>
      <c r="D150" s="98">
        <f t="shared" si="15"/>
        <v>2.6703169307308023</v>
      </c>
      <c r="E150" s="99"/>
      <c r="F150" s="194">
        <f>Fig1_future_Kaya!K64*10^6</f>
        <v>2130085148308.1699</v>
      </c>
      <c r="G150" s="98">
        <f t="shared" si="16"/>
        <v>1.9678639192401262</v>
      </c>
      <c r="H150" s="99"/>
      <c r="I150" s="194">
        <f>Fig1_future_Kaya!L64*10^6</f>
        <v>1114637988006.1594</v>
      </c>
      <c r="J150" s="104">
        <f t="shared" si="17"/>
        <v>1.0297503277528093</v>
      </c>
      <c r="L150" s="127">
        <f>Fig1_future_Kaya!R64</f>
        <v>9.3955464553552872</v>
      </c>
      <c r="M150" s="98">
        <f t="shared" si="18"/>
        <v>1.9951862936632543</v>
      </c>
      <c r="N150" s="99"/>
      <c r="O150" s="98">
        <f>Fig1_future_Kaya!S64</f>
        <v>6.9993481493962166</v>
      </c>
      <c r="P150" s="98">
        <f t="shared" si="19"/>
        <v>1.0953458271673011</v>
      </c>
      <c r="Q150" s="99"/>
      <c r="R150" s="98">
        <f>Fig1_future_Kaya!T64</f>
        <v>3.7370544720376229</v>
      </c>
      <c r="S150" s="104">
        <f t="shared" si="20"/>
        <v>0.30602715596330221</v>
      </c>
      <c r="U150" s="127">
        <f>Fig1_future_Kaya!AA64</f>
        <v>73.467742947764563</v>
      </c>
      <c r="V150" s="98">
        <f>(L150*U150*C150)/10^15</f>
        <v>1.9951862936632543</v>
      </c>
      <c r="W150" s="98">
        <f t="shared" si="22"/>
        <v>1.0953458271673011</v>
      </c>
      <c r="X150" s="98">
        <f t="shared" si="23"/>
        <v>0.30602715596330221</v>
      </c>
      <c r="Y150" s="99"/>
      <c r="Z150" s="98">
        <f>Fig1_future_Kaya!AB64</f>
        <v>23.91128181333432</v>
      </c>
      <c r="AA150" s="98">
        <f>(C150*L150*Z150)/10^15</f>
        <v>0.64936610032792208</v>
      </c>
      <c r="AB150" s="98">
        <f>(F150*O150*Z150)/10^15</f>
        <v>0.35649826312316368</v>
      </c>
      <c r="AC150" s="98">
        <f>(I150*R150*Z150)/10^15</f>
        <v>9.9601556753614498E-2</v>
      </c>
      <c r="AD150" s="99"/>
      <c r="AE150" s="98">
        <f>Fig1_future_Kaya!AC64</f>
        <v>0</v>
      </c>
      <c r="AF150" s="98">
        <f t="shared" si="27"/>
        <v>0</v>
      </c>
      <c r="AG150" s="98">
        <f t="shared" si="28"/>
        <v>0</v>
      </c>
      <c r="AH150" s="104">
        <f t="shared" si="29"/>
        <v>0</v>
      </c>
    </row>
    <row r="151" spans="1:34" s="68" customFormat="1">
      <c r="C151" s="192"/>
      <c r="R151" s="101"/>
    </row>
    <row r="153" spans="1:34" ht="17" thickBot="1">
      <c r="A153">
        <v>2021</v>
      </c>
    </row>
    <row r="154" spans="1:34" ht="28" customHeight="1">
      <c r="A154" s="69" t="s">
        <v>286</v>
      </c>
      <c r="B154" s="179">
        <f>Fig1_historical_Kaya!L35</f>
        <v>73.467742947764563</v>
      </c>
      <c r="C154" s="95" t="s">
        <v>58</v>
      </c>
      <c r="F154" s="30">
        <f>D150-M150</f>
        <v>0.67513063706754806</v>
      </c>
      <c r="G154">
        <f>F154*10^3</f>
        <v>675.13063706754804</v>
      </c>
    </row>
    <row r="155" spans="1:34" ht="35" thickBot="1">
      <c r="A155" s="180" t="s">
        <v>287</v>
      </c>
      <c r="B155" s="98">
        <f>Fig1_historical_Kaya!J35</f>
        <v>12.574809105739336</v>
      </c>
      <c r="C155" s="97" t="s">
        <v>288</v>
      </c>
      <c r="F155" s="30">
        <f>G150-P150</f>
        <v>0.87251809207282505</v>
      </c>
      <c r="G155">
        <f t="shared" ref="G155:G156" si="30">F155*10^3</f>
        <v>872.51809207282508</v>
      </c>
    </row>
    <row r="156" spans="1:34">
      <c r="F156" s="30">
        <f>J150-S150</f>
        <v>0.72372317178950707</v>
      </c>
      <c r="G156">
        <f t="shared" si="30"/>
        <v>723.72317178950709</v>
      </c>
    </row>
  </sheetData>
  <mergeCells count="50">
    <mergeCell ref="B7:I7"/>
    <mergeCell ref="B8:C8"/>
    <mergeCell ref="E8:F8"/>
    <mergeCell ref="H8:I8"/>
    <mergeCell ref="B9:B15"/>
    <mergeCell ref="C9:C15"/>
    <mergeCell ref="E9:E12"/>
    <mergeCell ref="F9:F12"/>
    <mergeCell ref="B17:B23"/>
    <mergeCell ref="C17:C23"/>
    <mergeCell ref="E18:E21"/>
    <mergeCell ref="F18:F21"/>
    <mergeCell ref="B25:B31"/>
    <mergeCell ref="C25:C31"/>
    <mergeCell ref="E28:E31"/>
    <mergeCell ref="F28:F31"/>
    <mergeCell ref="C118:J118"/>
    <mergeCell ref="U118:AH118"/>
    <mergeCell ref="Z76:AC76"/>
    <mergeCell ref="AE76:AH76"/>
    <mergeCell ref="R76:S76"/>
    <mergeCell ref="U76:X76"/>
    <mergeCell ref="C76:D76"/>
    <mergeCell ref="F76:G76"/>
    <mergeCell ref="I76:J76"/>
    <mergeCell ref="L76:M76"/>
    <mergeCell ref="N8:R8"/>
    <mergeCell ref="T8:X8"/>
    <mergeCell ref="Z8:AD8"/>
    <mergeCell ref="M10:M11"/>
    <mergeCell ref="M13:M14"/>
    <mergeCell ref="M16:M17"/>
    <mergeCell ref="C117:J117"/>
    <mergeCell ref="L117:S117"/>
    <mergeCell ref="U117:AF117"/>
    <mergeCell ref="U74:AF74"/>
    <mergeCell ref="C75:J75"/>
    <mergeCell ref="U75:AH75"/>
    <mergeCell ref="O76:P76"/>
    <mergeCell ref="C74:J74"/>
    <mergeCell ref="L74:S74"/>
    <mergeCell ref="U119:X119"/>
    <mergeCell ref="Z119:AC119"/>
    <mergeCell ref="AE119:AH119"/>
    <mergeCell ref="C119:D119"/>
    <mergeCell ref="F119:G119"/>
    <mergeCell ref="I119:J119"/>
    <mergeCell ref="L119:M119"/>
    <mergeCell ref="O119:P119"/>
    <mergeCell ref="R119:S1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5D05-8272-C24D-99BB-BC4893A7F836}">
  <dimension ref="A1:AJ84"/>
  <sheetViews>
    <sheetView workbookViewId="0">
      <pane xSplit="1" topLeftCell="B1" activePane="topRight" state="frozen"/>
      <selection pane="topRight" activeCell="E45" sqref="E45"/>
    </sheetView>
  </sheetViews>
  <sheetFormatPr baseColWidth="10" defaultRowHeight="16"/>
  <cols>
    <col min="3" max="3" width="12.6640625" customWidth="1"/>
    <col min="4" max="4" width="14.83203125" customWidth="1"/>
    <col min="5" max="5" width="17.83203125" customWidth="1"/>
    <col min="6" max="6" width="15.1640625" customWidth="1"/>
    <col min="7" max="7" width="15.5" customWidth="1"/>
    <col min="9" max="9" width="14.33203125" customWidth="1"/>
    <col min="12" max="12" width="16" customWidth="1"/>
    <col min="13" max="13" width="16.1640625" customWidth="1"/>
    <col min="14" max="14" width="12.33203125" customWidth="1"/>
    <col min="16" max="16" width="18.6640625" bestFit="1" customWidth="1"/>
    <col min="19" max="19" width="15" customWidth="1"/>
    <col min="20" max="20" width="13.6640625" customWidth="1"/>
    <col min="33" max="33" width="12.1640625" bestFit="1" customWidth="1"/>
  </cols>
  <sheetData>
    <row r="1" spans="1:36" ht="19">
      <c r="B1" s="396" t="s">
        <v>85</v>
      </c>
      <c r="C1" s="396"/>
      <c r="D1" s="396"/>
      <c r="E1" s="396"/>
      <c r="F1" s="396"/>
      <c r="G1" s="396"/>
      <c r="H1" s="87"/>
      <c r="I1" s="393" t="s">
        <v>86</v>
      </c>
      <c r="J1" s="393"/>
      <c r="K1" s="393"/>
      <c r="L1" s="393"/>
      <c r="M1" s="393"/>
      <c r="N1" s="393"/>
      <c r="O1" s="87"/>
      <c r="P1" s="395" t="s">
        <v>87</v>
      </c>
      <c r="Q1" s="395"/>
      <c r="R1" s="395"/>
      <c r="S1" s="395"/>
      <c r="T1" s="395"/>
      <c r="U1" s="395"/>
    </row>
    <row r="2" spans="1:36" ht="68">
      <c r="A2" t="s">
        <v>0</v>
      </c>
      <c r="B2" s="3" t="s">
        <v>140</v>
      </c>
      <c r="C2" s="3" t="s">
        <v>143</v>
      </c>
      <c r="D2" s="3" t="s">
        <v>142</v>
      </c>
      <c r="E2" s="394" t="s">
        <v>145</v>
      </c>
      <c r="F2" s="394"/>
      <c r="G2" s="394"/>
      <c r="H2" s="88"/>
      <c r="I2" s="3" t="s">
        <v>140</v>
      </c>
      <c r="J2" s="3" t="s">
        <v>143</v>
      </c>
      <c r="K2" s="3" t="s">
        <v>142</v>
      </c>
      <c r="L2" s="394" t="s">
        <v>145</v>
      </c>
      <c r="M2" s="394"/>
      <c r="N2" s="394"/>
      <c r="O2" s="88"/>
      <c r="P2" s="3" t="s">
        <v>140</v>
      </c>
      <c r="Q2" s="3" t="s">
        <v>143</v>
      </c>
      <c r="R2" s="3" t="s">
        <v>142</v>
      </c>
      <c r="S2" s="394" t="s">
        <v>145</v>
      </c>
      <c r="T2" s="394"/>
      <c r="U2" s="394"/>
      <c r="AD2" t="s">
        <v>160</v>
      </c>
      <c r="AF2" t="s">
        <v>146</v>
      </c>
      <c r="AH2" s="21" t="s">
        <v>147</v>
      </c>
    </row>
    <row r="3" spans="1:36">
      <c r="B3" s="3"/>
      <c r="C3" s="3"/>
      <c r="D3" s="3"/>
      <c r="E3" s="82" t="s">
        <v>121</v>
      </c>
      <c r="F3" s="83" t="s">
        <v>122</v>
      </c>
      <c r="G3" s="84" t="s">
        <v>126</v>
      </c>
      <c r="H3" s="88"/>
      <c r="J3" s="83"/>
      <c r="K3" s="84"/>
      <c r="L3" s="82" t="s">
        <v>121</v>
      </c>
      <c r="M3" s="83" t="s">
        <v>122</v>
      </c>
      <c r="N3" s="84" t="s">
        <v>126</v>
      </c>
      <c r="O3" s="88"/>
      <c r="Q3" s="83"/>
      <c r="R3" s="84"/>
      <c r="S3" s="82" t="s">
        <v>121</v>
      </c>
      <c r="T3" s="83" t="s">
        <v>122</v>
      </c>
      <c r="U3" s="84" t="s">
        <v>126</v>
      </c>
      <c r="AD3" s="30">
        <f>$AJ$7</f>
        <v>4.0220000000000002</v>
      </c>
      <c r="AH3" t="s">
        <v>148</v>
      </c>
      <c r="AI3" t="s">
        <v>149</v>
      </c>
      <c r="AJ3" t="s">
        <v>150</v>
      </c>
    </row>
    <row r="4" spans="1:36">
      <c r="A4" s="10">
        <v>2022</v>
      </c>
      <c r="B4" s="86">
        <f>Fig1_future_Kaya!J36*10^6</f>
        <v>871240571894.19678</v>
      </c>
      <c r="C4" s="31">
        <f>Fig1_future_Kaya!R36</f>
        <v>12.449061014681941</v>
      </c>
      <c r="D4" s="86">
        <f>B4*C4</f>
        <v>10846127037977.244</v>
      </c>
      <c r="E4" s="31">
        <f t="shared" ref="E4:E32" si="0">(D4*C56)/10^12</f>
        <v>0</v>
      </c>
      <c r="F4" s="31">
        <f t="shared" ref="F4:F32" si="1">((D4*$B$37*L56)+(D4*$C$38*G56))/10^12</f>
        <v>0</v>
      </c>
      <c r="G4" s="31">
        <f t="shared" ref="G4:G32" si="2">((D4*$B$37*S56)+(D4*$C$38*O56))/10^12</f>
        <v>0</v>
      </c>
      <c r="H4" s="87"/>
      <c r="I4" s="89">
        <f>Fig1_future_Kaya!K36*10^6</f>
        <v>867894656955.89612</v>
      </c>
      <c r="J4" s="31">
        <f>Fig1_future_Kaya!S36</f>
        <v>12.323312923624549</v>
      </c>
      <c r="K4" s="86">
        <f>I4*J4</f>
        <v>10695337442409.289</v>
      </c>
      <c r="L4" s="31">
        <f t="shared" ref="L4:L32" si="3">(K4*C56)/10^12</f>
        <v>0</v>
      </c>
      <c r="M4" s="31">
        <f t="shared" ref="M4:M32" si="4">((K4*$B$37*L56)+(K4*$C$38*G56))/10^12</f>
        <v>0</v>
      </c>
      <c r="N4" s="31">
        <f t="shared" ref="N4:N32" si="5">((K4*$B$37*S56)+(K4*$C$38*O56))/10^12</f>
        <v>0</v>
      </c>
      <c r="O4" s="87"/>
      <c r="P4" s="89">
        <f>Fig1_future_Kaya!L36*10^6</f>
        <v>797492519145.75732</v>
      </c>
      <c r="Q4" s="31">
        <f>Fig1_future_Kaya!T36</f>
        <v>11.654009920430333</v>
      </c>
      <c r="R4" s="86">
        <f>P4*Q4</f>
        <v>9293985729593.6328</v>
      </c>
      <c r="S4" s="31">
        <f t="shared" ref="S4:S32" si="6">(R4*C56)/10^12</f>
        <v>0</v>
      </c>
      <c r="T4" s="31">
        <f t="shared" ref="T4:T32" si="7">((R4*$B$37*L56)+(R4*$C$38*G56))/10^12</f>
        <v>0</v>
      </c>
      <c r="U4" s="31">
        <f t="shared" ref="U4:U32" si="8">((R4*$B$37*S56)+(R4*$C$38*O56))/10^12</f>
        <v>0</v>
      </c>
      <c r="AD4" s="30">
        <f t="shared" ref="AD4:AD31" si="9">$AJ$7</f>
        <v>4.0220000000000002</v>
      </c>
      <c r="AF4">
        <v>2019</v>
      </c>
      <c r="AG4" t="s">
        <v>151</v>
      </c>
      <c r="AH4">
        <v>115</v>
      </c>
      <c r="AI4">
        <f>AH4*10^9*G36</f>
        <v>2461000000000</v>
      </c>
      <c r="AJ4" s="30">
        <f>AI4/10^12</f>
        <v>2.4609999999999999</v>
      </c>
    </row>
    <row r="5" spans="1:36">
      <c r="A5" s="10">
        <v>2023</v>
      </c>
      <c r="B5" s="86">
        <f>Fig1_future_Kaya!J37*10^6</f>
        <v>956697638809.17065</v>
      </c>
      <c r="C5" s="31">
        <f>Fig1_future_Kaya!R37</f>
        <v>12.324570404535121</v>
      </c>
      <c r="D5" s="86">
        <f t="shared" ref="D5:D32" si="10">B5*C5</f>
        <v>11790887405356.137</v>
      </c>
      <c r="E5" s="31">
        <f t="shared" si="0"/>
        <v>0</v>
      </c>
      <c r="F5" s="31">
        <f t="shared" si="1"/>
        <v>7.8605916035707574E-2</v>
      </c>
      <c r="G5" s="31">
        <f t="shared" si="2"/>
        <v>0.42110312161986202</v>
      </c>
      <c r="H5" s="87"/>
      <c r="I5" s="89">
        <f>Fig1_future_Kaya!K37*10^6</f>
        <v>949784978546.64185</v>
      </c>
      <c r="J5" s="31">
        <f>Fig1_future_Kaya!S37</f>
        <v>12.076846665152058</v>
      </c>
      <c r="K5" s="86">
        <f t="shared" ref="K5:K32" si="11">I5*J5</f>
        <v>11470407550772.529</v>
      </c>
      <c r="L5" s="31">
        <f t="shared" si="3"/>
        <v>0</v>
      </c>
      <c r="M5" s="31">
        <f t="shared" si="4"/>
        <v>7.6469383671816868E-2</v>
      </c>
      <c r="N5" s="31">
        <f t="shared" si="5"/>
        <v>0.40965741252759036</v>
      </c>
      <c r="O5" s="87"/>
      <c r="P5" s="89">
        <f>Fig1_future_Kaya!L37*10^6</f>
        <v>808819143033.62878</v>
      </c>
      <c r="Q5" s="31">
        <f>Fig1_future_Kaya!T37</f>
        <v>10.733210735121331</v>
      </c>
      <c r="R5" s="86">
        <f t="shared" ref="R5:R31" si="12">P5*Q5</f>
        <v>8681226308780.1797</v>
      </c>
      <c r="S5" s="31">
        <f t="shared" si="6"/>
        <v>0</v>
      </c>
      <c r="T5" s="31">
        <f t="shared" si="7"/>
        <v>5.7874842058534541E-2</v>
      </c>
      <c r="U5" s="31">
        <f t="shared" si="8"/>
        <v>0.31004379674214927</v>
      </c>
      <c r="AD5" s="30">
        <f t="shared" si="9"/>
        <v>4.0220000000000002</v>
      </c>
      <c r="AG5" t="s">
        <v>152</v>
      </c>
      <c r="AH5">
        <v>41</v>
      </c>
      <c r="AI5">
        <f>AH5*10^9*G37</f>
        <v>1320200000000</v>
      </c>
      <c r="AJ5" s="30">
        <f t="shared" ref="AJ5:AJ12" si="13">AI5/10^12</f>
        <v>1.3202</v>
      </c>
    </row>
    <row r="6" spans="1:36">
      <c r="A6" s="10">
        <v>2024</v>
      </c>
      <c r="B6" s="86">
        <f>Fig1_future_Kaya!J38*10^6</f>
        <v>1042552391613.954</v>
      </c>
      <c r="C6" s="31">
        <f>Fig1_future_Kaya!R38</f>
        <v>12.201324700489771</v>
      </c>
      <c r="D6" s="86">
        <f t="shared" si="10"/>
        <v>12720520247354.021</v>
      </c>
      <c r="E6" s="31">
        <f t="shared" si="0"/>
        <v>0</v>
      </c>
      <c r="F6" s="31">
        <f t="shared" si="1"/>
        <v>0.16960693663138696</v>
      </c>
      <c r="G6" s="31">
        <f t="shared" si="2"/>
        <v>0.90860858909671582</v>
      </c>
      <c r="H6" s="87"/>
      <c r="I6" s="89">
        <f>Fig1_future_Kaya!K38*10^6</f>
        <v>1031841060587.3335</v>
      </c>
      <c r="J6" s="31">
        <f>Fig1_future_Kaya!S38</f>
        <v>11.835309731849016</v>
      </c>
      <c r="K6" s="86">
        <f t="shared" si="11"/>
        <v>12212158546090.678</v>
      </c>
      <c r="L6" s="31">
        <f t="shared" si="3"/>
        <v>0</v>
      </c>
      <c r="M6" s="31">
        <f t="shared" si="4"/>
        <v>0.16282878061454237</v>
      </c>
      <c r="N6" s="31">
        <f t="shared" si="5"/>
        <v>0.87229703900647693</v>
      </c>
      <c r="O6" s="87"/>
      <c r="P6" s="89">
        <f>Fig1_future_Kaya!L38*10^6</f>
        <v>820145766921.50049</v>
      </c>
      <c r="Q6" s="31">
        <f>Fig1_future_Kaya!T38</f>
        <v>9.8124115498123281</v>
      </c>
      <c r="R6" s="86">
        <f t="shared" si="12"/>
        <v>8047607795870.2207</v>
      </c>
      <c r="S6" s="31">
        <f t="shared" si="6"/>
        <v>0</v>
      </c>
      <c r="T6" s="31">
        <f t="shared" si="7"/>
        <v>0.10730143727826963</v>
      </c>
      <c r="U6" s="31">
        <f t="shared" si="8"/>
        <v>0.57482912827644439</v>
      </c>
      <c r="AD6" s="30">
        <f t="shared" si="9"/>
        <v>4.0220000000000002</v>
      </c>
      <c r="AG6" t="s">
        <v>153</v>
      </c>
      <c r="AH6">
        <v>7</v>
      </c>
      <c r="AI6">
        <f>AH6*10^9*G38</f>
        <v>240800000000</v>
      </c>
      <c r="AJ6" s="30">
        <f t="shared" si="13"/>
        <v>0.24079999999999999</v>
      </c>
    </row>
    <row r="7" spans="1:36">
      <c r="A7" s="10">
        <v>2025</v>
      </c>
      <c r="B7" s="86">
        <f>Fig1_future_Kaya!J39*10^6</f>
        <v>1084254487278.5122</v>
      </c>
      <c r="C7" s="31">
        <f>Fig1_future_Kaya!R39</f>
        <v>12.079311453484873</v>
      </c>
      <c r="D7" s="86">
        <f t="shared" si="10"/>
        <v>13097047646675.701</v>
      </c>
      <c r="E7" s="31">
        <f t="shared" si="0"/>
        <v>0</v>
      </c>
      <c r="F7" s="31">
        <f t="shared" si="1"/>
        <v>0.26123476012440527</v>
      </c>
      <c r="G7" s="31">
        <f t="shared" si="2"/>
        <v>1.3887044289891117</v>
      </c>
      <c r="H7" s="87"/>
      <c r="I7" s="89">
        <f>Fig1_future_Kaya!K39*10^6</f>
        <v>1060990078352.9128</v>
      </c>
      <c r="J7" s="31">
        <f>Fig1_future_Kaya!S39</f>
        <v>11.598603537212036</v>
      </c>
      <c r="K7" s="86">
        <f t="shared" si="11"/>
        <v>12306003275730.969</v>
      </c>
      <c r="L7" s="31">
        <f t="shared" si="3"/>
        <v>0</v>
      </c>
      <c r="M7" s="31">
        <f t="shared" si="4"/>
        <v>0.24545652581799193</v>
      </c>
      <c r="N7" s="31">
        <f t="shared" si="5"/>
        <v>1.304828516562643</v>
      </c>
      <c r="O7" s="87"/>
      <c r="P7" s="89">
        <f>Fig1_future_Kaya!L39*10^6</f>
        <v>831472390809.37207</v>
      </c>
      <c r="Q7" s="31">
        <f>Fig1_future_Kaya!T39</f>
        <v>8.8916123645033256</v>
      </c>
      <c r="R7" s="86">
        <f t="shared" si="12"/>
        <v>7393130190863.7539</v>
      </c>
      <c r="S7" s="31">
        <f t="shared" si="6"/>
        <v>0</v>
      </c>
      <c r="T7" s="31">
        <f t="shared" si="7"/>
        <v>0.14746396623738373</v>
      </c>
      <c r="U7" s="31">
        <f t="shared" si="8"/>
        <v>0.78390740547939852</v>
      </c>
      <c r="AD7" s="30">
        <f t="shared" si="9"/>
        <v>4.0220000000000002</v>
      </c>
      <c r="AG7" t="s">
        <v>154</v>
      </c>
      <c r="AH7">
        <f>SUM(AH4:AH6)</f>
        <v>163</v>
      </c>
      <c r="AI7" s="90">
        <f>SUM(AI4:AI6)</f>
        <v>4022000000000</v>
      </c>
      <c r="AJ7" s="30">
        <f t="shared" si="13"/>
        <v>4.0220000000000002</v>
      </c>
    </row>
    <row r="8" spans="1:36">
      <c r="A8" s="10">
        <v>2026</v>
      </c>
      <c r="B8" s="86">
        <f>Fig1_future_Kaya!J40*10^6</f>
        <v>1127624666769.6528</v>
      </c>
      <c r="C8" s="31">
        <f>Fig1_future_Kaya!R40</f>
        <v>11.958518338950025</v>
      </c>
      <c r="D8" s="86">
        <f t="shared" si="10"/>
        <v>13484720257017.305</v>
      </c>
      <c r="E8" s="31">
        <f t="shared" si="0"/>
        <v>0</v>
      </c>
      <c r="F8" s="31">
        <f t="shared" si="1"/>
        <v>0.35407708103833474</v>
      </c>
      <c r="G8" s="31">
        <f t="shared" si="2"/>
        <v>1.8864382720871768</v>
      </c>
      <c r="H8" s="87"/>
      <c r="I8" s="89">
        <f>Fig1_future_Kaya!K40*10^6</f>
        <v>1090964283935.9156</v>
      </c>
      <c r="J8" s="31">
        <f>Fig1_future_Kaya!S40</f>
        <v>11.366631466467794</v>
      </c>
      <c r="K8" s="86">
        <f t="shared" si="11"/>
        <v>12400588958578.484</v>
      </c>
      <c r="L8" s="31">
        <f t="shared" si="3"/>
        <v>0</v>
      </c>
      <c r="M8" s="31">
        <f t="shared" si="4"/>
        <v>0.32561033954892504</v>
      </c>
      <c r="N8" s="31">
        <f t="shared" si="5"/>
        <v>1.7347742602009619</v>
      </c>
      <c r="O8" s="87"/>
      <c r="P8" s="89">
        <f>Fig1_future_Kaya!L40*10^6</f>
        <v>842799014697.24341</v>
      </c>
      <c r="Q8" s="31">
        <f>Fig1_future_Kaya!T40</f>
        <v>8.6854300488046974</v>
      </c>
      <c r="R8" s="86">
        <f t="shared" si="12"/>
        <v>7320071887354.4297</v>
      </c>
      <c r="S8" s="31">
        <f t="shared" si="6"/>
        <v>0</v>
      </c>
      <c r="T8" s="31">
        <f t="shared" si="7"/>
        <v>0.1922078943770783</v>
      </c>
      <c r="U8" s="31">
        <f t="shared" si="8"/>
        <v>1.0240378368656793</v>
      </c>
      <c r="AD8" s="30">
        <f t="shared" si="9"/>
        <v>4.0220000000000002</v>
      </c>
      <c r="AJ8" s="30"/>
    </row>
    <row r="9" spans="1:36">
      <c r="A9" s="10">
        <v>2027</v>
      </c>
      <c r="B9" s="86">
        <f>Fig1_future_Kaya!J41*10^6</f>
        <v>1172729653440.4392</v>
      </c>
      <c r="C9" s="31">
        <f>Fig1_future_Kaya!R41</f>
        <v>11.838933155560525</v>
      </c>
      <c r="D9" s="86">
        <f t="shared" si="10"/>
        <v>13883867976625.02</v>
      </c>
      <c r="E9" s="31">
        <f t="shared" si="0"/>
        <v>0</v>
      </c>
      <c r="F9" s="31">
        <f t="shared" si="1"/>
        <v>0.45170766827970654</v>
      </c>
      <c r="G9" s="31">
        <f t="shared" si="2"/>
        <v>2.4021380149227758</v>
      </c>
      <c r="H9" s="87"/>
      <c r="I9" s="89">
        <f>Fig1_future_Kaya!K41*10^6</f>
        <v>1121787084306.9055</v>
      </c>
      <c r="J9" s="31">
        <f>Fig1_future_Kaya!S41</f>
        <v>11.139298837138439</v>
      </c>
      <c r="K9" s="86">
        <f t="shared" si="11"/>
        <v>12495921563736.832</v>
      </c>
      <c r="L9" s="31">
        <f t="shared" si="3"/>
        <v>0</v>
      </c>
      <c r="M9" s="31">
        <f t="shared" si="4"/>
        <v>0.40655122924424203</v>
      </c>
      <c r="N9" s="31">
        <f t="shared" si="5"/>
        <v>2.1620004072555443</v>
      </c>
      <c r="O9" s="87"/>
      <c r="P9" s="89">
        <f>Fig1_future_Kaya!L41*10^6</f>
        <v>854125638585.11511</v>
      </c>
      <c r="Q9" s="31">
        <f>Fig1_future_Kaya!T41</f>
        <v>8.4792477331060692</v>
      </c>
      <c r="R9" s="86">
        <f t="shared" si="12"/>
        <v>7242342884760.6113</v>
      </c>
      <c r="S9" s="31">
        <f t="shared" si="6"/>
        <v>0</v>
      </c>
      <c r="T9" s="31">
        <f t="shared" si="7"/>
        <v>0.23562755154868434</v>
      </c>
      <c r="U9" s="31">
        <f t="shared" si="8"/>
        <v>1.2530446983419057</v>
      </c>
      <c r="AD9" s="30">
        <f t="shared" si="9"/>
        <v>4.0220000000000002</v>
      </c>
      <c r="AF9">
        <v>2020</v>
      </c>
      <c r="AG9" t="s">
        <v>151</v>
      </c>
      <c r="AH9">
        <v>98</v>
      </c>
      <c r="AI9">
        <f>AH9*10^9*G36</f>
        <v>2097199999999.9998</v>
      </c>
      <c r="AJ9" s="30">
        <f t="shared" si="13"/>
        <v>2.0972</v>
      </c>
    </row>
    <row r="10" spans="1:36">
      <c r="A10" s="10">
        <v>2028</v>
      </c>
      <c r="B10" s="86">
        <f>Fig1_future_Kaya!J42*10^6</f>
        <v>1219638839578.0566</v>
      </c>
      <c r="C10" s="31">
        <f>Fig1_future_Kaya!R42</f>
        <v>11.72054382400492</v>
      </c>
      <c r="D10" s="86">
        <f t="shared" si="10"/>
        <v>14294830468733.119</v>
      </c>
      <c r="E10" s="31">
        <f t="shared" si="0"/>
        <v>0</v>
      </c>
      <c r="F10" s="31">
        <f t="shared" si="1"/>
        <v>0.55431446066476553</v>
      </c>
      <c r="G10" s="31">
        <f t="shared" si="2"/>
        <v>2.9361267610679609</v>
      </c>
      <c r="H10" s="87"/>
      <c r="I10" s="89">
        <f>Fig1_future_Kaya!K42*10^6</f>
        <v>1153482551628.2122</v>
      </c>
      <c r="J10" s="31">
        <f>Fig1_future_Kaya!S42</f>
        <v>10.91651286039567</v>
      </c>
      <c r="K10" s="86">
        <f t="shared" si="11"/>
        <v>12592007109091.391</v>
      </c>
      <c r="L10" s="31">
        <f t="shared" si="3"/>
        <v>0</v>
      </c>
      <c r="M10" s="31">
        <f t="shared" si="4"/>
        <v>0.4882836242535365</v>
      </c>
      <c r="N10" s="31">
        <f t="shared" si="5"/>
        <v>2.5863705854664722</v>
      </c>
      <c r="O10" s="87"/>
      <c r="P10" s="89">
        <f>Fig1_future_Kaya!L42*10^6</f>
        <v>865452262472.98669</v>
      </c>
      <c r="Q10" s="31">
        <f>Fig1_future_Kaya!T42</f>
        <v>8.2730654174074409</v>
      </c>
      <c r="R10" s="86">
        <f t="shared" si="12"/>
        <v>7159943183082.2939</v>
      </c>
      <c r="S10" s="31">
        <f t="shared" si="6"/>
        <v>0</v>
      </c>
      <c r="T10" s="31">
        <f t="shared" si="7"/>
        <v>0.27764302994720069</v>
      </c>
      <c r="U10" s="31">
        <f t="shared" si="8"/>
        <v>1.4706365936662391</v>
      </c>
      <c r="AD10" s="30">
        <f t="shared" si="9"/>
        <v>4.0220000000000002</v>
      </c>
      <c r="AG10" t="s">
        <v>152</v>
      </c>
      <c r="AH10">
        <v>37</v>
      </c>
      <c r="AI10">
        <f>AH10*10^9*G37</f>
        <v>1191400000000</v>
      </c>
      <c r="AJ10" s="30">
        <f t="shared" si="13"/>
        <v>1.1914</v>
      </c>
    </row>
    <row r="11" spans="1:36">
      <c r="A11" s="10">
        <v>2029</v>
      </c>
      <c r="B11" s="86">
        <f>Fig1_future_Kaya!J43*10^6</f>
        <v>1268424393161.179</v>
      </c>
      <c r="C11" s="31">
        <f>Fig1_future_Kaya!R43</f>
        <v>11.603338385764872</v>
      </c>
      <c r="D11" s="86">
        <f t="shared" si="10"/>
        <v>14717957450607.621</v>
      </c>
      <c r="E11" s="31">
        <f t="shared" si="0"/>
        <v>0</v>
      </c>
      <c r="F11" s="31">
        <f t="shared" si="1"/>
        <v>0.66209190791830863</v>
      </c>
      <c r="G11" s="31">
        <f t="shared" si="2"/>
        <v>3.4887219910805674</v>
      </c>
      <c r="H11" s="87"/>
      <c r="I11" s="89">
        <f>Fig1_future_Kaya!K43*10^6</f>
        <v>1186075442190.6235</v>
      </c>
      <c r="J11" s="31">
        <f>Fig1_future_Kaya!S43</f>
        <v>10.698182603187757</v>
      </c>
      <c r="K11" s="86">
        <f t="shared" si="11"/>
        <v>12688851661711.955</v>
      </c>
      <c r="L11" s="31">
        <f t="shared" si="3"/>
        <v>0</v>
      </c>
      <c r="M11" s="31">
        <f t="shared" si="4"/>
        <v>0.57081195092383086</v>
      </c>
      <c r="N11" s="31">
        <f t="shared" si="5"/>
        <v>3.0077458765819522</v>
      </c>
      <c r="O11" s="87"/>
      <c r="P11" s="89">
        <f>Fig1_future_Kaya!L43*10^6</f>
        <v>876778886360.85828</v>
      </c>
      <c r="Q11" s="31">
        <f>Fig1_future_Kaya!T43</f>
        <v>8.0668831017088127</v>
      </c>
      <c r="R11" s="86">
        <f t="shared" si="12"/>
        <v>7072872782319.4795</v>
      </c>
      <c r="S11" s="31">
        <f t="shared" si="6"/>
        <v>0</v>
      </c>
      <c r="T11" s="31">
        <f t="shared" si="7"/>
        <v>0.31817538884894997</v>
      </c>
      <c r="U11" s="31">
        <f t="shared" si="8"/>
        <v>1.6765428829782671</v>
      </c>
      <c r="AD11" s="30">
        <f t="shared" si="9"/>
        <v>4.0220000000000002</v>
      </c>
      <c r="AG11" t="s">
        <v>153</v>
      </c>
      <c r="AH11">
        <v>9</v>
      </c>
      <c r="AI11">
        <f>AH11*10^9*G38</f>
        <v>309600000000</v>
      </c>
      <c r="AJ11" s="30">
        <f t="shared" si="13"/>
        <v>0.30959999999999999</v>
      </c>
    </row>
    <row r="12" spans="1:36">
      <c r="A12" s="10">
        <v>2030</v>
      </c>
      <c r="B12" s="86">
        <f>Fig1_future_Kaya!J44*10^6</f>
        <v>1319161368887.6262</v>
      </c>
      <c r="C12" s="31">
        <f>Fig1_future_Kaya!R44</f>
        <v>11.487305001907222</v>
      </c>
      <c r="D12" s="86">
        <f t="shared" si="10"/>
        <v>15153608991145.607</v>
      </c>
      <c r="E12" s="31">
        <f t="shared" si="0"/>
        <v>0</v>
      </c>
      <c r="F12" s="31">
        <f t="shared" si="1"/>
        <v>0.77524117902945144</v>
      </c>
      <c r="G12" s="31">
        <f t="shared" si="2"/>
        <v>4.0602346798429512</v>
      </c>
      <c r="H12" s="87"/>
      <c r="I12" s="89">
        <f>Fig1_future_Kaya!K44*10^6</f>
        <v>1219591215890.0398</v>
      </c>
      <c r="J12" s="31">
        <f>Fig1_future_Kaya!S44</f>
        <v>10.484218951124001</v>
      </c>
      <c r="K12" s="86">
        <f t="shared" si="11"/>
        <v>12786461338258.719</v>
      </c>
      <c r="L12" s="31">
        <f t="shared" si="3"/>
        <v>0</v>
      </c>
      <c r="M12" s="31">
        <f t="shared" si="4"/>
        <v>0.65414063206185435</v>
      </c>
      <c r="N12" s="31">
        <f t="shared" si="5"/>
        <v>3.4259847794940588</v>
      </c>
      <c r="O12" s="87"/>
      <c r="P12" s="89">
        <f>Fig1_future_Kaya!L44*10^6</f>
        <v>888105510248.72961</v>
      </c>
      <c r="Q12" s="31">
        <f>Fig1_future_Kaya!T44</f>
        <v>7.8607007860101863</v>
      </c>
      <c r="R12" s="86">
        <f t="shared" si="12"/>
        <v>6981131682472.166</v>
      </c>
      <c r="S12" s="31">
        <f t="shared" si="6"/>
        <v>0</v>
      </c>
      <c r="T12" s="31">
        <f t="shared" si="7"/>
        <v>0.35714665461157774</v>
      </c>
      <c r="U12" s="31">
        <f t="shared" si="8"/>
        <v>1.8705136827990032</v>
      </c>
      <c r="AD12" s="30">
        <f t="shared" si="9"/>
        <v>4.0220000000000002</v>
      </c>
      <c r="AG12" t="s">
        <v>154</v>
      </c>
      <c r="AH12">
        <f>SUM(AH9:AH11)</f>
        <v>144</v>
      </c>
      <c r="AI12" s="90">
        <f>SUM(AI9:AI11)</f>
        <v>3598200000000</v>
      </c>
      <c r="AJ12" s="30">
        <f t="shared" si="13"/>
        <v>3.5981999999999998</v>
      </c>
    </row>
    <row r="13" spans="1:36">
      <c r="A13" s="10">
        <v>2031</v>
      </c>
      <c r="B13" s="86">
        <f>Fig1_future_Kaya!J45*10^6</f>
        <v>1371927823643.1313</v>
      </c>
      <c r="C13" s="31">
        <f>Fig1_future_Kaya!R45</f>
        <v>11.372431951888149</v>
      </c>
      <c r="D13" s="86">
        <f t="shared" si="10"/>
        <v>15602155817283.518</v>
      </c>
      <c r="E13" s="31">
        <f t="shared" si="0"/>
        <v>0</v>
      </c>
      <c r="F13" s="31">
        <f t="shared" si="1"/>
        <v>1.1572630221121005</v>
      </c>
      <c r="G13" s="31">
        <f t="shared" si="2"/>
        <v>4.6509683586798705</v>
      </c>
      <c r="H13" s="87"/>
      <c r="I13" s="89">
        <f>Fig1_future_Kaya!K45*10^6</f>
        <v>1254056056259.5122</v>
      </c>
      <c r="J13" s="31">
        <f>Fig1_future_Kaya!S45</f>
        <v>10.274534572101521</v>
      </c>
      <c r="K13" s="86">
        <f t="shared" si="11"/>
        <v>12884842305391.648</v>
      </c>
      <c r="L13" s="31">
        <f t="shared" si="3"/>
        <v>0</v>
      </c>
      <c r="M13" s="31">
        <f t="shared" si="4"/>
        <v>0.95571097484216494</v>
      </c>
      <c r="N13" s="31">
        <f t="shared" si="5"/>
        <v>3.8409431729025125</v>
      </c>
      <c r="O13" s="87"/>
      <c r="P13" s="89">
        <f>Fig1_future_Kaya!L45*10^6</f>
        <v>899432134136.60132</v>
      </c>
      <c r="Q13" s="31">
        <f>Fig1_future_Kaya!T45</f>
        <v>7.6545184703115581</v>
      </c>
      <c r="R13" s="86">
        <f t="shared" si="12"/>
        <v>6884719883540.3574</v>
      </c>
      <c r="S13" s="31">
        <f t="shared" si="6"/>
        <v>0</v>
      </c>
      <c r="T13" s="31">
        <f t="shared" si="7"/>
        <v>0.51066223361230278</v>
      </c>
      <c r="U13" s="31">
        <f t="shared" si="8"/>
        <v>2.0523198660308886</v>
      </c>
      <c r="AD13" s="30">
        <f t="shared" si="9"/>
        <v>4.0220000000000002</v>
      </c>
      <c r="AJ13" s="30"/>
    </row>
    <row r="14" spans="1:36">
      <c r="A14" s="10">
        <v>2032</v>
      </c>
      <c r="B14" s="86">
        <f>Fig1_future_Kaya!J46*10^6</f>
        <v>1426804936588.8569</v>
      </c>
      <c r="C14" s="31">
        <f>Fig1_future_Kaya!R46</f>
        <v>11.258707632369267</v>
      </c>
      <c r="D14" s="86">
        <f t="shared" si="10"/>
        <v>16063979629475.111</v>
      </c>
      <c r="E14" s="31">
        <f t="shared" si="0"/>
        <v>0</v>
      </c>
      <c r="F14" s="31">
        <f t="shared" si="1"/>
        <v>1.5591771623091983</v>
      </c>
      <c r="G14" s="31">
        <f t="shared" si="2"/>
        <v>5.2612181195261112</v>
      </c>
      <c r="H14" s="87"/>
      <c r="I14" s="89">
        <f>Fig1_future_Kaya!K46*10^6</f>
        <v>1289496891072.5242</v>
      </c>
      <c r="J14" s="31">
        <f>Fig1_future_Kaya!S46</f>
        <v>10.069043880659491</v>
      </c>
      <c r="K14" s="86">
        <f t="shared" si="11"/>
        <v>12984000780183.238</v>
      </c>
      <c r="L14" s="31">
        <f t="shared" si="3"/>
        <v>0</v>
      </c>
      <c r="M14" s="31">
        <f t="shared" si="4"/>
        <v>1.2602330156545398</v>
      </c>
      <c r="N14" s="31">
        <f t="shared" si="5"/>
        <v>4.2524742775008919</v>
      </c>
      <c r="O14" s="87"/>
      <c r="P14" s="89">
        <f>Fig1_future_Kaya!L46*10^6</f>
        <v>910758758024.47278</v>
      </c>
      <c r="Q14" s="31">
        <f>Fig1_future_Kaya!T46</f>
        <v>7.4483361546129299</v>
      </c>
      <c r="R14" s="86">
        <f t="shared" si="12"/>
        <v>6783637385524.0498</v>
      </c>
      <c r="S14" s="31">
        <f t="shared" si="6"/>
        <v>0</v>
      </c>
      <c r="T14" s="31">
        <f t="shared" si="7"/>
        <v>0.65842292712379225</v>
      </c>
      <c r="U14" s="31">
        <f t="shared" si="8"/>
        <v>2.2217530619577879</v>
      </c>
      <c r="AD14" s="30">
        <f t="shared" si="9"/>
        <v>4.0220000000000002</v>
      </c>
      <c r="AF14">
        <v>2021</v>
      </c>
      <c r="AH14">
        <v>157</v>
      </c>
      <c r="AI14">
        <f>AH14*10^9*G39</f>
        <v>4605333333333.333</v>
      </c>
      <c r="AJ14" s="30">
        <f>AI14/10^12</f>
        <v>4.6053333333333333</v>
      </c>
    </row>
    <row r="15" spans="1:36">
      <c r="A15" s="10">
        <v>2033</v>
      </c>
      <c r="B15" s="86">
        <f>Fig1_future_Kaya!J47*10^6</f>
        <v>1483877134052.4109</v>
      </c>
      <c r="C15" s="31">
        <f>Fig1_future_Kaya!R47</f>
        <v>11.146120556045574</v>
      </c>
      <c r="D15" s="86">
        <f t="shared" si="10"/>
        <v>16539473426507.57</v>
      </c>
      <c r="E15" s="31">
        <f t="shared" si="0"/>
        <v>0</v>
      </c>
      <c r="F15" s="31">
        <f t="shared" si="1"/>
        <v>1.9817660041956182</v>
      </c>
      <c r="G15" s="31">
        <f t="shared" si="2"/>
        <v>5.8912695582943773</v>
      </c>
      <c r="H15" s="87"/>
      <c r="I15" s="89">
        <f>Fig1_future_Kaya!K47*10^6</f>
        <v>1325941413533.8325</v>
      </c>
      <c r="J15" s="31">
        <f>Fig1_future_Kaya!S47</f>
        <v>9.8676630030463013</v>
      </c>
      <c r="K15" s="86">
        <f t="shared" si="11"/>
        <v>13083943030534.715</v>
      </c>
      <c r="L15" s="31">
        <f t="shared" si="3"/>
        <v>0</v>
      </c>
      <c r="M15" s="31">
        <f t="shared" si="4"/>
        <v>1.5677230362841759</v>
      </c>
      <c r="N15" s="31">
        <f t="shared" si="5"/>
        <v>4.6604286176795924</v>
      </c>
      <c r="O15" s="87"/>
      <c r="P15" s="89">
        <f>Fig1_future_Kaya!L47*10^6</f>
        <v>922085381912.34436</v>
      </c>
      <c r="Q15" s="31">
        <f>Fig1_future_Kaya!T47</f>
        <v>7.2421538389143016</v>
      </c>
      <c r="R15" s="86">
        <f t="shared" si="12"/>
        <v>6677884188423.2451</v>
      </c>
      <c r="S15" s="31">
        <f t="shared" si="6"/>
        <v>0</v>
      </c>
      <c r="T15" s="31">
        <f t="shared" si="7"/>
        <v>0.80014662639517231</v>
      </c>
      <c r="U15" s="31">
        <f t="shared" si="8"/>
        <v>2.3786256562449943</v>
      </c>
      <c r="AD15" s="30">
        <f t="shared" si="9"/>
        <v>4.0220000000000002</v>
      </c>
      <c r="AJ15" s="30"/>
    </row>
    <row r="16" spans="1:36">
      <c r="A16" s="10">
        <v>2034</v>
      </c>
      <c r="B16" s="86">
        <f>Fig1_future_Kaya!J48*10^6</f>
        <v>1543232219414.5078</v>
      </c>
      <c r="C16" s="31">
        <f>Fig1_future_Kaya!R48</f>
        <v>11.034659350485118</v>
      </c>
      <c r="D16" s="86">
        <f t="shared" si="10"/>
        <v>17029041839932.199</v>
      </c>
      <c r="E16" s="31">
        <f t="shared" si="0"/>
        <v>0</v>
      </c>
      <c r="F16" s="31">
        <f t="shared" si="1"/>
        <v>2.4258390508502052</v>
      </c>
      <c r="G16" s="31">
        <f t="shared" si="2"/>
        <v>6.5413976544688985</v>
      </c>
      <c r="H16" s="87"/>
      <c r="I16" s="89">
        <f>Fig1_future_Kaya!K48*10^6</f>
        <v>1363418104074.644</v>
      </c>
      <c r="J16" s="31">
        <f>Fig1_future_Kaya!S48</f>
        <v>9.6703097429853759</v>
      </c>
      <c r="K16" s="86">
        <f t="shared" si="11"/>
        <v>13184675375595.68</v>
      </c>
      <c r="L16" s="31">
        <f t="shared" si="3"/>
        <v>0</v>
      </c>
      <c r="M16" s="31">
        <f t="shared" si="4"/>
        <v>1.8781972996215528</v>
      </c>
      <c r="N16" s="31">
        <f t="shared" si="5"/>
        <v>5.0646539827398067</v>
      </c>
      <c r="O16" s="87"/>
      <c r="P16" s="89">
        <f>Fig1_future_Kaya!L48*10^6</f>
        <v>933412005800.21582</v>
      </c>
      <c r="Q16" s="31">
        <f>Fig1_future_Kaya!T48</f>
        <v>7.0359715232156734</v>
      </c>
      <c r="R16" s="86">
        <f t="shared" si="12"/>
        <v>6567460292237.9414</v>
      </c>
      <c r="S16" s="31">
        <f t="shared" si="6"/>
        <v>0</v>
      </c>
      <c r="T16" s="31">
        <f t="shared" si="7"/>
        <v>0.93555478878794796</v>
      </c>
      <c r="U16" s="31">
        <f t="shared" si="8"/>
        <v>2.5227707909392247</v>
      </c>
      <c r="AD16" s="30">
        <f t="shared" si="9"/>
        <v>4.0220000000000002</v>
      </c>
    </row>
    <row r="17" spans="1:36">
      <c r="A17" s="10">
        <v>2035</v>
      </c>
      <c r="B17" s="86">
        <f>Fig1_future_Kaya!J49*10^6</f>
        <v>1604961508191.0876</v>
      </c>
      <c r="C17" s="31">
        <f>Fig1_future_Kaya!R49</f>
        <v>10.924312756980267</v>
      </c>
      <c r="D17" s="86">
        <f t="shared" si="10"/>
        <v>17533101478394.189</v>
      </c>
      <c r="E17" s="31">
        <f t="shared" si="0"/>
        <v>0</v>
      </c>
      <c r="F17" s="31">
        <f t="shared" si="1"/>
        <v>2.892233769561658</v>
      </c>
      <c r="G17" s="31">
        <f t="shared" si="2"/>
        <v>7.211865583820054</v>
      </c>
      <c r="H17" s="87"/>
      <c r="I17" s="89">
        <f>Fig1_future_Kaya!K49*10^6</f>
        <v>1401956252769.3955</v>
      </c>
      <c r="J17" s="31">
        <f>Fig1_future_Kaya!S49</f>
        <v>9.4769035481256676</v>
      </c>
      <c r="K17" s="86">
        <f t="shared" si="11"/>
        <v>13286204186187.25</v>
      </c>
      <c r="L17" s="31">
        <f t="shared" si="3"/>
        <v>0</v>
      </c>
      <c r="M17" s="31">
        <f t="shared" si="4"/>
        <v>2.191672047523086</v>
      </c>
      <c r="N17" s="31">
        <f t="shared" si="5"/>
        <v>5.4649953876127046</v>
      </c>
      <c r="O17" s="87"/>
      <c r="P17" s="89">
        <f>Fig1_future_Kaya!L49*10^6</f>
        <v>944738629688.0874</v>
      </c>
      <c r="Q17" s="31">
        <f>Fig1_future_Kaya!T49</f>
        <v>6.8297892075170452</v>
      </c>
      <c r="R17" s="86">
        <f t="shared" si="12"/>
        <v>6452365696968.1416</v>
      </c>
      <c r="S17" s="31">
        <f t="shared" si="6"/>
        <v>0</v>
      </c>
      <c r="T17" s="31">
        <f t="shared" si="7"/>
        <v>1.0643724377760053</v>
      </c>
      <c r="U17" s="31">
        <f t="shared" si="8"/>
        <v>2.6540423644686237</v>
      </c>
      <c r="AD17" s="30">
        <f t="shared" si="9"/>
        <v>4.0220000000000002</v>
      </c>
    </row>
    <row r="18" spans="1:36">
      <c r="A18" s="10">
        <v>2036</v>
      </c>
      <c r="B18" s="86">
        <f>Fig1_future_Kaya!J50*10^6</f>
        <v>1669159968518.7314</v>
      </c>
      <c r="C18" s="31">
        <f>Fig1_future_Kaya!R50</f>
        <v>10.815069629410464</v>
      </c>
      <c r="D18" s="86">
        <f t="shared" si="10"/>
        <v>18052081282154.66</v>
      </c>
      <c r="E18" s="31">
        <f t="shared" si="0"/>
        <v>0</v>
      </c>
      <c r="F18" s="31">
        <f t="shared" si="1"/>
        <v>3.7381649145820806</v>
      </c>
      <c r="G18" s="31">
        <f t="shared" si="2"/>
        <v>7.9029234609998902</v>
      </c>
      <c r="H18" s="87"/>
      <c r="I18" s="89">
        <f>Fig1_future_Kaya!K50*10^6</f>
        <v>1441585982391.886</v>
      </c>
      <c r="J18" s="31">
        <f>Fig1_future_Kaya!S50</f>
        <v>9.2873654771631546</v>
      </c>
      <c r="K18" s="86">
        <f t="shared" si="11"/>
        <v>13388535885228.732</v>
      </c>
      <c r="L18" s="31">
        <f t="shared" si="3"/>
        <v>0</v>
      </c>
      <c r="M18" s="31">
        <f t="shared" si="4"/>
        <v>2.7724534540657402</v>
      </c>
      <c r="N18" s="31">
        <f t="shared" si="5"/>
        <v>5.8612950330779805</v>
      </c>
      <c r="O18" s="87"/>
      <c r="P18" s="89">
        <f>Fig1_future_Kaya!L50*10^6</f>
        <v>956065253575.95898</v>
      </c>
      <c r="Q18" s="31">
        <f>Fig1_future_Kaya!T50</f>
        <v>6.623606891818417</v>
      </c>
      <c r="R18" s="86">
        <f t="shared" si="12"/>
        <v>6332600402613.8447</v>
      </c>
      <c r="S18" s="31">
        <f t="shared" si="6"/>
        <v>0</v>
      </c>
      <c r="T18" s="31">
        <f t="shared" si="7"/>
        <v>1.3113338164791353</v>
      </c>
      <c r="U18" s="31">
        <f t="shared" si="8"/>
        <v>2.7723150316427616</v>
      </c>
      <c r="AD18" s="30">
        <f t="shared" si="9"/>
        <v>4.0220000000000002</v>
      </c>
    </row>
    <row r="19" spans="1:36">
      <c r="A19" s="10">
        <v>2037</v>
      </c>
      <c r="B19" s="86">
        <f>Fig1_future_Kaya!J51*10^6</f>
        <v>1735926367259.481</v>
      </c>
      <c r="C19" s="31">
        <f>Fig1_future_Kaya!R51</f>
        <v>10.706918933116359</v>
      </c>
      <c r="D19" s="86">
        <f t="shared" si="10"/>
        <v>18586422888106.438</v>
      </c>
      <c r="E19" s="31">
        <f t="shared" si="0"/>
        <v>0</v>
      </c>
      <c r="F19" s="31">
        <f t="shared" si="1"/>
        <v>4.6272315321908142</v>
      </c>
      <c r="G19" s="31">
        <f t="shared" si="2"/>
        <v>8.6148070086373316</v>
      </c>
      <c r="H19" s="87"/>
      <c r="I19" s="89">
        <f>Fig1_future_Kaya!K51*10^6</f>
        <v>1482338272129.0259</v>
      </c>
      <c r="J19" s="31">
        <f>Fig1_future_Kaya!S51</f>
        <v>9.1016181676198915</v>
      </c>
      <c r="K19" s="86">
        <f t="shared" si="11"/>
        <v>13491676948167.82</v>
      </c>
      <c r="L19" s="31">
        <f t="shared" si="3"/>
        <v>0</v>
      </c>
      <c r="M19" s="31">
        <f t="shared" si="4"/>
        <v>3.3588557288580168</v>
      </c>
      <c r="N19" s="31">
        <f t="shared" si="5"/>
        <v>6.2533922654757834</v>
      </c>
      <c r="O19" s="87"/>
      <c r="P19" s="89">
        <f>Fig1_future_Kaya!L51*10^6</f>
        <v>967391877463.83057</v>
      </c>
      <c r="Q19" s="31">
        <f>Fig1_future_Kaya!T51</f>
        <v>6.4174245761197888</v>
      </c>
      <c r="R19" s="86">
        <f t="shared" si="12"/>
        <v>6208164409175.0498</v>
      </c>
      <c r="S19" s="31">
        <f t="shared" si="6"/>
        <v>0</v>
      </c>
      <c r="T19" s="31">
        <f t="shared" si="7"/>
        <v>1.545569811044269</v>
      </c>
      <c r="U19" s="31">
        <f t="shared" si="8"/>
        <v>2.8774842036526347</v>
      </c>
      <c r="AD19" s="30">
        <f t="shared" si="9"/>
        <v>4.0220000000000002</v>
      </c>
    </row>
    <row r="20" spans="1:36">
      <c r="A20" s="10">
        <v>2038</v>
      </c>
      <c r="B20" s="86">
        <f>Fig1_future_Kaya!J52*10^6</f>
        <v>1805363421949.8599</v>
      </c>
      <c r="C20" s="31">
        <f>Fig1_future_Kaya!R52</f>
        <v>10.599849743785196</v>
      </c>
      <c r="D20" s="86">
        <f t="shared" si="10"/>
        <v>19136581005594.387</v>
      </c>
      <c r="E20" s="31">
        <f t="shared" si="0"/>
        <v>0</v>
      </c>
      <c r="F20" s="31">
        <f t="shared" si="1"/>
        <v>5.561115547420008</v>
      </c>
      <c r="G20" s="31">
        <f t="shared" si="2"/>
        <v>9.3477361494052413</v>
      </c>
      <c r="H20" s="87"/>
      <c r="I20" s="89">
        <f>Fig1_future_Kaya!K52*10^6</f>
        <v>1524244981970.9844</v>
      </c>
      <c r="J20" s="31">
        <f>Fig1_future_Kaya!S52</f>
        <v>8.9195858042674931</v>
      </c>
      <c r="K20" s="86">
        <f t="shared" si="11"/>
        <v>13595633903414.354</v>
      </c>
      <c r="L20" s="31">
        <f t="shared" si="3"/>
        <v>0</v>
      </c>
      <c r="M20" s="31">
        <f t="shared" si="4"/>
        <v>3.9509090498038928</v>
      </c>
      <c r="N20" s="31">
        <f t="shared" si="5"/>
        <v>6.6411235359060665</v>
      </c>
      <c r="O20" s="87"/>
      <c r="P20" s="89">
        <f>Fig1_future_Kaya!L52*10^6</f>
        <v>978718501351.7019</v>
      </c>
      <c r="Q20" s="31">
        <f>Fig1_future_Kaya!T52</f>
        <v>6.2112422604211606</v>
      </c>
      <c r="R20" s="86">
        <f t="shared" si="12"/>
        <v>6079057716651.7559</v>
      </c>
      <c r="S20" s="31">
        <f t="shared" si="6"/>
        <v>0</v>
      </c>
      <c r="T20" s="31">
        <f t="shared" si="7"/>
        <v>1.7665821481827244</v>
      </c>
      <c r="U20" s="31">
        <f t="shared" si="8"/>
        <v>2.9694660480706645</v>
      </c>
      <c r="AD20" s="30">
        <f t="shared" si="9"/>
        <v>4.0220000000000002</v>
      </c>
    </row>
    <row r="21" spans="1:36">
      <c r="A21" s="10">
        <v>2039</v>
      </c>
      <c r="B21" s="86">
        <f>Fig1_future_Kaya!J53*10^6</f>
        <v>1877577958827.8545</v>
      </c>
      <c r="C21" s="31">
        <f>Fig1_future_Kaya!R53</f>
        <v>10.493851246347344</v>
      </c>
      <c r="D21" s="86">
        <f t="shared" si="10"/>
        <v>19703023803359.98</v>
      </c>
      <c r="E21" s="31">
        <f t="shared" si="0"/>
        <v>0</v>
      </c>
      <c r="F21" s="31">
        <f t="shared" si="1"/>
        <v>6.5415567981802276</v>
      </c>
      <c r="G21" s="31">
        <f t="shared" si="2"/>
        <v>10.101913517378735</v>
      </c>
      <c r="H21" s="87"/>
      <c r="I21" s="89">
        <f>Fig1_future_Kaya!K53*10^6</f>
        <v>1567338877797.0657</v>
      </c>
      <c r="J21" s="31">
        <f>Fig1_future_Kaya!S53</f>
        <v>8.7411940881821426</v>
      </c>
      <c r="K21" s="86">
        <f t="shared" si="11"/>
        <v>13700413332777.744</v>
      </c>
      <c r="L21" s="31">
        <f t="shared" si="3"/>
        <v>0</v>
      </c>
      <c r="M21" s="31">
        <f t="shared" si="4"/>
        <v>4.5486435416896738</v>
      </c>
      <c r="N21" s="31">
        <f t="shared" si="5"/>
        <v>7.0243223589092834</v>
      </c>
      <c r="O21" s="87"/>
      <c r="P21" s="89">
        <f>Fig1_future_Kaya!L53*10^6</f>
        <v>990045125239.57361</v>
      </c>
      <c r="Q21" s="31">
        <f>Fig1_future_Kaya!T53</f>
        <v>6.0050599447225324</v>
      </c>
      <c r="R21" s="86">
        <f t="shared" si="12"/>
        <v>5945280325043.9668</v>
      </c>
      <c r="S21" s="31">
        <f t="shared" si="6"/>
        <v>0</v>
      </c>
      <c r="T21" s="31">
        <f t="shared" si="7"/>
        <v>1.9738792032899195</v>
      </c>
      <c r="U21" s="31">
        <f t="shared" si="8"/>
        <v>3.0481974888507013</v>
      </c>
      <c r="AD21" s="30">
        <f t="shared" si="9"/>
        <v>4.0220000000000002</v>
      </c>
    </row>
    <row r="22" spans="1:36">
      <c r="A22" s="10">
        <v>2040</v>
      </c>
      <c r="B22" s="86">
        <f>Fig1_future_Kaya!J54*10^6</f>
        <v>1952681077180.969</v>
      </c>
      <c r="C22" s="31">
        <f>Fig1_future_Kaya!R54</f>
        <v>10.38891273388387</v>
      </c>
      <c r="D22" s="86">
        <f t="shared" si="10"/>
        <v>20286233307939.441</v>
      </c>
      <c r="E22" s="31">
        <f t="shared" si="0"/>
        <v>0</v>
      </c>
      <c r="F22" s="31">
        <f t="shared" si="1"/>
        <v>7.5703548757075838</v>
      </c>
      <c r="G22" s="31">
        <f t="shared" si="2"/>
        <v>10.877522884845275</v>
      </c>
      <c r="H22" s="87"/>
      <c r="I22" s="89">
        <f>Fig1_future_Kaya!K54*10^6</f>
        <v>1611653657177.175</v>
      </c>
      <c r="J22" s="31">
        <f>Fig1_future_Kaya!S54</f>
        <v>8.5663702064184992</v>
      </c>
      <c r="K22" s="86">
        <f t="shared" si="11"/>
        <v>13806021871907.967</v>
      </c>
      <c r="L22" s="31">
        <f t="shared" si="3"/>
        <v>0</v>
      </c>
      <c r="M22" s="31">
        <f t="shared" si="4"/>
        <v>5.152089271852125</v>
      </c>
      <c r="N22" s="31">
        <f t="shared" si="5"/>
        <v>7.4028192706222633</v>
      </c>
      <c r="O22" s="87"/>
      <c r="P22" s="89">
        <f>Fig1_future_Kaya!L54*10^6</f>
        <v>1001371749127.4451</v>
      </c>
      <c r="Q22" s="31">
        <f>Fig1_future_Kaya!T54</f>
        <v>5.7988776290239041</v>
      </c>
      <c r="R22" s="86">
        <f t="shared" si="12"/>
        <v>5806832234351.6787</v>
      </c>
      <c r="S22" s="31">
        <f t="shared" si="6"/>
        <v>0</v>
      </c>
      <c r="T22" s="31">
        <f t="shared" si="7"/>
        <v>2.1669760004453669</v>
      </c>
      <c r="U22" s="31">
        <f t="shared" si="8"/>
        <v>3.1136362063280165</v>
      </c>
      <c r="AD22" s="30">
        <f t="shared" si="9"/>
        <v>4.0220000000000002</v>
      </c>
    </row>
    <row r="23" spans="1:36">
      <c r="A23" s="10">
        <v>2041</v>
      </c>
      <c r="B23" s="86">
        <f>Fig1_future_Kaya!J55*10^6</f>
        <v>2030788320268.2075</v>
      </c>
      <c r="C23" s="31">
        <f>Fig1_future_Kaya!R55</f>
        <v>10.285023606545032</v>
      </c>
      <c r="D23" s="86">
        <f t="shared" si="10"/>
        <v>20886705813854.445</v>
      </c>
      <c r="E23" s="31">
        <f t="shared" si="0"/>
        <v>0</v>
      </c>
      <c r="F23" s="31">
        <f t="shared" si="1"/>
        <v>8.3703590514574255</v>
      </c>
      <c r="G23" s="31">
        <f t="shared" si="2"/>
        <v>11.674727500561811</v>
      </c>
      <c r="H23" s="87"/>
      <c r="I23" s="89">
        <f>Fig1_future_Kaya!K55*10^6</f>
        <v>1657223975909.3315</v>
      </c>
      <c r="J23" s="31">
        <f>Fig1_future_Kaya!S55</f>
        <v>8.3950428022901296</v>
      </c>
      <c r="K23" s="86">
        <f t="shared" si="11"/>
        <v>13912466210740.266</v>
      </c>
      <c r="L23" s="31">
        <f t="shared" si="3"/>
        <v>0</v>
      </c>
      <c r="M23" s="31">
        <f t="shared" si="4"/>
        <v>5.5754286249352401</v>
      </c>
      <c r="N23" s="31">
        <f t="shared" si="5"/>
        <v>7.7764417864031037</v>
      </c>
      <c r="O23" s="87"/>
      <c r="P23" s="89">
        <f>Fig1_future_Kaya!L55*10^6</f>
        <v>1012698373015.3165</v>
      </c>
      <c r="Q23" s="31">
        <f>Fig1_future_Kaya!T55</f>
        <v>5.5926953133252759</v>
      </c>
      <c r="R23" s="86">
        <f t="shared" si="12"/>
        <v>5663713444574.8926</v>
      </c>
      <c r="S23" s="31">
        <f t="shared" si="6"/>
        <v>0</v>
      </c>
      <c r="T23" s="31">
        <f t="shared" si="7"/>
        <v>2.2697363345929173</v>
      </c>
      <c r="U23" s="31">
        <f t="shared" si="8"/>
        <v>3.1657606372193121</v>
      </c>
      <c r="AD23" s="30">
        <f t="shared" si="9"/>
        <v>4.0220000000000002</v>
      </c>
    </row>
    <row r="24" spans="1:36">
      <c r="A24" s="10">
        <v>2042</v>
      </c>
      <c r="B24" s="86">
        <f>Fig1_future_Kaya!J56*10^6</f>
        <v>2112019853078.9363</v>
      </c>
      <c r="C24" s="31">
        <f>Fig1_future_Kaya!R56</f>
        <v>10.182173370479582</v>
      </c>
      <c r="D24" s="86">
        <f t="shared" si="10"/>
        <v>21504952305944.543</v>
      </c>
      <c r="E24" s="31">
        <f t="shared" si="0"/>
        <v>0</v>
      </c>
      <c r="F24" s="31">
        <f t="shared" si="1"/>
        <v>9.2076119911987497</v>
      </c>
      <c r="G24" s="31">
        <f t="shared" si="2"/>
        <v>12.493668335282152</v>
      </c>
      <c r="H24" s="87"/>
      <c r="I24" s="89">
        <f>Fig1_future_Kaya!K56*10^6</f>
        <v>1704085475314.2451</v>
      </c>
      <c r="J24" s="31">
        <f>Fig1_future_Kaya!S56</f>
        <v>8.2271419462443269</v>
      </c>
      <c r="K24" s="86">
        <f t="shared" si="11"/>
        <v>14019753093943.527</v>
      </c>
      <c r="L24" s="31">
        <f t="shared" si="3"/>
        <v>0</v>
      </c>
      <c r="M24" s="31">
        <f t="shared" si="4"/>
        <v>6.002731132110287</v>
      </c>
      <c r="N24" s="31">
        <f t="shared" si="5"/>
        <v>8.1450143579187504</v>
      </c>
      <c r="O24" s="87"/>
      <c r="P24" s="89">
        <f>Fig1_future_Kaya!L56*10^6</f>
        <v>1024024996903.188</v>
      </c>
      <c r="Q24" s="31">
        <f>Fig1_future_Kaya!T56</f>
        <v>5.3865129976266477</v>
      </c>
      <c r="R24" s="86">
        <f t="shared" si="12"/>
        <v>5515923955713.6094</v>
      </c>
      <c r="S24" s="31">
        <f t="shared" si="6"/>
        <v>0</v>
      </c>
      <c r="T24" s="31">
        <f t="shared" si="7"/>
        <v>2.361711239095833</v>
      </c>
      <c r="U24" s="31">
        <f t="shared" si="8"/>
        <v>3.2045699746227148</v>
      </c>
      <c r="AD24" s="30">
        <f t="shared" si="9"/>
        <v>4.0220000000000002</v>
      </c>
      <c r="AJ24" s="238"/>
    </row>
    <row r="25" spans="1:36">
      <c r="A25" s="10">
        <v>2043</v>
      </c>
      <c r="B25" s="86">
        <f>Fig1_future_Kaya!J57*10^6</f>
        <v>2196500647202.0935</v>
      </c>
      <c r="C25" s="31">
        <f>Fig1_future_Kaya!R57</f>
        <v>10.080351636774786</v>
      </c>
      <c r="D25" s="86">
        <f t="shared" si="10"/>
        <v>22141498894200.5</v>
      </c>
      <c r="E25" s="31">
        <f t="shared" si="0"/>
        <v>0</v>
      </c>
      <c r="F25" s="31">
        <f t="shared" si="1"/>
        <v>10.08351492232511</v>
      </c>
      <c r="G25" s="31">
        <f t="shared" si="2"/>
        <v>13.334462230198856</v>
      </c>
      <c r="H25" s="87"/>
      <c r="I25" s="89">
        <f>Fig1_future_Kaya!K57*10^6</f>
        <v>1752274810308.5933</v>
      </c>
      <c r="J25" s="31">
        <f>Fig1_future_Kaya!S57</f>
        <v>8.062599107319441</v>
      </c>
      <c r="K25" s="86">
        <f t="shared" si="11"/>
        <v>14127889321372.406</v>
      </c>
      <c r="L25" s="31">
        <f t="shared" si="3"/>
        <v>0</v>
      </c>
      <c r="M25" s="31">
        <f t="shared" si="4"/>
        <v>6.434017113011727</v>
      </c>
      <c r="N25" s="31">
        <f t="shared" si="5"/>
        <v>8.508358329688976</v>
      </c>
      <c r="O25" s="87"/>
      <c r="P25" s="89">
        <f>Fig1_future_Kaya!L57*10^6</f>
        <v>1035351620791.0594</v>
      </c>
      <c r="Q25" s="31">
        <f>Fig1_future_Kaya!T57</f>
        <v>5.1803306819280195</v>
      </c>
      <c r="R25" s="86">
        <f t="shared" si="12"/>
        <v>5363463767767.8291</v>
      </c>
      <c r="S25" s="31">
        <f t="shared" si="6"/>
        <v>0</v>
      </c>
      <c r="T25" s="31">
        <f t="shared" si="7"/>
        <v>2.4425883358692921</v>
      </c>
      <c r="U25" s="31">
        <f t="shared" si="8"/>
        <v>3.2300841680177772</v>
      </c>
      <c r="AD25" s="30">
        <f t="shared" si="9"/>
        <v>4.0220000000000002</v>
      </c>
    </row>
    <row r="26" spans="1:36">
      <c r="A26" s="10">
        <v>2044</v>
      </c>
      <c r="B26" s="86">
        <f>Fig1_future_Kaya!J58*10^6</f>
        <v>2284360673090.1777</v>
      </c>
      <c r="C26" s="31">
        <f>Fig1_future_Kaya!R58</f>
        <v>9.9795481204070384</v>
      </c>
      <c r="D26" s="86">
        <f t="shared" si="10"/>
        <v>22796887261468.84</v>
      </c>
      <c r="E26" s="31">
        <f t="shared" si="0"/>
        <v>0</v>
      </c>
      <c r="F26" s="31">
        <f t="shared" si="1"/>
        <v>10.999516341168528</v>
      </c>
      <c r="G26" s="31">
        <f t="shared" si="2"/>
        <v>14.197199943757822</v>
      </c>
      <c r="H26" s="87"/>
      <c r="I26" s="89">
        <f>Fig1_future_Kaya!K58*10^6</f>
        <v>1801829678279.2439</v>
      </c>
      <c r="J26" s="31">
        <f>Fig1_future_Kaya!S58</f>
        <v>7.9013471251730518</v>
      </c>
      <c r="K26" s="86">
        <f t="shared" si="11"/>
        <v>14236881748523.189</v>
      </c>
      <c r="L26" s="31">
        <f t="shared" si="3"/>
        <v>0</v>
      </c>
      <c r="M26" s="31">
        <f t="shared" si="4"/>
        <v>6.8693068331678395</v>
      </c>
      <c r="N26" s="31">
        <f t="shared" si="5"/>
        <v>8.8662918950802858</v>
      </c>
      <c r="O26" s="87"/>
      <c r="P26" s="89">
        <f>Fig1_future_Kaya!L58*10^6</f>
        <v>1046678244678.9308</v>
      </c>
      <c r="Q26" s="31">
        <f>Fig1_future_Kaya!T58</f>
        <v>4.9741483662293913</v>
      </c>
      <c r="R26" s="86">
        <f t="shared" si="12"/>
        <v>5206332880737.5508</v>
      </c>
      <c r="S26" s="31">
        <f t="shared" si="6"/>
        <v>0</v>
      </c>
      <c r="T26" s="31">
        <f t="shared" si="7"/>
        <v>2.5120597800221738</v>
      </c>
      <c r="U26" s="31">
        <f t="shared" si="8"/>
        <v>3.2423439232654769</v>
      </c>
      <c r="AD26" s="30">
        <f t="shared" si="9"/>
        <v>4.0220000000000002</v>
      </c>
    </row>
    <row r="27" spans="1:36">
      <c r="A27" s="10">
        <v>2045</v>
      </c>
      <c r="B27" s="86">
        <f>Fig1_future_Kaya!J59*10^6</f>
        <v>2375735100013.7842</v>
      </c>
      <c r="C27" s="31">
        <f>Fig1_future_Kaya!R59</f>
        <v>9.8797526392029678</v>
      </c>
      <c r="D27" s="86">
        <f t="shared" si="10"/>
        <v>23471675124408.312</v>
      </c>
      <c r="E27" s="31">
        <f t="shared" si="0"/>
        <v>0</v>
      </c>
      <c r="F27" s="31">
        <f t="shared" si="1"/>
        <v>11.957113493405</v>
      </c>
      <c r="G27" s="31">
        <f t="shared" si="2"/>
        <v>15.081944092110051</v>
      </c>
      <c r="H27" s="87"/>
      <c r="I27" s="89">
        <f>Fig1_future_Kaya!K59*10^6</f>
        <v>1852788848781.3071</v>
      </c>
      <c r="J27" s="31">
        <f>Fig1_future_Kaya!S59</f>
        <v>7.7433201826695903</v>
      </c>
      <c r="K27" s="86">
        <f t="shared" si="11"/>
        <v>14346737286993.451</v>
      </c>
      <c r="L27" s="31">
        <f t="shared" si="3"/>
        <v>0</v>
      </c>
      <c r="M27" s="31">
        <f t="shared" si="4"/>
        <v>7.3086205007266365</v>
      </c>
      <c r="N27" s="31">
        <f t="shared" si="5"/>
        <v>9.2186300517432898</v>
      </c>
      <c r="O27" s="87"/>
      <c r="P27" s="89">
        <f>Fig1_future_Kaya!L59*10^6</f>
        <v>1058004868566.8022</v>
      </c>
      <c r="Q27" s="31">
        <f>Fig1_future_Kaya!T59</f>
        <v>4.7679660505307631</v>
      </c>
      <c r="R27" s="86">
        <f t="shared" si="12"/>
        <v>5044531294622.7754</v>
      </c>
      <c r="S27" s="31">
        <f t="shared" si="6"/>
        <v>0</v>
      </c>
      <c r="T27" s="31">
        <f t="shared" si="7"/>
        <v>2.5698222598570628</v>
      </c>
      <c r="U27" s="31">
        <f t="shared" si="8"/>
        <v>3.2414107026082197</v>
      </c>
      <c r="AD27" s="30">
        <f t="shared" si="9"/>
        <v>4.0220000000000002</v>
      </c>
    </row>
    <row r="28" spans="1:36">
      <c r="A28" s="10">
        <v>2046</v>
      </c>
      <c r="B28" s="86">
        <f>Fig1_future_Kaya!J60*10^6</f>
        <v>2470764504014.3359</v>
      </c>
      <c r="C28" s="31">
        <f>Fig1_future_Kaya!R60</f>
        <v>9.780955112810938</v>
      </c>
      <c r="D28" s="86">
        <f t="shared" si="10"/>
        <v>24166436708090.801</v>
      </c>
      <c r="E28" s="31">
        <f t="shared" si="0"/>
        <v>0</v>
      </c>
      <c r="F28" s="31">
        <f t="shared" si="1"/>
        <v>12.775989281902014</v>
      </c>
      <c r="G28" s="31">
        <f t="shared" si="2"/>
        <v>15.988726978263712</v>
      </c>
      <c r="H28" s="87"/>
      <c r="I28" s="89">
        <f>Fig1_future_Kaya!K60*10^6</f>
        <v>1905192194083.5618</v>
      </c>
      <c r="J28" s="31">
        <f>Fig1_future_Kaya!S60</f>
        <v>7.5884537790161986</v>
      </c>
      <c r="K28" s="86">
        <f t="shared" si="11"/>
        <v>14457462904945.566</v>
      </c>
      <c r="L28" s="31">
        <f t="shared" si="3"/>
        <v>0</v>
      </c>
      <c r="M28" s="31">
        <f t="shared" si="4"/>
        <v>7.6431785682016189</v>
      </c>
      <c r="N28" s="31">
        <f t="shared" si="5"/>
        <v>9.5651845564869724</v>
      </c>
      <c r="O28" s="87"/>
      <c r="P28" s="89">
        <f>Fig1_future_Kaya!L60*10^6</f>
        <v>1069331492454.6738</v>
      </c>
      <c r="Q28" s="31">
        <f>Fig1_future_Kaya!T60</f>
        <v>4.5617837348321348</v>
      </c>
      <c r="R28" s="86">
        <f t="shared" si="12"/>
        <v>4878059009423.5029</v>
      </c>
      <c r="S28" s="31">
        <f t="shared" si="6"/>
        <v>0</v>
      </c>
      <c r="T28" s="31">
        <f t="shared" si="7"/>
        <v>2.5788671442825959</v>
      </c>
      <c r="U28" s="31">
        <f t="shared" si="8"/>
        <v>3.2273667246698365</v>
      </c>
      <c r="AD28" s="30">
        <f t="shared" si="9"/>
        <v>4.0220000000000002</v>
      </c>
    </row>
    <row r="29" spans="1:36">
      <c r="A29" s="10">
        <v>2047</v>
      </c>
      <c r="B29" s="86">
        <f>Fig1_future_Kaya!J61*10^6</f>
        <v>2569595084174.9097</v>
      </c>
      <c r="C29" s="31">
        <f>Fig1_future_Kaya!R61</f>
        <v>9.6831455616828279</v>
      </c>
      <c r="D29" s="86">
        <f t="shared" si="10"/>
        <v>24881763234650.289</v>
      </c>
      <c r="E29" s="31">
        <f t="shared" si="0"/>
        <v>0</v>
      </c>
      <c r="F29" s="31">
        <f t="shared" si="1"/>
        <v>13.62991459823772</v>
      </c>
      <c r="G29" s="31">
        <f t="shared" si="2"/>
        <v>16.917548304790106</v>
      </c>
      <c r="H29" s="87"/>
      <c r="I29" s="89">
        <f>Fig1_future_Kaya!K61*10^6</f>
        <v>1959080720585.4595</v>
      </c>
      <c r="J29" s="31">
        <f>Fig1_future_Kaya!S61</f>
        <v>7.4366847034358745</v>
      </c>
      <c r="K29" s="86">
        <f t="shared" si="11"/>
        <v>14569065627574.018</v>
      </c>
      <c r="L29" s="31">
        <f t="shared" si="3"/>
        <v>0</v>
      </c>
      <c r="M29" s="31">
        <f t="shared" si="4"/>
        <v>7.9807495315854151</v>
      </c>
      <c r="N29" s="31">
        <f t="shared" si="5"/>
        <v>9.9057638795832226</v>
      </c>
      <c r="O29" s="87"/>
      <c r="P29" s="89">
        <f>Fig1_future_Kaya!L61*10^6</f>
        <v>1080658116342.5453</v>
      </c>
      <c r="Q29" s="31">
        <f>Fig1_future_Kaya!T61</f>
        <v>4.3556014191335066</v>
      </c>
      <c r="R29" s="86">
        <f t="shared" si="12"/>
        <v>4706916025139.7324</v>
      </c>
      <c r="S29" s="31">
        <f t="shared" si="6"/>
        <v>0</v>
      </c>
      <c r="T29" s="31">
        <f t="shared" si="7"/>
        <v>2.5783889525316752</v>
      </c>
      <c r="U29" s="31">
        <f t="shared" si="8"/>
        <v>3.2003149644555831</v>
      </c>
      <c r="AD29" s="30">
        <f t="shared" si="9"/>
        <v>4.0220000000000002</v>
      </c>
    </row>
    <row r="30" spans="1:36">
      <c r="A30" s="10">
        <v>2048</v>
      </c>
      <c r="B30" s="86">
        <f>Fig1_future_Kaya!J62*10^6</f>
        <v>2672378887541.9058</v>
      </c>
      <c r="C30" s="31">
        <f>Fig1_future_Kaya!R62</f>
        <v>9.5863141060660002</v>
      </c>
      <c r="D30" s="86">
        <f t="shared" si="10"/>
        <v>25618263426395.938</v>
      </c>
      <c r="E30" s="31">
        <f t="shared" si="0"/>
        <v>0</v>
      </c>
      <c r="F30" s="31">
        <f t="shared" si="1"/>
        <v>14.520159541650578</v>
      </c>
      <c r="G30" s="31">
        <f t="shared" si="2"/>
        <v>17.868372764719357</v>
      </c>
      <c r="H30" s="87"/>
      <c r="I30" s="89">
        <f>Fig1_future_Kaya!K62*10^6</f>
        <v>2014496601130.6218</v>
      </c>
      <c r="J30" s="31">
        <f>Fig1_future_Kaya!S62</f>
        <v>7.2879510093671565</v>
      </c>
      <c r="K30" s="86">
        <f t="shared" si="11"/>
        <v>14681552537576.621</v>
      </c>
      <c r="L30" s="31">
        <f t="shared" si="3"/>
        <v>0</v>
      </c>
      <c r="M30" s="31">
        <f t="shared" si="4"/>
        <v>8.3213480014842709</v>
      </c>
      <c r="N30" s="31">
        <f t="shared" si="5"/>
        <v>10.240173158494867</v>
      </c>
      <c r="O30" s="87"/>
      <c r="P30" s="89">
        <f>Fig1_future_Kaya!L62*10^6</f>
        <v>1091984740230.4166</v>
      </c>
      <c r="Q30" s="31">
        <f>Fig1_future_Kaya!T62</f>
        <v>4.1494191034348784</v>
      </c>
      <c r="R30" s="86">
        <f t="shared" si="12"/>
        <v>4531102341771.4639</v>
      </c>
      <c r="S30" s="31">
        <f t="shared" si="6"/>
        <v>0</v>
      </c>
      <c r="T30" s="31">
        <f t="shared" si="7"/>
        <v>2.568180668884787</v>
      </c>
      <c r="U30" s="31">
        <f t="shared" si="8"/>
        <v>3.1603791533521415</v>
      </c>
      <c r="AD30" s="30">
        <f t="shared" si="9"/>
        <v>4.0220000000000002</v>
      </c>
    </row>
    <row r="31" spans="1:36">
      <c r="A31" s="10">
        <v>2049</v>
      </c>
      <c r="B31" s="86">
        <f>Fig1_future_Kaya!J63*10^6</f>
        <v>2779274043043.582</v>
      </c>
      <c r="C31" s="31">
        <f>Fig1_future_Kaya!R63</f>
        <v>9.4904509650053406</v>
      </c>
      <c r="D31" s="86">
        <f t="shared" si="10"/>
        <v>26376564023817.258</v>
      </c>
      <c r="E31" s="31">
        <f t="shared" si="0"/>
        <v>0</v>
      </c>
      <c r="F31" s="31">
        <f t="shared" si="1"/>
        <v>15.448036106208324</v>
      </c>
      <c r="G31" s="31">
        <f t="shared" si="2"/>
        <v>18.841127505034958</v>
      </c>
      <c r="H31" s="87"/>
      <c r="I31" s="89">
        <f>Fig1_future_Kaya!K63*10^6</f>
        <v>2071483208242.4473</v>
      </c>
      <c r="J31" s="31">
        <f>Fig1_future_Kaya!S63</f>
        <v>7.1421919891798131</v>
      </c>
      <c r="K31" s="86">
        <f t="shared" si="11"/>
        <v>14794930775629.705</v>
      </c>
      <c r="L31" s="31">
        <f t="shared" si="3"/>
        <v>0</v>
      </c>
      <c r="M31" s="31">
        <f t="shared" si="4"/>
        <v>8.6649885331692218</v>
      </c>
      <c r="N31" s="31">
        <f t="shared" si="5"/>
        <v>10.568214151020547</v>
      </c>
      <c r="O31" s="87"/>
      <c r="P31" s="89">
        <f>Fig1_future_Kaya!L63*10^6</f>
        <v>1103311364118.2883</v>
      </c>
      <c r="Q31" s="31">
        <f>Fig1_future_Kaya!T63</f>
        <v>3.9432367877362506</v>
      </c>
      <c r="R31" s="86">
        <f t="shared" si="12"/>
        <v>4350617959318.7002</v>
      </c>
      <c r="S31" s="31">
        <f t="shared" si="6"/>
        <v>0</v>
      </c>
      <c r="T31" s="31">
        <f t="shared" si="7"/>
        <v>2.5480386019644699</v>
      </c>
      <c r="U31" s="31">
        <f t="shared" si="8"/>
        <v>3.1077037791276232</v>
      </c>
      <c r="AD31" s="30">
        <f t="shared" si="9"/>
        <v>4.0220000000000002</v>
      </c>
    </row>
    <row r="32" spans="1:36">
      <c r="A32" s="10">
        <v>2050</v>
      </c>
      <c r="B32" s="86">
        <f>Fig1_future_Kaya!J64*10^6</f>
        <v>2890445004765.3257</v>
      </c>
      <c r="C32" s="31">
        <f>Fig1_future_Kaya!R64</f>
        <v>9.3955464553552872</v>
      </c>
      <c r="D32" s="86">
        <f t="shared" si="10"/>
        <v>27157310318922.254</v>
      </c>
      <c r="E32" s="31">
        <f t="shared" si="0"/>
        <v>0</v>
      </c>
      <c r="F32" s="31">
        <f t="shared" si="1"/>
        <v>16.414899471624601</v>
      </c>
      <c r="G32" s="31">
        <f t="shared" si="2"/>
        <v>19.835699456940812</v>
      </c>
      <c r="H32" s="87"/>
      <c r="I32" s="89">
        <f>Fig1_future_Kaya!K64*10^6</f>
        <v>2130085148308.1699</v>
      </c>
      <c r="J32" s="31">
        <f>Fig1_future_Kaya!S64</f>
        <v>6.9993481493962166</v>
      </c>
      <c r="K32" s="86">
        <f t="shared" si="11"/>
        <v>14909207540867.154</v>
      </c>
      <c r="L32" s="31">
        <f t="shared" si="3"/>
        <v>0</v>
      </c>
      <c r="M32" s="31">
        <f t="shared" si="4"/>
        <v>9.0116856239036451</v>
      </c>
      <c r="N32" s="31">
        <f t="shared" si="5"/>
        <v>10.88968518784937</v>
      </c>
      <c r="O32" s="87"/>
      <c r="P32" s="89">
        <f>Fig1_future_Kaya!L64*10^6</f>
        <v>1114637988006.1594</v>
      </c>
      <c r="Q32" s="31">
        <f>Fig1_future_Kaya!T64</f>
        <v>3.7370544720376229</v>
      </c>
      <c r="R32" s="86">
        <f>P32*Q32</f>
        <v>4165462877781.4365</v>
      </c>
      <c r="S32" s="31">
        <f t="shared" si="6"/>
        <v>0</v>
      </c>
      <c r="T32" s="31">
        <f t="shared" si="7"/>
        <v>2.5177623847353048</v>
      </c>
      <c r="U32" s="31">
        <f t="shared" si="8"/>
        <v>3.0424540859315612</v>
      </c>
    </row>
    <row r="33" spans="1:21">
      <c r="B33" s="86"/>
      <c r="C33" s="31"/>
      <c r="D33" s="86"/>
      <c r="I33" s="89"/>
      <c r="P33" s="89"/>
      <c r="Q33" s="31"/>
      <c r="R33" s="86"/>
      <c r="S33" s="31"/>
      <c r="T33" s="31"/>
      <c r="U33" s="31"/>
    </row>
    <row r="34" spans="1:21">
      <c r="C34" s="86"/>
      <c r="D34" s="31"/>
      <c r="E34" s="86"/>
      <c r="I34" s="89"/>
    </row>
    <row r="35" spans="1:21" ht="17" thickBot="1">
      <c r="A35" s="321" t="s">
        <v>120</v>
      </c>
      <c r="B35" t="s">
        <v>105</v>
      </c>
      <c r="E35" s="86"/>
      <c r="F35" t="s">
        <v>155</v>
      </c>
      <c r="H35" s="21" t="s">
        <v>156</v>
      </c>
    </row>
    <row r="36" spans="1:21" ht="34">
      <c r="A36" s="321"/>
      <c r="B36" s="69" t="s">
        <v>106</v>
      </c>
      <c r="C36" s="70" t="s">
        <v>107</v>
      </c>
      <c r="D36" s="71" t="s">
        <v>108</v>
      </c>
      <c r="E36" s="86"/>
      <c r="F36" t="s">
        <v>151</v>
      </c>
      <c r="G36">
        <v>21.4</v>
      </c>
      <c r="H36" t="s">
        <v>157</v>
      </c>
    </row>
    <row r="37" spans="1:21">
      <c r="A37" s="321"/>
      <c r="B37" s="72">
        <v>0.53920000000000001</v>
      </c>
      <c r="C37" s="73">
        <v>0.2485</v>
      </c>
      <c r="D37" s="74">
        <v>0.21229999999999999</v>
      </c>
      <c r="E37" s="86"/>
      <c r="F37" t="s">
        <v>152</v>
      </c>
      <c r="G37">
        <v>32.200000000000003</v>
      </c>
      <c r="H37" t="s">
        <v>157</v>
      </c>
    </row>
    <row r="38" spans="1:21" ht="17" thickBot="1">
      <c r="A38" s="321"/>
      <c r="B38" s="44"/>
      <c r="C38" s="341">
        <f>SUM(C37:D37)</f>
        <v>0.46079999999999999</v>
      </c>
      <c r="D38" s="342"/>
      <c r="E38" s="86"/>
      <c r="F38" t="s">
        <v>158</v>
      </c>
      <c r="G38">
        <v>34.4</v>
      </c>
      <c r="H38" t="s">
        <v>157</v>
      </c>
    </row>
    <row r="39" spans="1:21">
      <c r="A39" s="280"/>
      <c r="B39" s="68"/>
      <c r="C39" s="281"/>
      <c r="D39" s="281"/>
      <c r="E39" s="86"/>
      <c r="F39" t="s">
        <v>159</v>
      </c>
      <c r="G39" s="31">
        <f>AVERAGE(G36:G38)</f>
        <v>29.333333333333332</v>
      </c>
      <c r="H39" t="s">
        <v>157</v>
      </c>
    </row>
    <row r="40" spans="1:21">
      <c r="A40" s="280"/>
      <c r="B40" s="68"/>
      <c r="C40" s="281"/>
      <c r="D40" s="281"/>
      <c r="E40" s="86"/>
    </row>
    <row r="41" spans="1:21">
      <c r="A41" s="280"/>
      <c r="B41" s="68"/>
      <c r="C41" s="281"/>
      <c r="D41" s="281"/>
      <c r="E41" s="86"/>
      <c r="F41" t="s">
        <v>404</v>
      </c>
      <c r="H41" t="s">
        <v>403</v>
      </c>
    </row>
    <row r="42" spans="1:21">
      <c r="A42" s="280"/>
      <c r="B42" s="68"/>
      <c r="C42" s="281"/>
      <c r="D42" s="281"/>
      <c r="E42" s="86"/>
      <c r="F42" t="s">
        <v>397</v>
      </c>
      <c r="G42">
        <v>4.8</v>
      </c>
    </row>
    <row r="43" spans="1:21">
      <c r="A43" s="280"/>
      <c r="B43" s="68"/>
      <c r="C43" s="281"/>
      <c r="D43" s="281"/>
      <c r="E43" s="86"/>
      <c r="F43" t="s">
        <v>398</v>
      </c>
      <c r="G43">
        <v>11.2</v>
      </c>
    </row>
    <row r="44" spans="1:21">
      <c r="A44" s="280"/>
      <c r="B44" s="68"/>
      <c r="C44" s="281"/>
      <c r="D44" s="281"/>
      <c r="E44" s="86"/>
      <c r="F44" t="s">
        <v>399</v>
      </c>
      <c r="G44">
        <v>7.9</v>
      </c>
    </row>
    <row r="45" spans="1:21">
      <c r="A45" s="280"/>
      <c r="B45" s="68"/>
      <c r="C45" s="281"/>
      <c r="D45" s="281"/>
      <c r="E45" s="86"/>
      <c r="F45" t="s">
        <v>400</v>
      </c>
      <c r="G45">
        <v>24.3</v>
      </c>
    </row>
    <row r="46" spans="1:21">
      <c r="A46" s="280"/>
      <c r="B46" s="68"/>
      <c r="C46" s="281"/>
      <c r="D46" s="281"/>
      <c r="E46" s="86"/>
      <c r="F46" t="s">
        <v>405</v>
      </c>
      <c r="G46">
        <v>4.2</v>
      </c>
    </row>
    <row r="47" spans="1:21">
      <c r="A47" s="280"/>
      <c r="B47" s="68"/>
      <c r="C47" s="281"/>
      <c r="D47" s="281"/>
      <c r="E47" s="86"/>
      <c r="F47" t="s">
        <v>401</v>
      </c>
      <c r="G47">
        <v>1.1000000000000001</v>
      </c>
    </row>
    <row r="48" spans="1:21">
      <c r="A48" s="280"/>
      <c r="B48" s="68"/>
      <c r="C48" s="281"/>
      <c r="D48" s="281"/>
      <c r="E48" s="86"/>
      <c r="F48" t="s">
        <v>402</v>
      </c>
      <c r="G48">
        <v>10.199999999999999</v>
      </c>
    </row>
    <row r="49" spans="1:19">
      <c r="A49" s="280"/>
      <c r="B49" s="68"/>
      <c r="C49" s="281"/>
      <c r="D49" s="281"/>
      <c r="E49" s="86"/>
      <c r="F49" t="s">
        <v>154</v>
      </c>
      <c r="G49">
        <f>SUM(G42:G48)</f>
        <v>63.7</v>
      </c>
    </row>
    <row r="52" spans="1:19" ht="17" thickBot="1">
      <c r="A52" t="s">
        <v>109</v>
      </c>
      <c r="B52" s="347" t="s">
        <v>110</v>
      </c>
      <c r="C52" s="347"/>
      <c r="D52" s="347"/>
      <c r="F52" s="355" t="s">
        <v>119</v>
      </c>
      <c r="G52" s="355"/>
      <c r="H52" s="355"/>
      <c r="I52" s="355"/>
      <c r="J52" s="355"/>
      <c r="K52" s="355"/>
      <c r="L52" s="355"/>
      <c r="N52" s="348" t="s">
        <v>111</v>
      </c>
      <c r="O52" s="348"/>
      <c r="P52" s="348"/>
      <c r="Q52" s="348"/>
      <c r="R52" s="348"/>
      <c r="S52" s="348"/>
    </row>
    <row r="53" spans="1:19">
      <c r="B53" s="349" t="s">
        <v>112</v>
      </c>
      <c r="C53" s="350"/>
      <c r="D53" s="351"/>
      <c r="F53" s="356" t="s">
        <v>113</v>
      </c>
      <c r="G53" s="357"/>
      <c r="H53" s="357"/>
      <c r="I53" s="357"/>
      <c r="J53" s="357"/>
      <c r="K53" s="357"/>
      <c r="L53" s="358"/>
      <c r="N53" s="352" t="s">
        <v>114</v>
      </c>
      <c r="O53" s="353"/>
      <c r="P53" s="353"/>
      <c r="Q53" s="353"/>
      <c r="R53" s="353"/>
      <c r="S53" s="354"/>
    </row>
    <row r="54" spans="1:19">
      <c r="B54" s="344" t="s">
        <v>115</v>
      </c>
      <c r="C54" s="330"/>
      <c r="D54" s="345"/>
      <c r="F54" s="344" t="s">
        <v>116</v>
      </c>
      <c r="G54" s="346"/>
      <c r="H54" s="346"/>
      <c r="I54" s="68"/>
      <c r="J54" s="346" t="s">
        <v>117</v>
      </c>
      <c r="K54" s="346"/>
      <c r="L54" s="345"/>
      <c r="N54" s="43" t="s">
        <v>116</v>
      </c>
      <c r="O54" s="68"/>
      <c r="P54" s="68"/>
      <c r="Q54" s="346" t="s">
        <v>117</v>
      </c>
      <c r="R54" s="346"/>
      <c r="S54" s="345"/>
    </row>
    <row r="55" spans="1:19" s="4" customFormat="1" ht="46" customHeight="1" thickBot="1">
      <c r="B55" s="51" t="s">
        <v>128</v>
      </c>
      <c r="C55" s="52" t="s">
        <v>129</v>
      </c>
      <c r="D55" s="53" t="s">
        <v>130</v>
      </c>
      <c r="F55" s="51" t="s">
        <v>128</v>
      </c>
      <c r="G55" s="52" t="s">
        <v>129</v>
      </c>
      <c r="H55" s="54" t="s">
        <v>118</v>
      </c>
      <c r="I55" s="52"/>
      <c r="J55" s="52" t="s">
        <v>130</v>
      </c>
      <c r="K55" s="52" t="s">
        <v>128</v>
      </c>
      <c r="L55" s="53" t="s">
        <v>129</v>
      </c>
      <c r="N55" s="51" t="s">
        <v>128</v>
      </c>
      <c r="O55" s="52" t="s">
        <v>129</v>
      </c>
      <c r="P55" s="52"/>
      <c r="Q55" s="52" t="s">
        <v>130</v>
      </c>
      <c r="R55" s="52" t="s">
        <v>128</v>
      </c>
      <c r="S55" s="53" t="s">
        <v>129</v>
      </c>
    </row>
    <row r="56" spans="1:19">
      <c r="A56">
        <v>2022</v>
      </c>
      <c r="B56" s="55">
        <v>1</v>
      </c>
      <c r="C56" s="29">
        <v>0</v>
      </c>
      <c r="D56" s="56">
        <v>0</v>
      </c>
      <c r="E56" s="29"/>
      <c r="F56" s="57">
        <v>1</v>
      </c>
      <c r="G56" s="30">
        <v>0</v>
      </c>
      <c r="H56" s="30">
        <f>(G59-G56)/3</f>
        <v>6.6666666666666671E-3</v>
      </c>
      <c r="I56" s="30"/>
      <c r="J56" s="30">
        <v>0</v>
      </c>
      <c r="K56" s="30">
        <v>1</v>
      </c>
      <c r="L56" s="58">
        <v>0</v>
      </c>
      <c r="M56" s="29"/>
      <c r="N56" s="55">
        <v>1</v>
      </c>
      <c r="O56" s="29">
        <v>0</v>
      </c>
      <c r="P56" s="29"/>
      <c r="Q56" s="29">
        <v>0</v>
      </c>
      <c r="R56" s="29">
        <v>1</v>
      </c>
      <c r="S56" s="56">
        <v>0</v>
      </c>
    </row>
    <row r="57" spans="1:19">
      <c r="A57">
        <v>2023</v>
      </c>
      <c r="B57" s="55">
        <v>1</v>
      </c>
      <c r="C57" s="29">
        <v>0</v>
      </c>
      <c r="D57" s="56">
        <v>0</v>
      </c>
      <c r="E57" s="29"/>
      <c r="F57" s="57">
        <v>0.99333333333333329</v>
      </c>
      <c r="G57" s="30">
        <v>6.6666666666666671E-3</v>
      </c>
      <c r="H57" s="30"/>
      <c r="I57" s="30"/>
      <c r="J57" s="30">
        <v>0</v>
      </c>
      <c r="K57" s="30">
        <v>0.99333333333333329</v>
      </c>
      <c r="L57" s="58">
        <v>6.6666666666666671E-3</v>
      </c>
      <c r="M57" s="29"/>
      <c r="N57" s="55">
        <v>0.9642857142857143</v>
      </c>
      <c r="O57" s="29">
        <v>3.5714285714285712E-2</v>
      </c>
      <c r="P57" s="29"/>
      <c r="Q57" s="29">
        <v>0</v>
      </c>
      <c r="R57" s="29">
        <v>0.9642857142857143</v>
      </c>
      <c r="S57" s="56">
        <v>3.5714285714285712E-2</v>
      </c>
    </row>
    <row r="58" spans="1:19">
      <c r="A58">
        <v>2024</v>
      </c>
      <c r="B58" s="55">
        <v>1</v>
      </c>
      <c r="C58" s="29">
        <v>0</v>
      </c>
      <c r="D58" s="56">
        <v>0</v>
      </c>
      <c r="E58" s="29"/>
      <c r="F58" s="57">
        <v>0.98666666666666669</v>
      </c>
      <c r="G58" s="30">
        <v>1.3333333333333334E-2</v>
      </c>
      <c r="H58" s="30"/>
      <c r="I58" s="30"/>
      <c r="J58" s="30">
        <v>0</v>
      </c>
      <c r="K58" s="30">
        <v>0.98666666666666669</v>
      </c>
      <c r="L58" s="58">
        <v>1.3333333333333334E-2</v>
      </c>
      <c r="M58" s="29"/>
      <c r="N58" s="55">
        <v>0.9285714285714286</v>
      </c>
      <c r="O58" s="29">
        <v>7.1428571428571425E-2</v>
      </c>
      <c r="P58" s="29"/>
      <c r="Q58" s="29">
        <v>0</v>
      </c>
      <c r="R58" s="29">
        <v>0.9285714285714286</v>
      </c>
      <c r="S58" s="56">
        <v>7.1428571428571425E-2</v>
      </c>
    </row>
    <row r="59" spans="1:19">
      <c r="A59">
        <v>2025</v>
      </c>
      <c r="B59" s="55">
        <v>1</v>
      </c>
      <c r="C59" s="29">
        <v>0</v>
      </c>
      <c r="D59" s="56">
        <v>0</v>
      </c>
      <c r="E59" s="29"/>
      <c r="F59" s="57">
        <v>0.98</v>
      </c>
      <c r="G59" s="59">
        <v>0.02</v>
      </c>
      <c r="H59" s="30">
        <f>(G64-G59)/5</f>
        <v>6.4000000000000003E-3</v>
      </c>
      <c r="I59" s="30"/>
      <c r="J59" s="30">
        <v>5.0000000000000001E-3</v>
      </c>
      <c r="K59" s="30">
        <v>0.97509999999999997</v>
      </c>
      <c r="L59" s="58">
        <v>1.9900000000000001E-2</v>
      </c>
      <c r="M59" s="29"/>
      <c r="N59" s="55">
        <v>0.8928571428571429</v>
      </c>
      <c r="O59" s="29">
        <v>0.10714285714285714</v>
      </c>
      <c r="P59" s="29"/>
      <c r="Q59" s="29">
        <v>1.9230769230769232E-2</v>
      </c>
      <c r="R59" s="29">
        <v>0.87568681318681318</v>
      </c>
      <c r="S59" s="56">
        <v>0.10508241758241757</v>
      </c>
    </row>
    <row r="60" spans="1:19">
      <c r="A60">
        <v>2026</v>
      </c>
      <c r="B60" s="55">
        <v>1</v>
      </c>
      <c r="C60" s="29">
        <v>0</v>
      </c>
      <c r="D60" s="56">
        <v>0</v>
      </c>
      <c r="E60" s="29"/>
      <c r="F60" s="57">
        <v>0.97360000000000002</v>
      </c>
      <c r="G60" s="30">
        <v>2.64E-2</v>
      </c>
      <c r="H60" s="30"/>
      <c r="I60" s="30"/>
      <c r="J60" s="30">
        <v>0.01</v>
      </c>
      <c r="K60" s="30">
        <v>0.96386399999999994</v>
      </c>
      <c r="L60" s="58">
        <v>2.6136E-2</v>
      </c>
      <c r="M60" s="29"/>
      <c r="N60" s="55">
        <v>0.85714285714285721</v>
      </c>
      <c r="O60" s="29">
        <v>0.14285714285714285</v>
      </c>
      <c r="P60" s="29"/>
      <c r="Q60" s="29">
        <v>3.8461538461538464E-2</v>
      </c>
      <c r="R60" s="29">
        <v>0.82417582417582425</v>
      </c>
      <c r="S60" s="56">
        <v>0.13736263736263735</v>
      </c>
    </row>
    <row r="61" spans="1:19">
      <c r="A61">
        <v>2027</v>
      </c>
      <c r="B61" s="55">
        <v>1</v>
      </c>
      <c r="C61" s="29">
        <v>0</v>
      </c>
      <c r="D61" s="56">
        <v>0</v>
      </c>
      <c r="E61" s="29"/>
      <c r="F61" s="57">
        <v>0.96719999999999995</v>
      </c>
      <c r="G61" s="30">
        <v>3.2800000000000003E-2</v>
      </c>
      <c r="H61" s="30"/>
      <c r="I61" s="30"/>
      <c r="J61" s="30">
        <v>1.4999999999999999E-2</v>
      </c>
      <c r="K61" s="30">
        <v>0.95269199999999998</v>
      </c>
      <c r="L61" s="58">
        <v>3.2308000000000003E-2</v>
      </c>
      <c r="M61" s="29"/>
      <c r="N61" s="55">
        <v>0.8214285714285714</v>
      </c>
      <c r="O61" s="29">
        <v>0.17857142857142855</v>
      </c>
      <c r="P61" s="29"/>
      <c r="Q61" s="29">
        <v>5.7692307692307696E-2</v>
      </c>
      <c r="R61" s="29">
        <v>0.77403846153846145</v>
      </c>
      <c r="S61" s="56">
        <v>0.16826923076923075</v>
      </c>
    </row>
    <row r="62" spans="1:19">
      <c r="A62">
        <v>2028</v>
      </c>
      <c r="B62" s="55">
        <v>1</v>
      </c>
      <c r="C62" s="29">
        <v>0</v>
      </c>
      <c r="D62" s="56">
        <v>0</v>
      </c>
      <c r="E62" s="29"/>
      <c r="F62" s="57">
        <v>0.96079999999999999</v>
      </c>
      <c r="G62" s="30">
        <v>3.9200000000000006E-2</v>
      </c>
      <c r="H62" s="30"/>
      <c r="I62" s="30"/>
      <c r="J62" s="30">
        <v>0.02</v>
      </c>
      <c r="K62" s="30">
        <v>0.94158399999999998</v>
      </c>
      <c r="L62" s="58">
        <v>3.8416000000000006E-2</v>
      </c>
      <c r="M62" s="29"/>
      <c r="N62" s="55">
        <v>0.78571428571428581</v>
      </c>
      <c r="O62" s="29">
        <v>0.21428571428571425</v>
      </c>
      <c r="P62" s="29"/>
      <c r="Q62" s="29">
        <v>7.6923076923076927E-2</v>
      </c>
      <c r="R62" s="29">
        <v>0.72527472527472536</v>
      </c>
      <c r="S62" s="56">
        <v>0.19780219780219777</v>
      </c>
    </row>
    <row r="63" spans="1:19">
      <c r="A63">
        <v>2029</v>
      </c>
      <c r="B63" s="55">
        <v>1</v>
      </c>
      <c r="C63" s="29">
        <v>0</v>
      </c>
      <c r="D63" s="56">
        <v>0</v>
      </c>
      <c r="E63" s="29"/>
      <c r="F63" s="57">
        <v>0.95440000000000003</v>
      </c>
      <c r="G63" s="30">
        <v>4.5600000000000009E-2</v>
      </c>
      <c r="H63" s="30"/>
      <c r="I63" s="30"/>
      <c r="J63" s="30">
        <v>2.5000000000000001E-2</v>
      </c>
      <c r="K63" s="30">
        <v>0.93053999999999992</v>
      </c>
      <c r="L63" s="58">
        <v>4.4460000000000006E-2</v>
      </c>
      <c r="M63" s="29"/>
      <c r="N63" s="55">
        <v>0.75</v>
      </c>
      <c r="O63" s="29">
        <v>0.24999999999999994</v>
      </c>
      <c r="P63" s="29"/>
      <c r="Q63" s="29">
        <v>9.6153846153846159E-2</v>
      </c>
      <c r="R63" s="29">
        <v>0.67788461538461542</v>
      </c>
      <c r="S63" s="56">
        <v>0.22596153846153841</v>
      </c>
    </row>
    <row r="64" spans="1:19">
      <c r="A64">
        <v>2030</v>
      </c>
      <c r="B64" s="55">
        <v>1</v>
      </c>
      <c r="C64" s="29">
        <v>0</v>
      </c>
      <c r="D64" s="56">
        <v>0</v>
      </c>
      <c r="E64" s="29"/>
      <c r="F64" s="57">
        <v>0.94799999999999995</v>
      </c>
      <c r="G64" s="59">
        <v>5.1999999999999998E-2</v>
      </c>
      <c r="H64" s="30">
        <f>(G69-G64)/5</f>
        <v>2.3600000000000003E-2</v>
      </c>
      <c r="I64" s="30"/>
      <c r="J64" s="30">
        <v>3.0000000000000002E-2</v>
      </c>
      <c r="K64" s="30">
        <v>0.91955999999999993</v>
      </c>
      <c r="L64" s="58">
        <v>5.0439999999999999E-2</v>
      </c>
      <c r="M64" s="29"/>
      <c r="N64" s="55">
        <v>0.71428571428571441</v>
      </c>
      <c r="O64" s="29">
        <v>0.28571428571428564</v>
      </c>
      <c r="P64" s="29"/>
      <c r="Q64" s="29">
        <v>0.11538461538461539</v>
      </c>
      <c r="R64" s="29">
        <v>0.63186813186813195</v>
      </c>
      <c r="S64" s="56">
        <v>0.25274725274725268</v>
      </c>
    </row>
    <row r="65" spans="1:19">
      <c r="A65">
        <v>2031</v>
      </c>
      <c r="B65" s="55">
        <v>1</v>
      </c>
      <c r="C65" s="29">
        <v>0</v>
      </c>
      <c r="D65" s="56">
        <v>0</v>
      </c>
      <c r="E65" s="29"/>
      <c r="F65" s="57">
        <v>0.9244</v>
      </c>
      <c r="G65" s="30">
        <v>7.5600000000000001E-2</v>
      </c>
      <c r="H65" s="30"/>
      <c r="I65" s="30"/>
      <c r="J65" s="30">
        <v>3.5000000000000003E-2</v>
      </c>
      <c r="K65" s="30">
        <v>0.89204600000000001</v>
      </c>
      <c r="L65" s="58">
        <v>7.2954000000000005E-2</v>
      </c>
      <c r="M65" s="29"/>
      <c r="N65" s="55">
        <v>0.6785714285714286</v>
      </c>
      <c r="O65" s="29">
        <v>0.32142857142857134</v>
      </c>
      <c r="P65" s="29"/>
      <c r="Q65" s="29">
        <v>0.13461538461538464</v>
      </c>
      <c r="R65" s="29">
        <v>0.58722527472527475</v>
      </c>
      <c r="S65" s="56">
        <v>0.27815934065934061</v>
      </c>
    </row>
    <row r="66" spans="1:19">
      <c r="A66">
        <v>2032</v>
      </c>
      <c r="B66" s="55">
        <v>1</v>
      </c>
      <c r="C66" s="29">
        <v>0</v>
      </c>
      <c r="D66" s="56">
        <v>0</v>
      </c>
      <c r="E66" s="29"/>
      <c r="F66" s="57">
        <v>0.90080000000000005</v>
      </c>
      <c r="G66" s="30">
        <v>9.920000000000001E-2</v>
      </c>
      <c r="H66" s="30"/>
      <c r="I66" s="30"/>
      <c r="J66" s="30">
        <v>0.04</v>
      </c>
      <c r="K66" s="30">
        <v>0.86476799999999998</v>
      </c>
      <c r="L66" s="58">
        <v>9.5232000000000011E-2</v>
      </c>
      <c r="M66" s="29"/>
      <c r="N66" s="55">
        <v>0.64285714285714302</v>
      </c>
      <c r="O66" s="29">
        <v>0.35714285714285704</v>
      </c>
      <c r="P66" s="29"/>
      <c r="Q66" s="29">
        <v>0.15384615384615385</v>
      </c>
      <c r="R66" s="29">
        <v>0.54395604395604413</v>
      </c>
      <c r="S66" s="56">
        <v>0.30219780219780212</v>
      </c>
    </row>
    <row r="67" spans="1:19">
      <c r="A67">
        <v>2033</v>
      </c>
      <c r="B67" s="55">
        <v>1</v>
      </c>
      <c r="C67" s="29">
        <v>0</v>
      </c>
      <c r="D67" s="56">
        <v>0</v>
      </c>
      <c r="E67" s="29"/>
      <c r="F67" s="57">
        <v>0.87719999999999998</v>
      </c>
      <c r="G67" s="30">
        <v>0.12280000000000002</v>
      </c>
      <c r="H67" s="30"/>
      <c r="I67" s="30"/>
      <c r="J67" s="30">
        <v>4.4999999999999998E-2</v>
      </c>
      <c r="K67" s="30">
        <v>0.83772599999999997</v>
      </c>
      <c r="L67" s="58">
        <v>0.11727400000000002</v>
      </c>
      <c r="M67" s="29"/>
      <c r="N67" s="55">
        <v>0.60714285714285721</v>
      </c>
      <c r="O67" s="29">
        <v>0.39285714285714274</v>
      </c>
      <c r="P67" s="29"/>
      <c r="Q67" s="29">
        <v>0.17307692307692307</v>
      </c>
      <c r="R67" s="29">
        <v>0.50206043956043955</v>
      </c>
      <c r="S67" s="56">
        <v>0.32486263736263726</v>
      </c>
    </row>
    <row r="68" spans="1:19">
      <c r="A68">
        <v>2034</v>
      </c>
      <c r="B68" s="55">
        <v>1</v>
      </c>
      <c r="C68" s="29">
        <v>0</v>
      </c>
      <c r="D68" s="56">
        <v>0</v>
      </c>
      <c r="E68" s="29"/>
      <c r="F68" s="57">
        <v>0.85359999999999991</v>
      </c>
      <c r="G68" s="30">
        <v>0.14640000000000003</v>
      </c>
      <c r="H68" s="30"/>
      <c r="I68" s="30"/>
      <c r="J68" s="30">
        <v>4.9999999999999996E-2</v>
      </c>
      <c r="K68" s="30">
        <v>0.81091999999999997</v>
      </c>
      <c r="L68" s="58">
        <v>0.13908000000000001</v>
      </c>
      <c r="M68" s="29"/>
      <c r="N68" s="55">
        <v>0.57142857142857162</v>
      </c>
      <c r="O68" s="29">
        <v>0.42857142857142844</v>
      </c>
      <c r="P68" s="29"/>
      <c r="Q68" s="29">
        <v>0.19230769230769229</v>
      </c>
      <c r="R68" s="29">
        <v>0.46153846153846168</v>
      </c>
      <c r="S68" s="56">
        <v>0.34615384615384603</v>
      </c>
    </row>
    <row r="69" spans="1:19">
      <c r="A69">
        <v>2035</v>
      </c>
      <c r="B69" s="55">
        <v>1</v>
      </c>
      <c r="C69" s="29">
        <v>0</v>
      </c>
      <c r="D69" s="56">
        <v>0</v>
      </c>
      <c r="E69" s="29"/>
      <c r="F69" s="57">
        <v>0.83</v>
      </c>
      <c r="G69" s="59">
        <v>0.17</v>
      </c>
      <c r="H69" s="30">
        <f>(G74-G69)/5</f>
        <v>4.3999999999999997E-2</v>
      </c>
      <c r="I69" s="30"/>
      <c r="J69" s="30">
        <v>5.4999999999999993E-2</v>
      </c>
      <c r="K69" s="30">
        <v>0.7843500000000001</v>
      </c>
      <c r="L69" s="58">
        <v>0.16065000000000002</v>
      </c>
      <c r="M69" s="29"/>
      <c r="N69" s="55">
        <v>0.53571428571428581</v>
      </c>
      <c r="O69" s="29">
        <v>0.46428571428571414</v>
      </c>
      <c r="P69" s="29"/>
      <c r="Q69" s="29">
        <v>0.21153846153846151</v>
      </c>
      <c r="R69" s="29">
        <v>0.42239010989011</v>
      </c>
      <c r="S69" s="56">
        <v>0.36607142857142849</v>
      </c>
    </row>
    <row r="70" spans="1:19">
      <c r="A70">
        <v>2036</v>
      </c>
      <c r="B70" s="55">
        <v>1</v>
      </c>
      <c r="C70" s="29">
        <v>0</v>
      </c>
      <c r="D70" s="56">
        <v>0</v>
      </c>
      <c r="E70" s="29"/>
      <c r="F70" s="57">
        <v>0.78600000000000003</v>
      </c>
      <c r="G70" s="30">
        <v>0.21400000000000002</v>
      </c>
      <c r="H70" s="30"/>
      <c r="I70" s="30"/>
      <c r="J70" s="30">
        <v>5.9999999999999991E-2</v>
      </c>
      <c r="K70" s="30">
        <v>0.73884000000000005</v>
      </c>
      <c r="L70" s="58">
        <v>0.20116000000000003</v>
      </c>
      <c r="M70" s="29"/>
      <c r="N70" s="55">
        <v>0.50000000000000022</v>
      </c>
      <c r="O70" s="29">
        <v>0.49999999999999983</v>
      </c>
      <c r="P70" s="29"/>
      <c r="Q70" s="29">
        <v>0.23076923076923073</v>
      </c>
      <c r="R70" s="29">
        <v>0.3846153846153848</v>
      </c>
      <c r="S70" s="56">
        <v>0.38461538461538453</v>
      </c>
    </row>
    <row r="71" spans="1:19">
      <c r="A71">
        <v>2037</v>
      </c>
      <c r="B71" s="55">
        <v>1</v>
      </c>
      <c r="C71" s="29">
        <v>0</v>
      </c>
      <c r="D71" s="56">
        <v>0</v>
      </c>
      <c r="E71" s="29"/>
      <c r="F71" s="57">
        <v>0.74199999999999999</v>
      </c>
      <c r="G71" s="30">
        <v>0.25800000000000001</v>
      </c>
      <c r="H71" s="30"/>
      <c r="I71" s="30"/>
      <c r="J71" s="30">
        <v>6.4999999999999988E-2</v>
      </c>
      <c r="K71" s="30">
        <v>0.69377</v>
      </c>
      <c r="L71" s="58">
        <v>0.24123000000000003</v>
      </c>
      <c r="M71" s="29"/>
      <c r="N71" s="55">
        <v>0.46428571428571441</v>
      </c>
      <c r="O71" s="29">
        <v>0.53571428571428559</v>
      </c>
      <c r="P71" s="29"/>
      <c r="Q71" s="29">
        <v>0.24999999999999994</v>
      </c>
      <c r="R71" s="29">
        <v>0.34821428571428581</v>
      </c>
      <c r="S71" s="56">
        <v>0.40178571428571419</v>
      </c>
    </row>
    <row r="72" spans="1:19">
      <c r="A72">
        <v>2038</v>
      </c>
      <c r="B72" s="55">
        <v>1</v>
      </c>
      <c r="C72" s="29">
        <v>0</v>
      </c>
      <c r="D72" s="56">
        <v>0</v>
      </c>
      <c r="E72" s="29"/>
      <c r="F72" s="57">
        <v>0.69799999999999995</v>
      </c>
      <c r="G72" s="30">
        <v>0.30199999999999999</v>
      </c>
      <c r="H72" s="30"/>
      <c r="I72" s="30"/>
      <c r="J72" s="30">
        <v>6.9999999999999993E-2</v>
      </c>
      <c r="K72" s="30">
        <v>0.64914000000000005</v>
      </c>
      <c r="L72" s="58">
        <v>0.28086</v>
      </c>
      <c r="M72" s="29"/>
      <c r="N72" s="55">
        <v>0.42857142857142871</v>
      </c>
      <c r="O72" s="29">
        <v>0.57142857142857129</v>
      </c>
      <c r="P72" s="29"/>
      <c r="Q72" s="29">
        <v>0.26923076923076916</v>
      </c>
      <c r="R72" s="29">
        <v>0.3131868131868133</v>
      </c>
      <c r="S72" s="56">
        <v>0.41758241758241754</v>
      </c>
    </row>
    <row r="73" spans="1:19">
      <c r="A73">
        <v>2039</v>
      </c>
      <c r="B73" s="55">
        <v>1</v>
      </c>
      <c r="C73" s="29">
        <v>0</v>
      </c>
      <c r="D73" s="56">
        <v>0</v>
      </c>
      <c r="E73" s="29"/>
      <c r="F73" s="57">
        <v>0.65400000000000003</v>
      </c>
      <c r="G73" s="30">
        <v>0.34599999999999997</v>
      </c>
      <c r="H73" s="30"/>
      <c r="I73" s="30"/>
      <c r="J73" s="30">
        <v>7.4999999999999997E-2</v>
      </c>
      <c r="K73" s="30">
        <v>0.6049500000000001</v>
      </c>
      <c r="L73" s="58">
        <v>0.32005</v>
      </c>
      <c r="M73" s="29"/>
      <c r="N73" s="55">
        <v>0.39285714285714302</v>
      </c>
      <c r="O73" s="29">
        <v>0.60714285714285698</v>
      </c>
      <c r="P73" s="29"/>
      <c r="Q73" s="29">
        <v>0.28846153846153838</v>
      </c>
      <c r="R73" s="29">
        <v>0.27953296703296721</v>
      </c>
      <c r="S73" s="56">
        <v>0.43200549450549447</v>
      </c>
    </row>
    <row r="74" spans="1:19">
      <c r="A74">
        <v>2040</v>
      </c>
      <c r="B74" s="55">
        <v>1</v>
      </c>
      <c r="C74" s="29">
        <v>0</v>
      </c>
      <c r="D74" s="56">
        <v>0</v>
      </c>
      <c r="E74" s="29"/>
      <c r="F74" s="57">
        <v>0.61</v>
      </c>
      <c r="G74" s="59">
        <v>0.39</v>
      </c>
      <c r="H74" s="30">
        <f>(G79-G74)/5</f>
        <v>3.0000000000000006E-2</v>
      </c>
      <c r="I74" s="30"/>
      <c r="J74" s="30">
        <v>0.08</v>
      </c>
      <c r="K74" s="30">
        <v>0.56120000000000003</v>
      </c>
      <c r="L74" s="58">
        <v>0.35880000000000001</v>
      </c>
      <c r="M74" s="29"/>
      <c r="N74" s="55">
        <v>0.35714285714285732</v>
      </c>
      <c r="O74" s="29">
        <v>0.64285714285714268</v>
      </c>
      <c r="P74" s="29"/>
      <c r="Q74" s="29">
        <v>0.3076923076923076</v>
      </c>
      <c r="R74" s="29">
        <v>0.2472527472527474</v>
      </c>
      <c r="S74" s="56">
        <v>0.44505494505494497</v>
      </c>
    </row>
    <row r="75" spans="1:19">
      <c r="A75">
        <v>2041</v>
      </c>
      <c r="B75" s="55">
        <v>1</v>
      </c>
      <c r="C75" s="29">
        <v>0</v>
      </c>
      <c r="D75" s="56">
        <v>0</v>
      </c>
      <c r="E75" s="29"/>
      <c r="F75" s="57">
        <v>0.57999999999999996</v>
      </c>
      <c r="G75" s="30">
        <v>0.42000000000000004</v>
      </c>
      <c r="H75" s="30"/>
      <c r="I75" s="30"/>
      <c r="J75" s="30">
        <v>8.5000000000000006E-2</v>
      </c>
      <c r="K75" s="30">
        <v>0.53069999999999995</v>
      </c>
      <c r="L75" s="58">
        <v>0.38430000000000003</v>
      </c>
      <c r="M75" s="29"/>
      <c r="N75" s="55">
        <v>0.32142857142857162</v>
      </c>
      <c r="O75" s="29">
        <v>0.67857142857142838</v>
      </c>
      <c r="P75" s="29"/>
      <c r="Q75" s="29">
        <v>0.32692307692307682</v>
      </c>
      <c r="R75" s="29">
        <v>0.21634615384615399</v>
      </c>
      <c r="S75" s="56">
        <v>0.45673076923076916</v>
      </c>
    </row>
    <row r="76" spans="1:19">
      <c r="A76">
        <v>2042</v>
      </c>
      <c r="B76" s="55">
        <v>1</v>
      </c>
      <c r="C76" s="29">
        <v>0</v>
      </c>
      <c r="D76" s="56">
        <v>0</v>
      </c>
      <c r="E76" s="29"/>
      <c r="F76" s="57">
        <v>0.54999999999999993</v>
      </c>
      <c r="G76" s="30">
        <v>0.45000000000000007</v>
      </c>
      <c r="H76" s="30"/>
      <c r="I76" s="30"/>
      <c r="J76" s="30">
        <v>9.0000000000000011E-2</v>
      </c>
      <c r="K76" s="30">
        <v>0.50049999999999994</v>
      </c>
      <c r="L76" s="58">
        <v>0.40950000000000009</v>
      </c>
      <c r="M76" s="29"/>
      <c r="N76" s="55">
        <v>0.28571428571428592</v>
      </c>
      <c r="O76" s="29">
        <v>0.71428571428571408</v>
      </c>
      <c r="P76" s="29"/>
      <c r="Q76" s="29">
        <v>0.34615384615384603</v>
      </c>
      <c r="R76" s="29">
        <v>0.18681318681318698</v>
      </c>
      <c r="S76" s="56">
        <v>0.46703296703296698</v>
      </c>
    </row>
    <row r="77" spans="1:19">
      <c r="A77">
        <v>2043</v>
      </c>
      <c r="B77" s="55">
        <v>1</v>
      </c>
      <c r="C77" s="29">
        <v>0</v>
      </c>
      <c r="D77" s="56">
        <v>0</v>
      </c>
      <c r="E77" s="29"/>
      <c r="F77" s="57">
        <v>0.51999999999999991</v>
      </c>
      <c r="G77" s="30">
        <v>0.48000000000000009</v>
      </c>
      <c r="H77" s="30"/>
      <c r="I77" s="30"/>
      <c r="J77" s="30">
        <v>9.5000000000000015E-2</v>
      </c>
      <c r="K77" s="30">
        <v>0.47059999999999985</v>
      </c>
      <c r="L77" s="58">
        <v>0.43440000000000012</v>
      </c>
      <c r="M77" s="29"/>
      <c r="N77" s="55">
        <v>0.25000000000000022</v>
      </c>
      <c r="O77" s="29">
        <v>0.74999999999999978</v>
      </c>
      <c r="P77" s="29"/>
      <c r="Q77" s="29">
        <v>0.36538461538461525</v>
      </c>
      <c r="R77" s="29">
        <v>0.15865384615384634</v>
      </c>
      <c r="S77" s="56">
        <v>0.47596153846153844</v>
      </c>
    </row>
    <row r="78" spans="1:19">
      <c r="A78">
        <v>2044</v>
      </c>
      <c r="B78" s="55">
        <v>1</v>
      </c>
      <c r="C78" s="29">
        <v>0</v>
      </c>
      <c r="D78" s="56">
        <v>0</v>
      </c>
      <c r="E78" s="29"/>
      <c r="F78" s="57">
        <v>0.48999999999999988</v>
      </c>
      <c r="G78" s="30">
        <v>0.51000000000000012</v>
      </c>
      <c r="H78" s="30"/>
      <c r="I78" s="30"/>
      <c r="J78" s="30">
        <v>0.10000000000000002</v>
      </c>
      <c r="K78" s="30">
        <v>0.44099999999999989</v>
      </c>
      <c r="L78" s="58">
        <v>0.45900000000000013</v>
      </c>
      <c r="M78" s="29"/>
      <c r="N78" s="55">
        <v>0.21428571428571452</v>
      </c>
      <c r="O78" s="29">
        <v>0.78571428571428548</v>
      </c>
      <c r="P78" s="29"/>
      <c r="Q78" s="29">
        <v>0.38461538461538447</v>
      </c>
      <c r="R78" s="29">
        <v>0.13186813186813204</v>
      </c>
      <c r="S78" s="56">
        <v>0.48351648351648346</v>
      </c>
    </row>
    <row r="79" spans="1:19">
      <c r="A79">
        <v>2045</v>
      </c>
      <c r="B79" s="55">
        <v>1</v>
      </c>
      <c r="C79" s="29">
        <v>0</v>
      </c>
      <c r="D79" s="56">
        <v>0</v>
      </c>
      <c r="E79" s="29"/>
      <c r="F79" s="57">
        <v>0.45999999999999996</v>
      </c>
      <c r="G79" s="59">
        <v>0.54</v>
      </c>
      <c r="H79" s="30">
        <f>(G84-G79)/5</f>
        <v>2.1999999999999999E-2</v>
      </c>
      <c r="I79" s="30"/>
      <c r="J79" s="30">
        <v>0.10500000000000002</v>
      </c>
      <c r="K79" s="30">
        <v>0.4116999999999999</v>
      </c>
      <c r="L79" s="58">
        <v>0.48330000000000006</v>
      </c>
      <c r="M79" s="29"/>
      <c r="N79" s="55">
        <v>0.17857142857142883</v>
      </c>
      <c r="O79" s="29">
        <v>0.82142857142857117</v>
      </c>
      <c r="P79" s="29"/>
      <c r="Q79" s="29">
        <v>0.40384615384615369</v>
      </c>
      <c r="R79" s="29">
        <v>0.10645604395604412</v>
      </c>
      <c r="S79" s="56">
        <v>0.48969780219780212</v>
      </c>
    </row>
    <row r="80" spans="1:19">
      <c r="A80">
        <v>2046</v>
      </c>
      <c r="B80" s="55">
        <v>1</v>
      </c>
      <c r="C80" s="29">
        <v>0</v>
      </c>
      <c r="D80" s="56">
        <v>0</v>
      </c>
      <c r="E80" s="29"/>
      <c r="F80" s="57">
        <v>0.43799999999999994</v>
      </c>
      <c r="G80" s="30">
        <v>0.56200000000000006</v>
      </c>
      <c r="H80" s="30"/>
      <c r="I80" s="30"/>
      <c r="J80" s="30">
        <v>0.11000000000000003</v>
      </c>
      <c r="K80" s="30">
        <v>0.38981999999999989</v>
      </c>
      <c r="L80" s="58">
        <v>0.50018000000000007</v>
      </c>
      <c r="M80" s="29"/>
      <c r="N80" s="55">
        <v>0.14285714285714313</v>
      </c>
      <c r="O80" s="29">
        <v>0.85714285714285687</v>
      </c>
      <c r="P80" s="29"/>
      <c r="Q80" s="29">
        <v>0.42307692307692291</v>
      </c>
      <c r="R80" s="29">
        <v>8.2417582417582597E-2</v>
      </c>
      <c r="S80" s="56">
        <v>0.49450549450549447</v>
      </c>
    </row>
    <row r="81" spans="1:19">
      <c r="A81">
        <v>2047</v>
      </c>
      <c r="B81" s="55">
        <v>1</v>
      </c>
      <c r="C81" s="29">
        <v>0</v>
      </c>
      <c r="D81" s="56">
        <v>0</v>
      </c>
      <c r="E81" s="29"/>
      <c r="F81" s="57">
        <v>0.41599999999999993</v>
      </c>
      <c r="G81" s="30">
        <v>0.58400000000000007</v>
      </c>
      <c r="H81" s="30"/>
      <c r="I81" s="30"/>
      <c r="J81" s="30">
        <v>0.11500000000000003</v>
      </c>
      <c r="K81" s="30">
        <v>0.36815999999999988</v>
      </c>
      <c r="L81" s="58">
        <v>0.51684000000000008</v>
      </c>
      <c r="M81" s="29"/>
      <c r="N81" s="55">
        <v>0.10714285714285743</v>
      </c>
      <c r="O81" s="29">
        <v>0.89285714285714257</v>
      </c>
      <c r="P81" s="29"/>
      <c r="Q81" s="29">
        <v>0.44230769230769212</v>
      </c>
      <c r="R81" s="29">
        <v>5.9752747252747436E-2</v>
      </c>
      <c r="S81" s="56">
        <v>0.4979395604395605</v>
      </c>
    </row>
    <row r="82" spans="1:19">
      <c r="A82">
        <v>2048</v>
      </c>
      <c r="B82" s="55">
        <v>1</v>
      </c>
      <c r="C82" s="29">
        <v>0</v>
      </c>
      <c r="D82" s="56">
        <v>0</v>
      </c>
      <c r="E82" s="29"/>
      <c r="F82" s="57">
        <v>0.39399999999999991</v>
      </c>
      <c r="G82" s="30">
        <v>0.60600000000000009</v>
      </c>
      <c r="H82" s="30"/>
      <c r="I82" s="30"/>
      <c r="J82" s="30">
        <v>0.12000000000000004</v>
      </c>
      <c r="K82" s="30">
        <v>0.34671999999999986</v>
      </c>
      <c r="L82" s="58">
        <v>0.53328000000000009</v>
      </c>
      <c r="M82" s="29"/>
      <c r="N82" s="55">
        <v>7.142857142857173E-2</v>
      </c>
      <c r="O82" s="29">
        <v>0.92857142857142827</v>
      </c>
      <c r="P82" s="29"/>
      <c r="Q82" s="29">
        <v>0.46153846153846134</v>
      </c>
      <c r="R82" s="29">
        <v>3.8461538461538637E-2</v>
      </c>
      <c r="S82" s="56">
        <v>0.5</v>
      </c>
    </row>
    <row r="83" spans="1:19">
      <c r="A83">
        <v>2049</v>
      </c>
      <c r="B83" s="55">
        <v>1</v>
      </c>
      <c r="C83" s="29">
        <v>0</v>
      </c>
      <c r="D83" s="56">
        <v>0</v>
      </c>
      <c r="E83" s="29"/>
      <c r="F83" s="57">
        <v>0.37199999999999989</v>
      </c>
      <c r="G83" s="30">
        <v>0.62800000000000011</v>
      </c>
      <c r="H83" s="30"/>
      <c r="I83" s="30"/>
      <c r="J83" s="30">
        <v>0.12500000000000003</v>
      </c>
      <c r="K83" s="30">
        <v>0.3254999999999999</v>
      </c>
      <c r="L83" s="58">
        <v>0.5495000000000001</v>
      </c>
      <c r="M83" s="29"/>
      <c r="N83" s="55">
        <v>3.5714285714286031E-2</v>
      </c>
      <c r="O83" s="29">
        <v>0.96428571428571397</v>
      </c>
      <c r="P83" s="29"/>
      <c r="Q83" s="29">
        <v>0.48076923076923056</v>
      </c>
      <c r="R83" s="29">
        <v>1.8543956043956214E-2</v>
      </c>
      <c r="S83" s="56">
        <v>0.50068681318681318</v>
      </c>
    </row>
    <row r="84" spans="1:19">
      <c r="A84">
        <v>2050</v>
      </c>
      <c r="B84" s="60">
        <v>1</v>
      </c>
      <c r="C84" s="61">
        <v>0</v>
      </c>
      <c r="D84" s="62">
        <v>0</v>
      </c>
      <c r="E84" s="29"/>
      <c r="F84" s="63">
        <v>0.35</v>
      </c>
      <c r="G84" s="64">
        <v>0.65</v>
      </c>
      <c r="H84" s="65"/>
      <c r="I84" s="65"/>
      <c r="J84" s="64">
        <v>0.13</v>
      </c>
      <c r="K84" s="65">
        <v>0.30449999999999999</v>
      </c>
      <c r="L84" s="66">
        <v>0.5655</v>
      </c>
      <c r="M84" s="29"/>
      <c r="N84" s="60">
        <v>0</v>
      </c>
      <c r="O84" s="67">
        <v>1</v>
      </c>
      <c r="P84" s="61"/>
      <c r="Q84" s="67">
        <v>0.5</v>
      </c>
      <c r="R84" s="61">
        <v>0</v>
      </c>
      <c r="S84" s="62">
        <v>0.5</v>
      </c>
    </row>
  </sheetData>
  <mergeCells count="18">
    <mergeCell ref="B52:D52"/>
    <mergeCell ref="F52:L52"/>
    <mergeCell ref="N52:S52"/>
    <mergeCell ref="B1:G1"/>
    <mergeCell ref="E2:G2"/>
    <mergeCell ref="B53:D53"/>
    <mergeCell ref="F53:L53"/>
    <mergeCell ref="N53:S53"/>
    <mergeCell ref="B54:D54"/>
    <mergeCell ref="F54:H54"/>
    <mergeCell ref="J54:L54"/>
    <mergeCell ref="Q54:S54"/>
    <mergeCell ref="A35:A38"/>
    <mergeCell ref="C38:D38"/>
    <mergeCell ref="I1:N1"/>
    <mergeCell ref="L2:N2"/>
    <mergeCell ref="S2:U2"/>
    <mergeCell ref="P1:U1"/>
  </mergeCells>
  <hyperlinks>
    <hyperlink ref="AH2" r:id="rId1" xr:uid="{EB978ADB-E202-7948-BA43-8657BF21017D}"/>
    <hyperlink ref="H35" r:id="rId2" xr:uid="{A6809F3E-9765-4E48-84F0-E2040E0184CC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F60D-5C09-A241-87EB-25CDAD0D47F2}">
  <dimension ref="A1:AE132"/>
  <sheetViews>
    <sheetView topLeftCell="G15" workbookViewId="0">
      <selection activeCell="A34" sqref="A34:AE34"/>
    </sheetView>
  </sheetViews>
  <sheetFormatPr baseColWidth="10" defaultRowHeight="16"/>
  <cols>
    <col min="13" max="13" width="12.33203125" customWidth="1"/>
    <col min="15" max="15" width="18" bestFit="1" customWidth="1"/>
    <col min="17" max="17" width="18" bestFit="1" customWidth="1"/>
    <col min="21" max="21" width="12.83203125" customWidth="1"/>
  </cols>
  <sheetData>
    <row r="1" spans="1:31" ht="24">
      <c r="A1" s="401" t="s">
        <v>230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</row>
    <row r="2" spans="1:31">
      <c r="A2" s="100" t="s">
        <v>202</v>
      </c>
      <c r="O2" s="93"/>
      <c r="R2" s="68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</row>
    <row r="3" spans="1:31">
      <c r="A3" s="100" t="s">
        <v>221</v>
      </c>
      <c r="O3" s="93"/>
      <c r="R3" s="68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68"/>
    </row>
    <row r="4" spans="1:31" ht="17" thickBot="1">
      <c r="A4" s="100"/>
      <c r="O4" s="93"/>
      <c r="R4" s="68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68"/>
    </row>
    <row r="5" spans="1:31" ht="20" thickBot="1">
      <c r="A5" s="17" t="s">
        <v>222</v>
      </c>
      <c r="M5" s="400" t="s">
        <v>215</v>
      </c>
      <c r="N5" s="400"/>
      <c r="O5" s="114" t="s">
        <v>216</v>
      </c>
      <c r="R5" s="41"/>
      <c r="S5" s="122"/>
      <c r="T5" s="397" t="s">
        <v>220</v>
      </c>
      <c r="U5" s="398"/>
      <c r="V5" s="398"/>
      <c r="W5" s="398"/>
      <c r="X5" s="398"/>
      <c r="Y5" s="398"/>
      <c r="Z5" s="398"/>
      <c r="AA5" s="399"/>
      <c r="AB5" s="304"/>
      <c r="AC5" s="304"/>
      <c r="AD5" s="68"/>
    </row>
    <row r="6" spans="1:31">
      <c r="A6" s="41"/>
      <c r="B6" s="94"/>
      <c r="C6" s="404" t="s">
        <v>204</v>
      </c>
      <c r="D6" s="404"/>
      <c r="E6" s="404"/>
      <c r="F6" s="404"/>
      <c r="G6" s="404"/>
      <c r="H6" s="404"/>
      <c r="I6" s="404"/>
      <c r="J6" s="405"/>
      <c r="K6" s="68"/>
      <c r="L6" s="115" t="s">
        <v>217</v>
      </c>
      <c r="M6" s="116" t="s">
        <v>218</v>
      </c>
      <c r="N6" s="116" t="s">
        <v>219</v>
      </c>
      <c r="O6" s="117" t="s">
        <v>219</v>
      </c>
      <c r="R6" s="120" t="s">
        <v>217</v>
      </c>
      <c r="S6" s="109" t="str">
        <f>O6</f>
        <v>total non-CO2s in kg</v>
      </c>
      <c r="T6" s="124">
        <v>0</v>
      </c>
      <c r="U6" s="110">
        <v>100</v>
      </c>
      <c r="V6" s="110">
        <v>200</v>
      </c>
      <c r="W6" s="124">
        <v>300</v>
      </c>
      <c r="X6" s="110">
        <v>400</v>
      </c>
      <c r="Y6" s="110">
        <v>500</v>
      </c>
      <c r="Z6" s="124">
        <v>600</v>
      </c>
      <c r="AA6" s="125">
        <v>700</v>
      </c>
      <c r="AB6" s="259"/>
      <c r="AC6" s="112"/>
      <c r="AD6" s="68"/>
    </row>
    <row r="7" spans="1:31">
      <c r="A7" s="106"/>
      <c r="B7" s="107"/>
      <c r="C7" s="36">
        <v>0</v>
      </c>
      <c r="D7" s="36">
        <v>1</v>
      </c>
      <c r="E7" s="36">
        <v>2</v>
      </c>
      <c r="F7" s="36">
        <v>3</v>
      </c>
      <c r="G7" s="36">
        <v>4</v>
      </c>
      <c r="H7" s="36">
        <v>5</v>
      </c>
      <c r="I7" s="36">
        <v>6</v>
      </c>
      <c r="J7" s="108">
        <v>7</v>
      </c>
      <c r="K7" s="68"/>
      <c r="L7" s="43">
        <v>1</v>
      </c>
      <c r="M7" s="68">
        <f t="shared" ref="M7:M14" si="0">$A$132*L7</f>
        <v>3.16</v>
      </c>
      <c r="N7" s="68">
        <f t="shared" ref="N7:N14" si="1">M7-$A$132</f>
        <v>0</v>
      </c>
      <c r="O7" s="118">
        <f>N7/$A$125</f>
        <v>0</v>
      </c>
      <c r="R7" s="43">
        <f>L7</f>
        <v>1</v>
      </c>
      <c r="S7" s="111">
        <f>O7</f>
        <v>0</v>
      </c>
      <c r="T7" s="113">
        <f>(T$6/10^3)*$S7</f>
        <v>0</v>
      </c>
      <c r="U7" s="113">
        <f>(U$6/10^3)*$S7</f>
        <v>0</v>
      </c>
      <c r="V7" s="113">
        <f t="shared" ref="V7:AA7" si="2">(V$6/10^3)*$S7</f>
        <v>0</v>
      </c>
      <c r="W7" s="113">
        <f t="shared" si="2"/>
        <v>0</v>
      </c>
      <c r="X7" s="113">
        <f t="shared" si="2"/>
        <v>0</v>
      </c>
      <c r="Y7" s="113">
        <f t="shared" si="2"/>
        <v>0</v>
      </c>
      <c r="Z7" s="113">
        <f t="shared" si="2"/>
        <v>0</v>
      </c>
      <c r="AA7" s="118">
        <f t="shared" si="2"/>
        <v>0</v>
      </c>
      <c r="AB7" s="113"/>
      <c r="AC7" s="113"/>
      <c r="AD7" s="68"/>
    </row>
    <row r="8" spans="1:31" ht="16" customHeight="1">
      <c r="A8" s="402" t="s">
        <v>205</v>
      </c>
      <c r="B8" s="105">
        <v>0</v>
      </c>
      <c r="C8" s="101">
        <f t="shared" ref="C8:J15" si="3">(($B8*3.14*$A$124)+(C$7*0.4*$A$124))/0.8</f>
        <v>0</v>
      </c>
      <c r="D8" s="101">
        <f t="shared" si="3"/>
        <v>0.40000000000000008</v>
      </c>
      <c r="E8" s="101">
        <f t="shared" si="3"/>
        <v>0.80000000000000016</v>
      </c>
      <c r="F8" s="101">
        <f t="shared" si="3"/>
        <v>1.2000000000000002</v>
      </c>
      <c r="G8" s="101">
        <f t="shared" si="3"/>
        <v>1.6000000000000003</v>
      </c>
      <c r="H8" s="101">
        <f t="shared" si="3"/>
        <v>2</v>
      </c>
      <c r="I8" s="101">
        <f t="shared" si="3"/>
        <v>2.4000000000000004</v>
      </c>
      <c r="J8" s="103">
        <f t="shared" si="3"/>
        <v>2.8000000000000003</v>
      </c>
      <c r="K8" s="68"/>
      <c r="L8" s="43">
        <v>1.5</v>
      </c>
      <c r="M8" s="68">
        <f t="shared" si="0"/>
        <v>4.74</v>
      </c>
      <c r="N8" s="68">
        <f t="shared" si="1"/>
        <v>1.58</v>
      </c>
      <c r="O8" s="118">
        <f t="shared" ref="O8:O13" si="4">N8/$A$125</f>
        <v>1.264</v>
      </c>
      <c r="R8" s="43">
        <f t="shared" ref="R8:R14" si="5">L8</f>
        <v>1.5</v>
      </c>
      <c r="S8" s="111">
        <f t="shared" ref="S8:S13" si="6">O8</f>
        <v>1.264</v>
      </c>
      <c r="T8" s="113">
        <f t="shared" ref="T8:AA14" si="7">(T$6/10^3)*$S8</f>
        <v>0</v>
      </c>
      <c r="U8" s="113">
        <f t="shared" si="7"/>
        <v>0.12640000000000001</v>
      </c>
      <c r="V8" s="113">
        <f t="shared" si="7"/>
        <v>0.25280000000000002</v>
      </c>
      <c r="W8" s="113">
        <f t="shared" si="7"/>
        <v>0.37919999999999998</v>
      </c>
      <c r="X8" s="113">
        <f t="shared" si="7"/>
        <v>0.50560000000000005</v>
      </c>
      <c r="Y8" s="113">
        <f t="shared" si="7"/>
        <v>0.63200000000000001</v>
      </c>
      <c r="Z8" s="113">
        <f t="shared" si="7"/>
        <v>0.75839999999999996</v>
      </c>
      <c r="AA8" s="118">
        <f t="shared" si="7"/>
        <v>0.88479999999999992</v>
      </c>
      <c r="AB8" s="113"/>
      <c r="AC8" s="113"/>
      <c r="AD8" s="68"/>
    </row>
    <row r="9" spans="1:31">
      <c r="A9" s="402"/>
      <c r="B9" s="105">
        <v>0.1</v>
      </c>
      <c r="C9" s="101">
        <f t="shared" si="3"/>
        <v>0.314</v>
      </c>
      <c r="D9" s="101">
        <f t="shared" si="3"/>
        <v>0.71400000000000019</v>
      </c>
      <c r="E9" s="101">
        <f t="shared" si="3"/>
        <v>1.1140000000000001</v>
      </c>
      <c r="F9" s="101">
        <f t="shared" si="3"/>
        <v>1.5140000000000002</v>
      </c>
      <c r="G9" s="101">
        <f t="shared" si="3"/>
        <v>1.9140000000000004</v>
      </c>
      <c r="H9" s="101">
        <f t="shared" si="3"/>
        <v>2.3140000000000001</v>
      </c>
      <c r="I9" s="101">
        <f t="shared" si="3"/>
        <v>2.714</v>
      </c>
      <c r="J9" s="103">
        <f t="shared" si="3"/>
        <v>3.1139999999999999</v>
      </c>
      <c r="K9" s="68"/>
      <c r="L9" s="43">
        <v>2</v>
      </c>
      <c r="M9" s="68">
        <f t="shared" si="0"/>
        <v>6.32</v>
      </c>
      <c r="N9" s="68">
        <f t="shared" si="1"/>
        <v>3.16</v>
      </c>
      <c r="O9" s="118">
        <f t="shared" si="4"/>
        <v>2.528</v>
      </c>
      <c r="R9" s="43">
        <f t="shared" si="5"/>
        <v>2</v>
      </c>
      <c r="S9" s="111">
        <f t="shared" si="6"/>
        <v>2.528</v>
      </c>
      <c r="T9" s="113">
        <f t="shared" si="7"/>
        <v>0</v>
      </c>
      <c r="U9" s="113">
        <f t="shared" si="7"/>
        <v>0.25280000000000002</v>
      </c>
      <c r="V9" s="113">
        <f t="shared" si="7"/>
        <v>0.50560000000000005</v>
      </c>
      <c r="W9" s="113">
        <f t="shared" si="7"/>
        <v>0.75839999999999996</v>
      </c>
      <c r="X9" s="113">
        <f t="shared" si="7"/>
        <v>1.0112000000000001</v>
      </c>
      <c r="Y9" s="113">
        <f t="shared" si="7"/>
        <v>1.264</v>
      </c>
      <c r="Z9" s="113">
        <f t="shared" si="7"/>
        <v>1.5167999999999999</v>
      </c>
      <c r="AA9" s="118">
        <f t="shared" si="7"/>
        <v>1.7695999999999998</v>
      </c>
      <c r="AB9" s="113"/>
      <c r="AC9" s="113"/>
      <c r="AD9" s="68"/>
    </row>
    <row r="10" spans="1:31">
      <c r="A10" s="402"/>
      <c r="B10" s="105">
        <v>0.2</v>
      </c>
      <c r="C10" s="101">
        <f t="shared" si="3"/>
        <v>0.628</v>
      </c>
      <c r="D10" s="101">
        <f t="shared" si="3"/>
        <v>1.028</v>
      </c>
      <c r="E10" s="101">
        <f t="shared" si="3"/>
        <v>1.4280000000000004</v>
      </c>
      <c r="F10" s="101">
        <f t="shared" si="3"/>
        <v>1.8280000000000001</v>
      </c>
      <c r="G10" s="101">
        <f t="shared" si="3"/>
        <v>2.2280000000000002</v>
      </c>
      <c r="H10" s="101">
        <f t="shared" si="3"/>
        <v>2.6280000000000001</v>
      </c>
      <c r="I10" s="101">
        <f t="shared" si="3"/>
        <v>3.0280000000000005</v>
      </c>
      <c r="J10" s="103">
        <f t="shared" si="3"/>
        <v>3.4280000000000004</v>
      </c>
      <c r="K10" s="68"/>
      <c r="L10" s="43">
        <v>2.5</v>
      </c>
      <c r="M10" s="68">
        <f t="shared" si="0"/>
        <v>7.9</v>
      </c>
      <c r="N10" s="68">
        <f t="shared" si="1"/>
        <v>4.74</v>
      </c>
      <c r="O10" s="118">
        <f t="shared" si="4"/>
        <v>3.7920000000000003</v>
      </c>
      <c r="R10" s="43">
        <f t="shared" si="5"/>
        <v>2.5</v>
      </c>
      <c r="S10" s="111">
        <f t="shared" si="6"/>
        <v>3.7920000000000003</v>
      </c>
      <c r="T10" s="113">
        <f t="shared" si="7"/>
        <v>0</v>
      </c>
      <c r="U10" s="113">
        <f t="shared" si="7"/>
        <v>0.37920000000000004</v>
      </c>
      <c r="V10" s="113">
        <f t="shared" si="7"/>
        <v>0.75840000000000007</v>
      </c>
      <c r="W10" s="113">
        <f t="shared" si="7"/>
        <v>1.1375999999999999</v>
      </c>
      <c r="X10" s="113">
        <f t="shared" si="7"/>
        <v>1.5168000000000001</v>
      </c>
      <c r="Y10" s="113">
        <f t="shared" si="7"/>
        <v>1.8960000000000001</v>
      </c>
      <c r="Z10" s="113">
        <f t="shared" si="7"/>
        <v>2.2751999999999999</v>
      </c>
      <c r="AA10" s="118">
        <f t="shared" si="7"/>
        <v>2.6543999999999999</v>
      </c>
      <c r="AB10" s="113"/>
      <c r="AC10" s="113"/>
      <c r="AD10" s="68"/>
    </row>
    <row r="11" spans="1:31">
      <c r="A11" s="402"/>
      <c r="B11" s="105">
        <v>0.3</v>
      </c>
      <c r="C11" s="101">
        <f t="shared" si="3"/>
        <v>0.94200000000000006</v>
      </c>
      <c r="D11" s="101">
        <f t="shared" si="3"/>
        <v>1.3420000000000001</v>
      </c>
      <c r="E11" s="101">
        <f t="shared" si="3"/>
        <v>1.7420000000000002</v>
      </c>
      <c r="F11" s="101">
        <f t="shared" si="3"/>
        <v>2.1420000000000003</v>
      </c>
      <c r="G11" s="101">
        <f t="shared" si="3"/>
        <v>2.5420000000000003</v>
      </c>
      <c r="H11" s="101">
        <f t="shared" si="3"/>
        <v>2.9420000000000002</v>
      </c>
      <c r="I11" s="101">
        <f t="shared" si="3"/>
        <v>3.3420000000000005</v>
      </c>
      <c r="J11" s="103">
        <f t="shared" si="3"/>
        <v>3.742</v>
      </c>
      <c r="K11" s="68"/>
      <c r="L11" s="43">
        <v>3</v>
      </c>
      <c r="M11" s="68">
        <f t="shared" si="0"/>
        <v>9.48</v>
      </c>
      <c r="N11" s="68">
        <f t="shared" si="1"/>
        <v>6.32</v>
      </c>
      <c r="O11" s="118">
        <f t="shared" si="4"/>
        <v>5.056</v>
      </c>
      <c r="R11" s="43">
        <f t="shared" si="5"/>
        <v>3</v>
      </c>
      <c r="S11" s="111">
        <f t="shared" si="6"/>
        <v>5.056</v>
      </c>
      <c r="T11" s="113">
        <f t="shared" si="7"/>
        <v>0</v>
      </c>
      <c r="U11" s="113">
        <f t="shared" si="7"/>
        <v>0.50560000000000005</v>
      </c>
      <c r="V11" s="113">
        <f t="shared" si="7"/>
        <v>1.0112000000000001</v>
      </c>
      <c r="W11" s="113">
        <f t="shared" si="7"/>
        <v>1.5167999999999999</v>
      </c>
      <c r="X11" s="113">
        <f t="shared" si="7"/>
        <v>2.0224000000000002</v>
      </c>
      <c r="Y11" s="113">
        <f t="shared" si="7"/>
        <v>2.528</v>
      </c>
      <c r="Z11" s="113">
        <f t="shared" si="7"/>
        <v>3.0335999999999999</v>
      </c>
      <c r="AA11" s="118">
        <f t="shared" si="7"/>
        <v>3.5391999999999997</v>
      </c>
      <c r="AB11" s="113"/>
      <c r="AC11" s="113"/>
      <c r="AD11" s="68"/>
    </row>
    <row r="12" spans="1:31">
      <c r="A12" s="402"/>
      <c r="B12" s="105">
        <v>0.4</v>
      </c>
      <c r="C12" s="101">
        <f t="shared" si="3"/>
        <v>1.256</v>
      </c>
      <c r="D12" s="101">
        <f t="shared" si="3"/>
        <v>1.6560000000000001</v>
      </c>
      <c r="E12" s="101">
        <f t="shared" si="3"/>
        <v>2.056</v>
      </c>
      <c r="F12" s="101">
        <f t="shared" si="3"/>
        <v>2.4560000000000004</v>
      </c>
      <c r="G12" s="101">
        <f t="shared" si="3"/>
        <v>2.8560000000000008</v>
      </c>
      <c r="H12" s="101">
        <f t="shared" si="3"/>
        <v>3.2559999999999998</v>
      </c>
      <c r="I12" s="101">
        <f t="shared" si="3"/>
        <v>3.6560000000000001</v>
      </c>
      <c r="J12" s="103">
        <f t="shared" si="3"/>
        <v>4.056</v>
      </c>
      <c r="K12" s="68"/>
      <c r="L12" s="43">
        <v>3.5</v>
      </c>
      <c r="M12" s="68">
        <f t="shared" si="0"/>
        <v>11.06</v>
      </c>
      <c r="N12" s="68">
        <f t="shared" si="1"/>
        <v>7.9</v>
      </c>
      <c r="O12" s="118">
        <f t="shared" si="4"/>
        <v>6.32</v>
      </c>
      <c r="R12" s="43">
        <f t="shared" si="5"/>
        <v>3.5</v>
      </c>
      <c r="S12" s="111">
        <f t="shared" si="6"/>
        <v>6.32</v>
      </c>
      <c r="T12" s="113">
        <f t="shared" si="7"/>
        <v>0</v>
      </c>
      <c r="U12" s="113">
        <f t="shared" si="7"/>
        <v>0.63200000000000012</v>
      </c>
      <c r="V12" s="113">
        <f t="shared" si="7"/>
        <v>1.2640000000000002</v>
      </c>
      <c r="W12" s="113">
        <f t="shared" si="7"/>
        <v>1.8959999999999999</v>
      </c>
      <c r="X12" s="113">
        <f t="shared" si="7"/>
        <v>2.5280000000000005</v>
      </c>
      <c r="Y12" s="113">
        <f t="shared" si="7"/>
        <v>3.16</v>
      </c>
      <c r="Z12" s="113">
        <f t="shared" si="7"/>
        <v>3.7919999999999998</v>
      </c>
      <c r="AA12" s="118">
        <f t="shared" si="7"/>
        <v>4.4239999999999995</v>
      </c>
      <c r="AB12" s="113"/>
      <c r="AC12" s="113"/>
      <c r="AD12" s="68"/>
    </row>
    <row r="13" spans="1:31">
      <c r="A13" s="402"/>
      <c r="B13" s="105">
        <v>0.5</v>
      </c>
      <c r="C13" s="101">
        <f t="shared" si="3"/>
        <v>1.5700000000000003</v>
      </c>
      <c r="D13" s="101">
        <f t="shared" si="3"/>
        <v>1.9700000000000002</v>
      </c>
      <c r="E13" s="101">
        <f t="shared" si="3"/>
        <v>2.37</v>
      </c>
      <c r="F13" s="101">
        <f t="shared" si="3"/>
        <v>2.77</v>
      </c>
      <c r="G13" s="101">
        <f t="shared" si="3"/>
        <v>3.1700000000000004</v>
      </c>
      <c r="H13" s="101">
        <f t="shared" si="3"/>
        <v>3.5700000000000003</v>
      </c>
      <c r="I13" s="101">
        <f t="shared" si="3"/>
        <v>3.9700000000000006</v>
      </c>
      <c r="J13" s="103">
        <f t="shared" si="3"/>
        <v>4.37</v>
      </c>
      <c r="K13" s="68"/>
      <c r="L13" s="43">
        <v>4</v>
      </c>
      <c r="M13" s="68">
        <f t="shared" si="0"/>
        <v>12.64</v>
      </c>
      <c r="N13" s="68">
        <f t="shared" si="1"/>
        <v>9.48</v>
      </c>
      <c r="O13" s="118">
        <f t="shared" si="4"/>
        <v>7.5840000000000005</v>
      </c>
      <c r="R13" s="43">
        <f t="shared" si="5"/>
        <v>4</v>
      </c>
      <c r="S13" s="111">
        <f t="shared" si="6"/>
        <v>7.5840000000000005</v>
      </c>
      <c r="T13" s="113">
        <f t="shared" si="7"/>
        <v>0</v>
      </c>
      <c r="U13" s="113">
        <f t="shared" si="7"/>
        <v>0.75840000000000007</v>
      </c>
      <c r="V13" s="113">
        <f t="shared" si="7"/>
        <v>1.5168000000000001</v>
      </c>
      <c r="W13" s="113">
        <f t="shared" si="7"/>
        <v>2.2751999999999999</v>
      </c>
      <c r="X13" s="113">
        <f t="shared" si="7"/>
        <v>3.0336000000000003</v>
      </c>
      <c r="Y13" s="113">
        <f t="shared" si="7"/>
        <v>3.7920000000000003</v>
      </c>
      <c r="Z13" s="113">
        <f t="shared" si="7"/>
        <v>4.5503999999999998</v>
      </c>
      <c r="AA13" s="118">
        <f t="shared" si="7"/>
        <v>5.3087999999999997</v>
      </c>
      <c r="AB13" s="113"/>
      <c r="AC13" s="113"/>
      <c r="AD13" s="68"/>
    </row>
    <row r="14" spans="1:31" ht="17" thickBot="1">
      <c r="A14" s="402"/>
      <c r="B14" s="105">
        <v>0.6</v>
      </c>
      <c r="C14" s="101">
        <f t="shared" si="3"/>
        <v>1.8840000000000001</v>
      </c>
      <c r="D14" s="101">
        <f t="shared" si="3"/>
        <v>2.2840000000000003</v>
      </c>
      <c r="E14" s="101">
        <f t="shared" si="3"/>
        <v>2.6840000000000002</v>
      </c>
      <c r="F14" s="101">
        <f t="shared" si="3"/>
        <v>3.0840000000000001</v>
      </c>
      <c r="G14" s="101">
        <f t="shared" si="3"/>
        <v>3.4840000000000004</v>
      </c>
      <c r="H14" s="101">
        <f t="shared" si="3"/>
        <v>3.8839999999999999</v>
      </c>
      <c r="I14" s="101">
        <f t="shared" si="3"/>
        <v>4.2840000000000007</v>
      </c>
      <c r="J14" s="103">
        <f t="shared" si="3"/>
        <v>4.6840000000000002</v>
      </c>
      <c r="K14" s="68"/>
      <c r="L14" s="44">
        <v>4.5</v>
      </c>
      <c r="M14" s="45">
        <f t="shared" si="0"/>
        <v>14.22</v>
      </c>
      <c r="N14" s="45">
        <f t="shared" si="1"/>
        <v>11.06</v>
      </c>
      <c r="O14" s="119">
        <f>N14/$A$125</f>
        <v>8.8480000000000008</v>
      </c>
      <c r="R14" s="44">
        <f t="shared" si="5"/>
        <v>4.5</v>
      </c>
      <c r="S14" s="123">
        <f>O14</f>
        <v>8.8480000000000008</v>
      </c>
      <c r="T14" s="121">
        <f t="shared" si="7"/>
        <v>0</v>
      </c>
      <c r="U14" s="121">
        <f t="shared" si="7"/>
        <v>0.88480000000000014</v>
      </c>
      <c r="V14" s="121">
        <f t="shared" si="7"/>
        <v>1.7696000000000003</v>
      </c>
      <c r="W14" s="121">
        <f t="shared" si="7"/>
        <v>2.6544000000000003</v>
      </c>
      <c r="X14" s="121">
        <f t="shared" si="7"/>
        <v>3.5392000000000006</v>
      </c>
      <c r="Y14" s="121">
        <f t="shared" si="7"/>
        <v>4.4240000000000004</v>
      </c>
      <c r="Z14" s="121">
        <f t="shared" si="7"/>
        <v>5.3088000000000006</v>
      </c>
      <c r="AA14" s="119">
        <f t="shared" si="7"/>
        <v>6.1936</v>
      </c>
      <c r="AB14" s="113"/>
      <c r="AC14" s="113"/>
      <c r="AD14" s="68"/>
    </row>
    <row r="15" spans="1:31" ht="17" thickBot="1">
      <c r="A15" s="403"/>
      <c r="B15" s="96">
        <v>0.7</v>
      </c>
      <c r="C15" s="98">
        <f t="shared" si="3"/>
        <v>2.198</v>
      </c>
      <c r="D15" s="98">
        <f t="shared" si="3"/>
        <v>2.5980000000000003</v>
      </c>
      <c r="E15" s="98">
        <f t="shared" si="3"/>
        <v>2.9979999999999998</v>
      </c>
      <c r="F15" s="98">
        <f t="shared" si="3"/>
        <v>3.3979999999999997</v>
      </c>
      <c r="G15" s="98">
        <f t="shared" si="3"/>
        <v>3.798</v>
      </c>
      <c r="H15" s="98">
        <f t="shared" si="3"/>
        <v>4.1979999999999995</v>
      </c>
      <c r="I15" s="98">
        <f t="shared" si="3"/>
        <v>4.5979999999999999</v>
      </c>
      <c r="J15" s="104">
        <f t="shared" si="3"/>
        <v>4.9980000000000002</v>
      </c>
      <c r="K15" s="68"/>
      <c r="L15" s="68"/>
      <c r="O15" s="93"/>
      <c r="R15" s="68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68"/>
    </row>
    <row r="16" spans="1:31">
      <c r="A16" s="68"/>
      <c r="B16" s="68"/>
      <c r="C16" s="68" t="s">
        <v>206</v>
      </c>
      <c r="D16" s="68"/>
      <c r="E16" s="68"/>
      <c r="F16" s="68"/>
      <c r="G16" s="68"/>
      <c r="H16" s="68"/>
      <c r="I16" s="68"/>
      <c r="J16" s="68"/>
      <c r="K16" s="68"/>
      <c r="L16" s="68"/>
      <c r="R16" s="41"/>
      <c r="S16" s="122"/>
      <c r="T16" s="42">
        <v>1</v>
      </c>
      <c r="U16" s="42">
        <v>1.5</v>
      </c>
      <c r="V16" s="42">
        <v>2</v>
      </c>
      <c r="W16" s="42">
        <v>2.5</v>
      </c>
      <c r="X16" s="42">
        <v>3</v>
      </c>
      <c r="Y16" s="42">
        <v>3.5</v>
      </c>
      <c r="Z16" s="42">
        <v>4</v>
      </c>
      <c r="AA16" s="95">
        <v>4.5</v>
      </c>
      <c r="AB16" s="112" t="s">
        <v>217</v>
      </c>
      <c r="AC16" s="112"/>
      <c r="AD16" s="68"/>
    </row>
    <row r="17" spans="1:30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R17" s="106"/>
      <c r="S17" s="107"/>
      <c r="T17" s="307">
        <v>0</v>
      </c>
      <c r="U17" s="307">
        <v>1.264</v>
      </c>
      <c r="V17" s="307">
        <v>2.528</v>
      </c>
      <c r="W17" s="307">
        <v>3.7920000000000003</v>
      </c>
      <c r="X17" s="307">
        <v>5.056</v>
      </c>
      <c r="Y17" s="307">
        <v>6.32</v>
      </c>
      <c r="Z17" s="307">
        <v>7.5840000000000005</v>
      </c>
      <c r="AA17" s="308">
        <v>8.8480000000000008</v>
      </c>
      <c r="AB17" s="304" t="s">
        <v>439</v>
      </c>
      <c r="AC17" s="304"/>
      <c r="AD17" s="68"/>
    </row>
    <row r="18" spans="1:30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R18" s="402" t="s">
        <v>220</v>
      </c>
      <c r="S18" s="109">
        <v>0</v>
      </c>
      <c r="T18" s="101">
        <f>T$17*($S18/1000)</f>
        <v>0</v>
      </c>
      <c r="U18" s="101">
        <f t="shared" ref="U18:AA18" si="8">U$17*($S18/1000)</f>
        <v>0</v>
      </c>
      <c r="V18" s="101">
        <f t="shared" si="8"/>
        <v>0</v>
      </c>
      <c r="W18" s="101">
        <f t="shared" si="8"/>
        <v>0</v>
      </c>
      <c r="X18" s="101">
        <f t="shared" si="8"/>
        <v>0</v>
      </c>
      <c r="Y18" s="101">
        <f t="shared" si="8"/>
        <v>0</v>
      </c>
      <c r="Z18" s="101">
        <f t="shared" si="8"/>
        <v>0</v>
      </c>
      <c r="AA18" s="103">
        <f t="shared" si="8"/>
        <v>0</v>
      </c>
      <c r="AB18" s="259"/>
      <c r="AC18" s="259"/>
      <c r="AD18" s="68"/>
    </row>
    <row r="19" spans="1:30" ht="20" thickBot="1">
      <c r="A19" s="332" t="s">
        <v>436</v>
      </c>
      <c r="B19" s="332"/>
      <c r="C19" s="332"/>
      <c r="D19" s="332"/>
      <c r="E19" s="332"/>
      <c r="F19" s="332"/>
      <c r="G19" s="332"/>
      <c r="H19" s="332"/>
      <c r="I19" s="332"/>
      <c r="J19" s="332"/>
      <c r="K19" s="68"/>
      <c r="M19" s="400" t="s">
        <v>215</v>
      </c>
      <c r="N19" s="400"/>
      <c r="O19" s="114" t="s">
        <v>216</v>
      </c>
      <c r="R19" s="402"/>
      <c r="S19" s="239">
        <v>100</v>
      </c>
      <c r="T19" s="101">
        <f t="shared" ref="T19:AA25" si="9">T$17*($S19/1000)</f>
        <v>0</v>
      </c>
      <c r="U19" s="101">
        <f t="shared" si="9"/>
        <v>0.12640000000000001</v>
      </c>
      <c r="V19" s="101">
        <f t="shared" si="9"/>
        <v>0.25280000000000002</v>
      </c>
      <c r="W19" s="101">
        <f t="shared" si="9"/>
        <v>0.37920000000000004</v>
      </c>
      <c r="X19" s="101">
        <f t="shared" si="9"/>
        <v>0.50560000000000005</v>
      </c>
      <c r="Y19" s="101">
        <f t="shared" si="9"/>
        <v>0.63200000000000012</v>
      </c>
      <c r="Z19" s="101">
        <f t="shared" si="9"/>
        <v>0.75840000000000007</v>
      </c>
      <c r="AA19" s="103">
        <f t="shared" si="9"/>
        <v>0.88480000000000014</v>
      </c>
      <c r="AB19" s="113"/>
      <c r="AC19" s="113"/>
    </row>
    <row r="20" spans="1:30" ht="17" thickBot="1">
      <c r="A20" s="406" t="s">
        <v>223</v>
      </c>
      <c r="B20" s="406"/>
      <c r="C20" s="406"/>
      <c r="D20" s="406"/>
      <c r="E20" s="406"/>
      <c r="F20" s="406"/>
      <c r="G20" s="406"/>
      <c r="H20" s="406"/>
      <c r="I20" s="406"/>
      <c r="J20" s="406"/>
      <c r="L20" s="115" t="s">
        <v>217</v>
      </c>
      <c r="M20" s="116" t="s">
        <v>218</v>
      </c>
      <c r="N20" s="116" t="s">
        <v>219</v>
      </c>
      <c r="O20" s="117" t="s">
        <v>219</v>
      </c>
      <c r="R20" s="402"/>
      <c r="S20" s="239">
        <v>200</v>
      </c>
      <c r="T20" s="101">
        <f t="shared" si="9"/>
        <v>0</v>
      </c>
      <c r="U20" s="101">
        <f t="shared" si="9"/>
        <v>0.25280000000000002</v>
      </c>
      <c r="V20" s="101">
        <f t="shared" si="9"/>
        <v>0.50560000000000005</v>
      </c>
      <c r="W20" s="101">
        <f t="shared" si="9"/>
        <v>0.75840000000000007</v>
      </c>
      <c r="X20" s="101">
        <f t="shared" si="9"/>
        <v>1.0112000000000001</v>
      </c>
      <c r="Y20" s="101">
        <f t="shared" si="9"/>
        <v>1.2640000000000002</v>
      </c>
      <c r="Z20" s="101">
        <f t="shared" si="9"/>
        <v>1.5168000000000001</v>
      </c>
      <c r="AA20" s="103">
        <f t="shared" si="9"/>
        <v>1.7696000000000003</v>
      </c>
      <c r="AB20" s="113"/>
      <c r="AC20" s="113"/>
    </row>
    <row r="21" spans="1:30" ht="17" thickBot="1">
      <c r="A21" s="41"/>
      <c r="B21" s="94"/>
      <c r="C21" s="404" t="s">
        <v>204</v>
      </c>
      <c r="D21" s="404"/>
      <c r="E21" s="404"/>
      <c r="F21" s="404"/>
      <c r="G21" s="404"/>
      <c r="H21" s="404"/>
      <c r="I21" s="404"/>
      <c r="J21" s="405"/>
      <c r="K21" s="68"/>
      <c r="L21" s="44">
        <v>1.7</v>
      </c>
      <c r="M21" s="45">
        <f>$A$132*L21</f>
        <v>5.3719999999999999</v>
      </c>
      <c r="N21" s="45">
        <f>M21-$A$132</f>
        <v>2.2119999999999997</v>
      </c>
      <c r="O21" s="119">
        <f>N21/$A$125</f>
        <v>1.7695999999999998</v>
      </c>
      <c r="P21" t="s">
        <v>437</v>
      </c>
      <c r="R21" s="402"/>
      <c r="S21" s="109">
        <v>300</v>
      </c>
      <c r="T21" s="101">
        <f t="shared" si="9"/>
        <v>0</v>
      </c>
      <c r="U21" s="101">
        <f>U$17*($S21/1000)</f>
        <v>0.37919999999999998</v>
      </c>
      <c r="V21" s="101">
        <f t="shared" si="9"/>
        <v>0.75839999999999996</v>
      </c>
      <c r="W21" s="101">
        <f t="shared" si="9"/>
        <v>1.1375999999999999</v>
      </c>
      <c r="X21" s="101">
        <f t="shared" si="9"/>
        <v>1.5167999999999999</v>
      </c>
      <c r="Y21" s="101">
        <f t="shared" si="9"/>
        <v>1.8959999999999999</v>
      </c>
      <c r="Z21" s="101">
        <f t="shared" si="9"/>
        <v>2.2751999999999999</v>
      </c>
      <c r="AA21" s="103">
        <f t="shared" si="9"/>
        <v>2.6544000000000003</v>
      </c>
      <c r="AB21" s="113"/>
      <c r="AC21" s="113"/>
    </row>
    <row r="22" spans="1:30">
      <c r="A22" s="106"/>
      <c r="B22" s="107"/>
      <c r="C22" s="36">
        <v>0</v>
      </c>
      <c r="D22" s="36">
        <v>1</v>
      </c>
      <c r="E22" s="36">
        <v>2</v>
      </c>
      <c r="F22" s="36">
        <v>3</v>
      </c>
      <c r="G22" s="36">
        <v>4</v>
      </c>
      <c r="H22" s="36">
        <v>5</v>
      </c>
      <c r="I22" s="36">
        <v>6</v>
      </c>
      <c r="J22" s="108">
        <v>7</v>
      </c>
      <c r="K22" s="68"/>
      <c r="L22" s="68"/>
      <c r="R22" s="402"/>
      <c r="S22" s="239">
        <v>400</v>
      </c>
      <c r="T22" s="101">
        <f t="shared" si="9"/>
        <v>0</v>
      </c>
      <c r="U22" s="101">
        <f t="shared" si="9"/>
        <v>0.50560000000000005</v>
      </c>
      <c r="V22" s="101">
        <f t="shared" si="9"/>
        <v>1.0112000000000001</v>
      </c>
      <c r="W22" s="101">
        <f t="shared" si="9"/>
        <v>1.5168000000000001</v>
      </c>
      <c r="X22" s="101">
        <f t="shared" si="9"/>
        <v>2.0224000000000002</v>
      </c>
      <c r="Y22" s="101">
        <f t="shared" si="9"/>
        <v>2.5280000000000005</v>
      </c>
      <c r="Z22" s="101">
        <f t="shared" si="9"/>
        <v>3.0336000000000003</v>
      </c>
      <c r="AA22" s="103">
        <f t="shared" si="9"/>
        <v>3.5392000000000006</v>
      </c>
      <c r="AB22" s="113"/>
      <c r="AC22" s="113"/>
    </row>
    <row r="23" spans="1:30">
      <c r="A23" s="402" t="s">
        <v>205</v>
      </c>
      <c r="B23" s="105">
        <v>0</v>
      </c>
      <c r="C23" s="101">
        <f>C8+$O$24</f>
        <v>0.61935999999999991</v>
      </c>
      <c r="D23" s="101">
        <f t="shared" ref="D23:J23" si="10">D8+$O$24</f>
        <v>1.01936</v>
      </c>
      <c r="E23" s="101">
        <f t="shared" si="10"/>
        <v>1.4193600000000002</v>
      </c>
      <c r="F23" s="101">
        <f t="shared" si="10"/>
        <v>1.8193600000000001</v>
      </c>
      <c r="G23" s="101">
        <f t="shared" si="10"/>
        <v>2.21936</v>
      </c>
      <c r="H23" s="101">
        <f t="shared" si="10"/>
        <v>2.6193599999999999</v>
      </c>
      <c r="I23" s="101">
        <f t="shared" si="10"/>
        <v>3.0193600000000003</v>
      </c>
      <c r="J23" s="103">
        <f t="shared" si="10"/>
        <v>3.4193600000000002</v>
      </c>
      <c r="K23" s="68"/>
      <c r="L23" t="s">
        <v>434</v>
      </c>
      <c r="N23" s="303" t="s">
        <v>64</v>
      </c>
      <c r="O23">
        <v>350</v>
      </c>
      <c r="P23" t="s">
        <v>435</v>
      </c>
      <c r="R23" s="402"/>
      <c r="S23" s="239">
        <v>500</v>
      </c>
      <c r="T23" s="101">
        <f t="shared" si="9"/>
        <v>0</v>
      </c>
      <c r="U23" s="101">
        <f t="shared" si="9"/>
        <v>0.63200000000000001</v>
      </c>
      <c r="V23" s="101">
        <f t="shared" si="9"/>
        <v>1.264</v>
      </c>
      <c r="W23" s="101">
        <f t="shared" si="9"/>
        <v>1.8960000000000001</v>
      </c>
      <c r="X23" s="101">
        <f t="shared" si="9"/>
        <v>2.528</v>
      </c>
      <c r="Y23" s="101">
        <f t="shared" si="9"/>
        <v>3.16</v>
      </c>
      <c r="Z23" s="101">
        <f t="shared" si="9"/>
        <v>3.7920000000000003</v>
      </c>
      <c r="AA23" s="103">
        <f t="shared" si="9"/>
        <v>4.4240000000000004</v>
      </c>
      <c r="AB23" s="113"/>
      <c r="AC23" s="113"/>
    </row>
    <row r="24" spans="1:30">
      <c r="A24" s="402"/>
      <c r="B24" s="105">
        <v>0.1</v>
      </c>
      <c r="C24" s="101">
        <f t="shared" ref="C24:J24" si="11">C9+$O$24</f>
        <v>0.93335999999999997</v>
      </c>
      <c r="D24" s="101">
        <f t="shared" si="11"/>
        <v>1.3333600000000001</v>
      </c>
      <c r="E24" s="101">
        <f t="shared" si="11"/>
        <v>1.73336</v>
      </c>
      <c r="F24" s="101">
        <f t="shared" si="11"/>
        <v>2.1333600000000001</v>
      </c>
      <c r="G24" s="101">
        <f t="shared" si="11"/>
        <v>2.5333600000000001</v>
      </c>
      <c r="H24" s="101">
        <f t="shared" si="11"/>
        <v>2.93336</v>
      </c>
      <c r="I24" s="101">
        <f t="shared" si="11"/>
        <v>3.3333599999999999</v>
      </c>
      <c r="J24" s="103">
        <f t="shared" si="11"/>
        <v>3.7333599999999998</v>
      </c>
      <c r="K24" s="68"/>
      <c r="L24" s="68" t="s">
        <v>433</v>
      </c>
      <c r="N24" s="303" t="s">
        <v>64</v>
      </c>
      <c r="O24" s="30">
        <f>O21*(O23/1000)</f>
        <v>0.61935999999999991</v>
      </c>
      <c r="R24" s="402"/>
      <c r="S24" s="109">
        <v>600</v>
      </c>
      <c r="T24" s="101">
        <f t="shared" si="9"/>
        <v>0</v>
      </c>
      <c r="U24" s="101">
        <f t="shared" si="9"/>
        <v>0.75839999999999996</v>
      </c>
      <c r="V24" s="101">
        <f t="shared" si="9"/>
        <v>1.5167999999999999</v>
      </c>
      <c r="W24" s="101">
        <f t="shared" si="9"/>
        <v>2.2751999999999999</v>
      </c>
      <c r="X24" s="101">
        <f t="shared" si="9"/>
        <v>3.0335999999999999</v>
      </c>
      <c r="Y24" s="101">
        <f t="shared" si="9"/>
        <v>3.7919999999999998</v>
      </c>
      <c r="Z24" s="101">
        <f t="shared" si="9"/>
        <v>4.5503999999999998</v>
      </c>
      <c r="AA24" s="103">
        <f>AA$17*($S24/1000)</f>
        <v>5.3088000000000006</v>
      </c>
      <c r="AB24" s="113"/>
      <c r="AC24" s="113"/>
    </row>
    <row r="25" spans="1:30" ht="17" thickBot="1">
      <c r="A25" s="402"/>
      <c r="B25" s="105">
        <v>0.2</v>
      </c>
      <c r="C25" s="101">
        <f t="shared" ref="C25:J25" si="12">C10+$O$24</f>
        <v>1.24736</v>
      </c>
      <c r="D25" s="101">
        <f t="shared" si="12"/>
        <v>1.6473599999999999</v>
      </c>
      <c r="E25" s="101">
        <f t="shared" si="12"/>
        <v>2.0473600000000003</v>
      </c>
      <c r="F25" s="101">
        <f t="shared" si="12"/>
        <v>2.4473599999999998</v>
      </c>
      <c r="G25" s="101">
        <f t="shared" si="12"/>
        <v>2.8473600000000001</v>
      </c>
      <c r="H25" s="101">
        <f t="shared" si="12"/>
        <v>3.24736</v>
      </c>
      <c r="I25" s="101">
        <f t="shared" si="12"/>
        <v>3.6473600000000004</v>
      </c>
      <c r="J25" s="103">
        <f t="shared" si="12"/>
        <v>4.0473600000000003</v>
      </c>
      <c r="K25" s="68"/>
      <c r="L25" s="68"/>
      <c r="R25" s="403"/>
      <c r="S25" s="240">
        <v>700</v>
      </c>
      <c r="T25" s="98">
        <f t="shared" si="9"/>
        <v>0</v>
      </c>
      <c r="U25" s="98">
        <f t="shared" si="9"/>
        <v>0.88479999999999992</v>
      </c>
      <c r="V25" s="98">
        <f t="shared" si="9"/>
        <v>1.7695999999999998</v>
      </c>
      <c r="W25" s="98">
        <f t="shared" si="9"/>
        <v>2.6543999999999999</v>
      </c>
      <c r="X25" s="98">
        <f t="shared" si="9"/>
        <v>3.5391999999999997</v>
      </c>
      <c r="Y25" s="98">
        <f t="shared" si="9"/>
        <v>4.4239999999999995</v>
      </c>
      <c r="Z25" s="98">
        <f t="shared" si="9"/>
        <v>5.3087999999999997</v>
      </c>
      <c r="AA25" s="104">
        <f t="shared" si="9"/>
        <v>6.1936</v>
      </c>
      <c r="AB25" s="113"/>
      <c r="AC25" s="113"/>
    </row>
    <row r="26" spans="1:30">
      <c r="A26" s="402"/>
      <c r="B26" s="105">
        <v>0.3</v>
      </c>
      <c r="C26" s="101">
        <f t="shared" ref="C26:J26" si="13">C11+$O$24</f>
        <v>1.5613600000000001</v>
      </c>
      <c r="D26" s="101">
        <f t="shared" si="13"/>
        <v>1.96136</v>
      </c>
      <c r="E26" s="101">
        <f t="shared" si="13"/>
        <v>2.3613600000000003</v>
      </c>
      <c r="F26" s="101">
        <f t="shared" si="13"/>
        <v>2.7613600000000003</v>
      </c>
      <c r="G26" s="101">
        <f t="shared" si="13"/>
        <v>3.1613600000000002</v>
      </c>
      <c r="H26" s="101">
        <f t="shared" si="13"/>
        <v>3.5613600000000001</v>
      </c>
      <c r="I26" s="101">
        <f t="shared" si="13"/>
        <v>3.9613600000000004</v>
      </c>
      <c r="J26" s="103">
        <f t="shared" si="13"/>
        <v>4.3613599999999995</v>
      </c>
      <c r="K26" s="68"/>
      <c r="L26" s="68"/>
      <c r="R26" s="68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</row>
    <row r="27" spans="1:30">
      <c r="A27" s="402"/>
      <c r="B27" s="105">
        <v>0.4</v>
      </c>
      <c r="C27" s="101">
        <f t="shared" ref="C27:I27" si="14">C12+$O$24</f>
        <v>1.8753599999999999</v>
      </c>
      <c r="D27" s="101">
        <f t="shared" si="14"/>
        <v>2.27536</v>
      </c>
      <c r="E27" s="101">
        <f t="shared" si="14"/>
        <v>2.67536</v>
      </c>
      <c r="F27" s="101">
        <f t="shared" si="14"/>
        <v>3.0753600000000003</v>
      </c>
      <c r="G27" s="101">
        <f t="shared" si="14"/>
        <v>3.4753600000000007</v>
      </c>
      <c r="H27" s="101">
        <f t="shared" si="14"/>
        <v>3.8753599999999997</v>
      </c>
      <c r="I27" s="101">
        <f t="shared" si="14"/>
        <v>4.27536</v>
      </c>
      <c r="J27" s="103">
        <f>J12+$O$24</f>
        <v>4.6753599999999995</v>
      </c>
      <c r="K27" s="68"/>
      <c r="L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</row>
    <row r="28" spans="1:30">
      <c r="A28" s="402"/>
      <c r="B28" s="105">
        <v>0.5</v>
      </c>
      <c r="C28" s="101">
        <f t="shared" ref="C28:J28" si="15">C13+$O$24</f>
        <v>2.1893600000000002</v>
      </c>
      <c r="D28" s="101">
        <f t="shared" si="15"/>
        <v>2.5893600000000001</v>
      </c>
      <c r="E28" s="101">
        <f t="shared" si="15"/>
        <v>2.98936</v>
      </c>
      <c r="F28" s="101">
        <f t="shared" si="15"/>
        <v>3.3893599999999999</v>
      </c>
      <c r="G28" s="101">
        <f t="shared" si="15"/>
        <v>3.7893600000000003</v>
      </c>
      <c r="H28" s="101">
        <f t="shared" si="15"/>
        <v>4.1893600000000006</v>
      </c>
      <c r="I28" s="101">
        <f t="shared" si="15"/>
        <v>4.589360000000001</v>
      </c>
      <c r="J28" s="103">
        <f t="shared" si="15"/>
        <v>4.9893599999999996</v>
      </c>
      <c r="K28" s="68"/>
      <c r="L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</row>
    <row r="29" spans="1:30">
      <c r="A29" s="402"/>
      <c r="B29" s="105">
        <v>0.6</v>
      </c>
      <c r="C29" s="101">
        <f t="shared" ref="C29:J29" si="16">C14+$O$24</f>
        <v>2.5033599999999998</v>
      </c>
      <c r="D29" s="101">
        <f t="shared" si="16"/>
        <v>2.9033600000000002</v>
      </c>
      <c r="E29" s="101">
        <f t="shared" si="16"/>
        <v>3.3033600000000001</v>
      </c>
      <c r="F29" s="101">
        <f t="shared" si="16"/>
        <v>3.70336</v>
      </c>
      <c r="G29" s="101">
        <f t="shared" si="16"/>
        <v>4.1033600000000003</v>
      </c>
      <c r="H29" s="101">
        <f t="shared" si="16"/>
        <v>4.5033599999999998</v>
      </c>
      <c r="I29" s="101">
        <f t="shared" si="16"/>
        <v>4.9033600000000011</v>
      </c>
      <c r="J29" s="103">
        <f t="shared" si="16"/>
        <v>5.3033599999999996</v>
      </c>
      <c r="K29" s="68"/>
      <c r="L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</row>
    <row r="30" spans="1:30" ht="17" thickBot="1">
      <c r="A30" s="403"/>
      <c r="B30" s="96">
        <v>0.7</v>
      </c>
      <c r="C30" s="98">
        <f t="shared" ref="C30:I30" si="17">C15+$O$24</f>
        <v>2.8173599999999999</v>
      </c>
      <c r="D30" s="98">
        <f t="shared" si="17"/>
        <v>3.2173600000000002</v>
      </c>
      <c r="E30" s="98">
        <f t="shared" si="17"/>
        <v>3.6173599999999997</v>
      </c>
      <c r="F30" s="98">
        <f t="shared" si="17"/>
        <v>4.01736</v>
      </c>
      <c r="G30" s="98">
        <f t="shared" si="17"/>
        <v>4.4173600000000004</v>
      </c>
      <c r="H30" s="98">
        <f t="shared" si="17"/>
        <v>4.817359999999999</v>
      </c>
      <c r="I30" s="98">
        <f t="shared" si="17"/>
        <v>5.2173599999999993</v>
      </c>
      <c r="J30" s="104">
        <f>J15+$O$24</f>
        <v>5.6173599999999997</v>
      </c>
      <c r="K30" s="68"/>
      <c r="L30" s="68"/>
    </row>
    <row r="31" spans="1:30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</row>
    <row r="32" spans="1:30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31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31" ht="24">
      <c r="A34" s="401" t="s">
        <v>224</v>
      </c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01"/>
      <c r="O34" s="401"/>
      <c r="P34" s="401"/>
      <c r="Q34" s="401"/>
      <c r="R34" s="401"/>
      <c r="S34" s="401"/>
      <c r="T34" s="401"/>
      <c r="U34" s="401"/>
      <c r="V34" s="401"/>
      <c r="W34" s="401"/>
      <c r="X34" s="401"/>
      <c r="Y34" s="401"/>
      <c r="Z34" s="401"/>
      <c r="AA34" s="401"/>
      <c r="AB34" s="401"/>
      <c r="AC34" s="401"/>
      <c r="AD34" s="401"/>
      <c r="AE34" s="401"/>
    </row>
    <row r="35" spans="1:31">
      <c r="A35" s="100" t="s">
        <v>225</v>
      </c>
      <c r="H35" s="68"/>
      <c r="I35" s="68"/>
      <c r="J35" s="68"/>
      <c r="K35" s="68"/>
      <c r="L35" s="68"/>
    </row>
    <row r="36" spans="1:31">
      <c r="A36" s="100" t="s">
        <v>226</v>
      </c>
      <c r="H36" s="68"/>
      <c r="I36" s="68"/>
      <c r="J36" s="68"/>
      <c r="K36" s="68"/>
      <c r="L36" s="68"/>
    </row>
    <row r="37" spans="1:31" ht="17" thickBot="1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</row>
    <row r="38" spans="1:31" ht="20" thickBot="1">
      <c r="A38" s="17" t="s">
        <v>222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N38" s="400" t="s">
        <v>215</v>
      </c>
      <c r="O38" s="400"/>
      <c r="P38" s="10" t="s">
        <v>216</v>
      </c>
      <c r="T38" s="41"/>
      <c r="U38" s="122"/>
      <c r="V38" s="397" t="s">
        <v>220</v>
      </c>
      <c r="W38" s="398"/>
      <c r="X38" s="398"/>
      <c r="Y38" s="398"/>
      <c r="Z38" s="398"/>
      <c r="AA38" s="398"/>
      <c r="AB38" s="398"/>
      <c r="AC38" s="398"/>
      <c r="AD38" s="398"/>
      <c r="AE38" s="399"/>
    </row>
    <row r="39" spans="1:31">
      <c r="A39" s="41"/>
      <c r="B39" s="94"/>
      <c r="C39" s="413" t="s">
        <v>227</v>
      </c>
      <c r="D39" s="411"/>
      <c r="E39" s="411"/>
      <c r="F39" s="411"/>
      <c r="G39" s="411"/>
      <c r="H39" s="411"/>
      <c r="I39" s="411"/>
      <c r="J39" s="411"/>
      <c r="K39" s="412"/>
      <c r="M39" s="136" t="s">
        <v>217</v>
      </c>
      <c r="N39" s="137" t="s">
        <v>218</v>
      </c>
      <c r="O39" s="137" t="s">
        <v>219</v>
      </c>
      <c r="P39" s="117" t="s">
        <v>219</v>
      </c>
      <c r="Q39" s="93"/>
      <c r="T39" s="120" t="s">
        <v>217</v>
      </c>
      <c r="U39" s="109" t="str">
        <f>O39</f>
        <v>total non-CO2s in kg</v>
      </c>
      <c r="V39" s="124">
        <v>0</v>
      </c>
      <c r="W39" s="110">
        <v>50</v>
      </c>
      <c r="X39" s="110">
        <v>100</v>
      </c>
      <c r="Y39" s="110">
        <v>150</v>
      </c>
      <c r="Z39" s="110">
        <v>200</v>
      </c>
      <c r="AA39" s="110">
        <v>250</v>
      </c>
      <c r="AB39" s="110">
        <v>300</v>
      </c>
      <c r="AC39" s="110">
        <v>350</v>
      </c>
      <c r="AD39" s="110">
        <v>400</v>
      </c>
      <c r="AE39" s="125">
        <v>450</v>
      </c>
    </row>
    <row r="40" spans="1:31">
      <c r="A40" s="135"/>
      <c r="B40" s="107"/>
      <c r="C40" s="36">
        <v>0</v>
      </c>
      <c r="D40" s="36">
        <v>1</v>
      </c>
      <c r="E40" s="36">
        <v>2</v>
      </c>
      <c r="F40" s="36">
        <v>3</v>
      </c>
      <c r="G40" s="36">
        <v>4</v>
      </c>
      <c r="H40" s="36">
        <v>5</v>
      </c>
      <c r="I40" s="36">
        <v>6</v>
      </c>
      <c r="J40" s="36">
        <v>7</v>
      </c>
      <c r="K40" s="108">
        <v>8</v>
      </c>
      <c r="M40" s="138">
        <v>1.5</v>
      </c>
      <c r="N40" s="113">
        <f t="shared" ref="N40:N49" si="18">$A$132*M40</f>
        <v>4.74</v>
      </c>
      <c r="O40" s="113">
        <f t="shared" ref="O40:O49" si="19">N40-$A$132</f>
        <v>1.58</v>
      </c>
      <c r="P40" s="118">
        <f t="shared" ref="P40:P49" si="20">O40/$A$129</f>
        <v>1.3903999999999999</v>
      </c>
      <c r="Q40" s="93"/>
      <c r="T40" s="126">
        <f>M40</f>
        <v>1.5</v>
      </c>
      <c r="U40" s="111">
        <f>P40</f>
        <v>1.3903999999999999</v>
      </c>
      <c r="V40" s="113">
        <f t="shared" ref="V40:AE49" si="21">(V$39/10^3)*$U40</f>
        <v>0</v>
      </c>
      <c r="W40" s="113">
        <f t="shared" si="21"/>
        <v>6.9519999999999998E-2</v>
      </c>
      <c r="X40" s="113">
        <f t="shared" si="21"/>
        <v>0.13904</v>
      </c>
      <c r="Y40" s="113">
        <f t="shared" si="21"/>
        <v>0.20855999999999997</v>
      </c>
      <c r="Z40" s="113">
        <f t="shared" si="21"/>
        <v>0.27807999999999999</v>
      </c>
      <c r="AA40" s="113">
        <f t="shared" si="21"/>
        <v>0.34759999999999996</v>
      </c>
      <c r="AB40" s="113">
        <f t="shared" si="21"/>
        <v>0.41711999999999994</v>
      </c>
      <c r="AC40" s="113">
        <f t="shared" si="21"/>
        <v>0.48663999999999991</v>
      </c>
      <c r="AD40" s="113">
        <f t="shared" si="21"/>
        <v>0.55615999999999999</v>
      </c>
      <c r="AE40" s="118">
        <f t="shared" si="21"/>
        <v>0.6256799999999999</v>
      </c>
    </row>
    <row r="41" spans="1:31" ht="16" customHeight="1">
      <c r="A41" s="408" t="s">
        <v>228</v>
      </c>
      <c r="B41" s="105">
        <v>0</v>
      </c>
      <c r="C41" s="101">
        <f t="shared" ref="C41:K50" si="22">(0.17+0.34+$B41)*$A$128*C$40</f>
        <v>0</v>
      </c>
      <c r="D41" s="101">
        <f t="shared" si="22"/>
        <v>0.44880000000000003</v>
      </c>
      <c r="E41" s="101">
        <f t="shared" si="22"/>
        <v>0.89760000000000006</v>
      </c>
      <c r="F41" s="101">
        <f t="shared" si="22"/>
        <v>1.3464</v>
      </c>
      <c r="G41" s="101">
        <f t="shared" si="22"/>
        <v>1.7952000000000001</v>
      </c>
      <c r="H41" s="101">
        <f t="shared" si="22"/>
        <v>2.2440000000000002</v>
      </c>
      <c r="I41" s="101">
        <f t="shared" si="22"/>
        <v>2.6928000000000001</v>
      </c>
      <c r="J41" s="101">
        <f t="shared" si="22"/>
        <v>3.1416000000000004</v>
      </c>
      <c r="K41" s="103">
        <f t="shared" si="22"/>
        <v>3.5904000000000003</v>
      </c>
      <c r="M41" s="138">
        <v>1.8888888888888888</v>
      </c>
      <c r="N41" s="113">
        <f t="shared" si="18"/>
        <v>5.9688888888888894</v>
      </c>
      <c r="O41" s="113">
        <f t="shared" si="19"/>
        <v>2.8088888888888892</v>
      </c>
      <c r="P41" s="118">
        <f t="shared" si="20"/>
        <v>2.4718222222222224</v>
      </c>
      <c r="Q41" s="93"/>
      <c r="T41" s="126">
        <f t="shared" ref="T41:T49" si="23">M41</f>
        <v>1.8888888888888888</v>
      </c>
      <c r="U41" s="111">
        <f t="shared" ref="U41:U49" si="24">P41</f>
        <v>2.4718222222222224</v>
      </c>
      <c r="V41" s="113">
        <f t="shared" si="21"/>
        <v>0</v>
      </c>
      <c r="W41" s="113">
        <f t="shared" si="21"/>
        <v>0.12359111111111112</v>
      </c>
      <c r="X41" s="113">
        <f t="shared" si="21"/>
        <v>0.24718222222222225</v>
      </c>
      <c r="Y41" s="113">
        <f t="shared" si="21"/>
        <v>0.37077333333333334</v>
      </c>
      <c r="Z41" s="113">
        <f t="shared" si="21"/>
        <v>0.4943644444444445</v>
      </c>
      <c r="AA41" s="113">
        <f t="shared" si="21"/>
        <v>0.61795555555555559</v>
      </c>
      <c r="AB41" s="113">
        <f t="shared" si="21"/>
        <v>0.74154666666666669</v>
      </c>
      <c r="AC41" s="113">
        <f t="shared" si="21"/>
        <v>0.86513777777777778</v>
      </c>
      <c r="AD41" s="113">
        <f t="shared" si="21"/>
        <v>0.98872888888888899</v>
      </c>
      <c r="AE41" s="118">
        <f t="shared" si="21"/>
        <v>1.1123200000000002</v>
      </c>
    </row>
    <row r="42" spans="1:31">
      <c r="A42" s="408"/>
      <c r="B42" s="109">
        <v>0.1</v>
      </c>
      <c r="C42" s="101">
        <f t="shared" si="22"/>
        <v>0</v>
      </c>
      <c r="D42" s="101">
        <f t="shared" si="22"/>
        <v>0.53679999999999994</v>
      </c>
      <c r="E42" s="101">
        <f t="shared" si="22"/>
        <v>1.0735999999999999</v>
      </c>
      <c r="F42" s="101">
        <f t="shared" si="22"/>
        <v>1.6103999999999998</v>
      </c>
      <c r="G42" s="101">
        <f t="shared" si="22"/>
        <v>2.1471999999999998</v>
      </c>
      <c r="H42" s="101">
        <f t="shared" si="22"/>
        <v>2.6839999999999997</v>
      </c>
      <c r="I42" s="101">
        <f t="shared" si="22"/>
        <v>3.2207999999999997</v>
      </c>
      <c r="J42" s="101">
        <f t="shared" si="22"/>
        <v>3.7575999999999996</v>
      </c>
      <c r="K42" s="103">
        <f t="shared" si="22"/>
        <v>4.2943999999999996</v>
      </c>
      <c r="M42" s="138">
        <v>2.2777777777777777</v>
      </c>
      <c r="N42" s="113">
        <f t="shared" si="18"/>
        <v>7.1977777777777776</v>
      </c>
      <c r="O42" s="113">
        <f t="shared" si="19"/>
        <v>4.0377777777777775</v>
      </c>
      <c r="P42" s="118">
        <f t="shared" si="20"/>
        <v>3.5532444444444438</v>
      </c>
      <c r="Q42" s="93"/>
      <c r="T42" s="126">
        <f t="shared" si="23"/>
        <v>2.2777777777777777</v>
      </c>
      <c r="U42" s="111">
        <f t="shared" si="24"/>
        <v>3.5532444444444438</v>
      </c>
      <c r="V42" s="113">
        <f t="shared" si="21"/>
        <v>0</v>
      </c>
      <c r="W42" s="113">
        <f t="shared" si="21"/>
        <v>0.17766222222222219</v>
      </c>
      <c r="X42" s="113">
        <f t="shared" si="21"/>
        <v>0.35532444444444439</v>
      </c>
      <c r="Y42" s="113">
        <f t="shared" si="21"/>
        <v>0.5329866666666665</v>
      </c>
      <c r="Z42" s="113">
        <f t="shared" si="21"/>
        <v>0.71064888888888877</v>
      </c>
      <c r="AA42" s="113">
        <f t="shared" si="21"/>
        <v>0.88831111111111094</v>
      </c>
      <c r="AB42" s="113">
        <f t="shared" si="21"/>
        <v>1.065973333333333</v>
      </c>
      <c r="AC42" s="113">
        <f t="shared" si="21"/>
        <v>1.2436355555555552</v>
      </c>
      <c r="AD42" s="113">
        <f t="shared" si="21"/>
        <v>1.4212977777777775</v>
      </c>
      <c r="AE42" s="118">
        <f t="shared" si="21"/>
        <v>1.5989599999999997</v>
      </c>
    </row>
    <row r="43" spans="1:31">
      <c r="A43" s="408"/>
      <c r="B43" s="105">
        <v>0.2</v>
      </c>
      <c r="C43" s="101">
        <f t="shared" si="22"/>
        <v>0</v>
      </c>
      <c r="D43" s="101">
        <f t="shared" si="22"/>
        <v>0.62480000000000002</v>
      </c>
      <c r="E43" s="101">
        <f t="shared" si="22"/>
        <v>1.2496</v>
      </c>
      <c r="F43" s="101">
        <f t="shared" si="22"/>
        <v>1.8744000000000001</v>
      </c>
      <c r="G43" s="101">
        <f t="shared" si="22"/>
        <v>2.4992000000000001</v>
      </c>
      <c r="H43" s="101">
        <f t="shared" si="22"/>
        <v>3.1240000000000001</v>
      </c>
      <c r="I43" s="101">
        <f t="shared" si="22"/>
        <v>3.7488000000000001</v>
      </c>
      <c r="J43" s="101">
        <f t="shared" si="22"/>
        <v>4.3735999999999997</v>
      </c>
      <c r="K43" s="103">
        <f t="shared" si="22"/>
        <v>4.9984000000000002</v>
      </c>
      <c r="M43" s="138">
        <v>2.6666666666666665</v>
      </c>
      <c r="N43" s="113">
        <f t="shared" si="18"/>
        <v>8.4266666666666659</v>
      </c>
      <c r="O43" s="113">
        <f t="shared" si="19"/>
        <v>5.2666666666666657</v>
      </c>
      <c r="P43" s="118">
        <f t="shared" si="20"/>
        <v>4.6346666666666652</v>
      </c>
      <c r="Q43" s="93"/>
      <c r="T43" s="126">
        <f t="shared" si="23"/>
        <v>2.6666666666666665</v>
      </c>
      <c r="U43" s="111">
        <f t="shared" si="24"/>
        <v>4.6346666666666652</v>
      </c>
      <c r="V43" s="113">
        <f t="shared" si="21"/>
        <v>0</v>
      </c>
      <c r="W43" s="113">
        <f t="shared" si="21"/>
        <v>0.23173333333333326</v>
      </c>
      <c r="X43" s="113">
        <f t="shared" si="21"/>
        <v>0.46346666666666653</v>
      </c>
      <c r="Y43" s="113">
        <f t="shared" si="21"/>
        <v>0.69519999999999971</v>
      </c>
      <c r="Z43" s="113">
        <f t="shared" si="21"/>
        <v>0.92693333333333305</v>
      </c>
      <c r="AA43" s="113">
        <f t="shared" si="21"/>
        <v>1.1586666666666663</v>
      </c>
      <c r="AB43" s="113">
        <f t="shared" si="21"/>
        <v>1.3903999999999994</v>
      </c>
      <c r="AC43" s="113">
        <f t="shared" si="21"/>
        <v>1.6221333333333328</v>
      </c>
      <c r="AD43" s="113">
        <f t="shared" si="21"/>
        <v>1.8538666666666661</v>
      </c>
      <c r="AE43" s="118">
        <f t="shared" si="21"/>
        <v>2.0855999999999995</v>
      </c>
    </row>
    <row r="44" spans="1:31">
      <c r="A44" s="408"/>
      <c r="B44" s="105">
        <v>0.3</v>
      </c>
      <c r="C44" s="101">
        <f t="shared" si="22"/>
        <v>0</v>
      </c>
      <c r="D44" s="101">
        <f t="shared" si="22"/>
        <v>0.7128000000000001</v>
      </c>
      <c r="E44" s="101">
        <f t="shared" si="22"/>
        <v>1.4256000000000002</v>
      </c>
      <c r="F44" s="101">
        <f t="shared" si="22"/>
        <v>2.1384000000000003</v>
      </c>
      <c r="G44" s="101">
        <f t="shared" si="22"/>
        <v>2.8512000000000004</v>
      </c>
      <c r="H44" s="101">
        <f t="shared" si="22"/>
        <v>3.5640000000000005</v>
      </c>
      <c r="I44" s="101">
        <f t="shared" si="22"/>
        <v>4.2768000000000006</v>
      </c>
      <c r="J44" s="101">
        <f t="shared" si="22"/>
        <v>4.9896000000000011</v>
      </c>
      <c r="K44" s="103">
        <f t="shared" si="22"/>
        <v>5.7024000000000008</v>
      </c>
      <c r="M44" s="138">
        <v>3.0555555555555554</v>
      </c>
      <c r="N44" s="113">
        <f t="shared" si="18"/>
        <v>9.655555555555555</v>
      </c>
      <c r="O44" s="113">
        <f t="shared" si="19"/>
        <v>6.4955555555555549</v>
      </c>
      <c r="P44" s="118">
        <f t="shared" si="20"/>
        <v>5.7160888888888879</v>
      </c>
      <c r="Q44" s="93"/>
      <c r="T44" s="126">
        <f t="shared" si="23"/>
        <v>3.0555555555555554</v>
      </c>
      <c r="U44" s="111">
        <f t="shared" si="24"/>
        <v>5.7160888888888879</v>
      </c>
      <c r="V44" s="113">
        <f t="shared" si="21"/>
        <v>0</v>
      </c>
      <c r="W44" s="113">
        <f t="shared" si="21"/>
        <v>0.28580444444444442</v>
      </c>
      <c r="X44" s="113">
        <f t="shared" si="21"/>
        <v>0.57160888888888883</v>
      </c>
      <c r="Y44" s="113">
        <f t="shared" si="21"/>
        <v>0.85741333333333314</v>
      </c>
      <c r="Z44" s="113">
        <f t="shared" si="21"/>
        <v>1.1432177777777777</v>
      </c>
      <c r="AA44" s="113">
        <f t="shared" si="21"/>
        <v>1.429022222222222</v>
      </c>
      <c r="AB44" s="113">
        <f t="shared" si="21"/>
        <v>1.7148266666666663</v>
      </c>
      <c r="AC44" s="113">
        <f t="shared" si="21"/>
        <v>2.0006311111111108</v>
      </c>
      <c r="AD44" s="113">
        <f t="shared" si="21"/>
        <v>2.2864355555555553</v>
      </c>
      <c r="AE44" s="118">
        <f t="shared" si="21"/>
        <v>2.5722399999999994</v>
      </c>
    </row>
    <row r="45" spans="1:31">
      <c r="A45" s="408"/>
      <c r="B45" s="105">
        <v>0.4</v>
      </c>
      <c r="C45" s="101">
        <f t="shared" si="22"/>
        <v>0</v>
      </c>
      <c r="D45" s="101">
        <f t="shared" si="22"/>
        <v>0.80080000000000007</v>
      </c>
      <c r="E45" s="101">
        <f t="shared" si="22"/>
        <v>1.6016000000000001</v>
      </c>
      <c r="F45" s="101">
        <f t="shared" si="22"/>
        <v>2.4024000000000001</v>
      </c>
      <c r="G45" s="101">
        <f t="shared" si="22"/>
        <v>3.2032000000000003</v>
      </c>
      <c r="H45" s="101">
        <f t="shared" si="22"/>
        <v>4.0040000000000004</v>
      </c>
      <c r="I45" s="101">
        <f t="shared" si="22"/>
        <v>4.8048000000000002</v>
      </c>
      <c r="J45" s="101">
        <f t="shared" si="22"/>
        <v>5.6056000000000008</v>
      </c>
      <c r="K45" s="103">
        <f t="shared" si="22"/>
        <v>6.4064000000000005</v>
      </c>
      <c r="M45" s="138">
        <v>3.4444444444444442</v>
      </c>
      <c r="N45" s="113">
        <f t="shared" si="18"/>
        <v>10.884444444444444</v>
      </c>
      <c r="O45" s="113">
        <f t="shared" si="19"/>
        <v>7.724444444444444</v>
      </c>
      <c r="P45" s="118">
        <f t="shared" si="20"/>
        <v>6.7975111111111097</v>
      </c>
      <c r="Q45" s="93"/>
      <c r="T45" s="126">
        <f t="shared" si="23"/>
        <v>3.4444444444444442</v>
      </c>
      <c r="U45" s="111">
        <f t="shared" si="24"/>
        <v>6.7975111111111097</v>
      </c>
      <c r="V45" s="113">
        <f t="shared" si="21"/>
        <v>0</v>
      </c>
      <c r="W45" s="113">
        <f t="shared" si="21"/>
        <v>0.33987555555555549</v>
      </c>
      <c r="X45" s="113">
        <f t="shared" si="21"/>
        <v>0.67975111111111097</v>
      </c>
      <c r="Y45" s="113">
        <f t="shared" si="21"/>
        <v>1.0196266666666665</v>
      </c>
      <c r="Z45" s="113">
        <f t="shared" si="21"/>
        <v>1.3595022222222219</v>
      </c>
      <c r="AA45" s="113">
        <f t="shared" si="21"/>
        <v>1.6993777777777774</v>
      </c>
      <c r="AB45" s="113">
        <f t="shared" si="21"/>
        <v>2.0392533333333329</v>
      </c>
      <c r="AC45" s="113">
        <f t="shared" si="21"/>
        <v>2.3791288888888884</v>
      </c>
      <c r="AD45" s="113">
        <f t="shared" si="21"/>
        <v>2.7190044444444439</v>
      </c>
      <c r="AE45" s="118">
        <f t="shared" si="21"/>
        <v>3.0588799999999994</v>
      </c>
    </row>
    <row r="46" spans="1:31">
      <c r="A46" s="408"/>
      <c r="B46" s="105">
        <v>0.5</v>
      </c>
      <c r="C46" s="101">
        <f t="shared" si="22"/>
        <v>0</v>
      </c>
      <c r="D46" s="101">
        <f t="shared" si="22"/>
        <v>0.88880000000000003</v>
      </c>
      <c r="E46" s="101">
        <f t="shared" si="22"/>
        <v>1.7776000000000001</v>
      </c>
      <c r="F46" s="101">
        <f t="shared" si="22"/>
        <v>2.6664000000000003</v>
      </c>
      <c r="G46" s="101">
        <f t="shared" si="22"/>
        <v>3.5552000000000001</v>
      </c>
      <c r="H46" s="101">
        <f t="shared" si="22"/>
        <v>4.444</v>
      </c>
      <c r="I46" s="101">
        <f t="shared" si="22"/>
        <v>5.3328000000000007</v>
      </c>
      <c r="J46" s="101">
        <f t="shared" si="22"/>
        <v>6.2216000000000005</v>
      </c>
      <c r="K46" s="103">
        <f t="shared" si="22"/>
        <v>7.1104000000000003</v>
      </c>
      <c r="M46" s="138">
        <v>3.833333333333333</v>
      </c>
      <c r="N46" s="113">
        <f t="shared" si="18"/>
        <v>12.113333333333333</v>
      </c>
      <c r="O46" s="113">
        <f t="shared" si="19"/>
        <v>8.9533333333333331</v>
      </c>
      <c r="P46" s="118">
        <f t="shared" si="20"/>
        <v>7.8789333333333325</v>
      </c>
      <c r="Q46" s="93"/>
      <c r="T46" s="126">
        <f t="shared" si="23"/>
        <v>3.833333333333333</v>
      </c>
      <c r="U46" s="111">
        <f t="shared" si="24"/>
        <v>7.8789333333333325</v>
      </c>
      <c r="V46" s="113">
        <f t="shared" si="21"/>
        <v>0</v>
      </c>
      <c r="W46" s="113">
        <f t="shared" si="21"/>
        <v>0.39394666666666667</v>
      </c>
      <c r="X46" s="113">
        <f t="shared" si="21"/>
        <v>0.78789333333333333</v>
      </c>
      <c r="Y46" s="113">
        <f t="shared" si="21"/>
        <v>1.1818399999999998</v>
      </c>
      <c r="Z46" s="113">
        <f t="shared" si="21"/>
        <v>1.5757866666666667</v>
      </c>
      <c r="AA46" s="113">
        <f t="shared" si="21"/>
        <v>1.9697333333333331</v>
      </c>
      <c r="AB46" s="113">
        <f t="shared" si="21"/>
        <v>2.3636799999999996</v>
      </c>
      <c r="AC46" s="113">
        <f t="shared" si="21"/>
        <v>2.757626666666666</v>
      </c>
      <c r="AD46" s="113">
        <f t="shared" si="21"/>
        <v>3.1515733333333333</v>
      </c>
      <c r="AE46" s="118">
        <f t="shared" si="21"/>
        <v>3.5455199999999998</v>
      </c>
    </row>
    <row r="47" spans="1:31">
      <c r="A47" s="408"/>
      <c r="B47" s="105">
        <v>0.6</v>
      </c>
      <c r="C47" s="101">
        <f t="shared" si="22"/>
        <v>0</v>
      </c>
      <c r="D47" s="101">
        <f t="shared" si="22"/>
        <v>0.97679999999999989</v>
      </c>
      <c r="E47" s="101">
        <f t="shared" si="22"/>
        <v>1.9535999999999998</v>
      </c>
      <c r="F47" s="101">
        <f t="shared" si="22"/>
        <v>2.9303999999999997</v>
      </c>
      <c r="G47" s="101">
        <f t="shared" si="22"/>
        <v>3.9071999999999996</v>
      </c>
      <c r="H47" s="101">
        <f t="shared" si="22"/>
        <v>4.8839999999999995</v>
      </c>
      <c r="I47" s="101">
        <f t="shared" si="22"/>
        <v>5.8607999999999993</v>
      </c>
      <c r="J47" s="101">
        <f t="shared" si="22"/>
        <v>6.8375999999999992</v>
      </c>
      <c r="K47" s="103">
        <f t="shared" si="22"/>
        <v>7.8143999999999991</v>
      </c>
      <c r="M47" s="138">
        <v>4.2222222222222223</v>
      </c>
      <c r="N47" s="113">
        <f t="shared" si="18"/>
        <v>13.342222222222222</v>
      </c>
      <c r="O47" s="113">
        <f t="shared" si="19"/>
        <v>10.182222222222222</v>
      </c>
      <c r="P47" s="118">
        <f t="shared" si="20"/>
        <v>8.9603555555555552</v>
      </c>
      <c r="Q47" s="93"/>
      <c r="T47" s="126">
        <f t="shared" si="23"/>
        <v>4.2222222222222223</v>
      </c>
      <c r="U47" s="111">
        <f t="shared" si="24"/>
        <v>8.9603555555555552</v>
      </c>
      <c r="V47" s="113">
        <f t="shared" si="21"/>
        <v>0</v>
      </c>
      <c r="W47" s="113">
        <f t="shared" si="21"/>
        <v>0.44801777777777779</v>
      </c>
      <c r="X47" s="113">
        <f t="shared" si="21"/>
        <v>0.89603555555555559</v>
      </c>
      <c r="Y47" s="113">
        <f t="shared" si="21"/>
        <v>1.3440533333333333</v>
      </c>
      <c r="Z47" s="113">
        <f t="shared" si="21"/>
        <v>1.7920711111111112</v>
      </c>
      <c r="AA47" s="113">
        <f t="shared" si="21"/>
        <v>2.2400888888888888</v>
      </c>
      <c r="AB47" s="113">
        <f t="shared" si="21"/>
        <v>2.6881066666666666</v>
      </c>
      <c r="AC47" s="113">
        <f t="shared" si="21"/>
        <v>3.136124444444444</v>
      </c>
      <c r="AD47" s="113">
        <f t="shared" si="21"/>
        <v>3.5841422222222223</v>
      </c>
      <c r="AE47" s="118">
        <f t="shared" si="21"/>
        <v>4.0321600000000002</v>
      </c>
    </row>
    <row r="48" spans="1:31">
      <c r="A48" s="408"/>
      <c r="B48" s="105">
        <v>0.7</v>
      </c>
      <c r="C48" s="101">
        <f t="shared" si="22"/>
        <v>0</v>
      </c>
      <c r="D48" s="101">
        <f t="shared" si="22"/>
        <v>1.0648</v>
      </c>
      <c r="E48" s="101">
        <f t="shared" si="22"/>
        <v>2.1295999999999999</v>
      </c>
      <c r="F48" s="101">
        <f t="shared" si="22"/>
        <v>3.1943999999999999</v>
      </c>
      <c r="G48" s="101">
        <f t="shared" si="22"/>
        <v>4.2591999999999999</v>
      </c>
      <c r="H48" s="101">
        <f t="shared" si="22"/>
        <v>5.3239999999999998</v>
      </c>
      <c r="I48" s="101">
        <f t="shared" si="22"/>
        <v>6.3887999999999998</v>
      </c>
      <c r="J48" s="101">
        <f t="shared" si="22"/>
        <v>7.4535999999999998</v>
      </c>
      <c r="K48" s="103">
        <f t="shared" si="22"/>
        <v>8.5183999999999997</v>
      </c>
      <c r="M48" s="138">
        <v>4.6111111111111116</v>
      </c>
      <c r="N48" s="113">
        <f t="shared" si="18"/>
        <v>14.571111111111113</v>
      </c>
      <c r="O48" s="113">
        <f t="shared" si="19"/>
        <v>11.411111111111113</v>
      </c>
      <c r="P48" s="118">
        <f t="shared" si="20"/>
        <v>10.041777777777778</v>
      </c>
      <c r="Q48" s="93"/>
      <c r="T48" s="126">
        <f t="shared" si="23"/>
        <v>4.6111111111111116</v>
      </c>
      <c r="U48" s="111">
        <f t="shared" si="24"/>
        <v>10.041777777777778</v>
      </c>
      <c r="V48" s="113">
        <f t="shared" si="21"/>
        <v>0</v>
      </c>
      <c r="W48" s="113">
        <f t="shared" si="21"/>
        <v>0.50208888888888892</v>
      </c>
      <c r="X48" s="113">
        <f t="shared" si="21"/>
        <v>1.0041777777777778</v>
      </c>
      <c r="Y48" s="113">
        <f t="shared" si="21"/>
        <v>1.5062666666666666</v>
      </c>
      <c r="Z48" s="113">
        <f t="shared" si="21"/>
        <v>2.0083555555555557</v>
      </c>
      <c r="AA48" s="113">
        <f t="shared" si="21"/>
        <v>2.5104444444444445</v>
      </c>
      <c r="AB48" s="113">
        <f t="shared" si="21"/>
        <v>3.0125333333333333</v>
      </c>
      <c r="AC48" s="113">
        <f t="shared" si="21"/>
        <v>3.5146222222222221</v>
      </c>
      <c r="AD48" s="113">
        <f t="shared" si="21"/>
        <v>4.0167111111111113</v>
      </c>
      <c r="AE48" s="118">
        <f t="shared" si="21"/>
        <v>4.5188000000000006</v>
      </c>
    </row>
    <row r="49" spans="1:31" ht="17" thickBot="1">
      <c r="A49" s="408"/>
      <c r="B49" s="105">
        <v>0.8</v>
      </c>
      <c r="C49" s="101">
        <f t="shared" si="22"/>
        <v>0</v>
      </c>
      <c r="D49" s="101">
        <f t="shared" si="22"/>
        <v>1.1528</v>
      </c>
      <c r="E49" s="101">
        <f t="shared" si="22"/>
        <v>2.3056000000000001</v>
      </c>
      <c r="F49" s="101">
        <f t="shared" si="22"/>
        <v>3.4584000000000001</v>
      </c>
      <c r="G49" s="101">
        <f t="shared" si="22"/>
        <v>4.6112000000000002</v>
      </c>
      <c r="H49" s="101">
        <f t="shared" si="22"/>
        <v>5.7640000000000002</v>
      </c>
      <c r="I49" s="101">
        <f t="shared" si="22"/>
        <v>6.9168000000000003</v>
      </c>
      <c r="J49" s="101">
        <f t="shared" si="22"/>
        <v>8.0696000000000012</v>
      </c>
      <c r="K49" s="103">
        <f t="shared" si="22"/>
        <v>9.2224000000000004</v>
      </c>
      <c r="M49" s="139">
        <v>5</v>
      </c>
      <c r="N49" s="121">
        <f t="shared" si="18"/>
        <v>15.8</v>
      </c>
      <c r="O49" s="121">
        <f t="shared" si="19"/>
        <v>12.64</v>
      </c>
      <c r="P49" s="119">
        <f t="shared" si="20"/>
        <v>11.123199999999999</v>
      </c>
      <c r="Q49" s="93"/>
      <c r="T49" s="127">
        <f t="shared" si="23"/>
        <v>5</v>
      </c>
      <c r="U49" s="123">
        <f t="shared" si="24"/>
        <v>11.123199999999999</v>
      </c>
      <c r="V49" s="121">
        <f t="shared" si="21"/>
        <v>0</v>
      </c>
      <c r="W49" s="121">
        <f t="shared" si="21"/>
        <v>0.55615999999999999</v>
      </c>
      <c r="X49" s="121">
        <f t="shared" si="21"/>
        <v>1.11232</v>
      </c>
      <c r="Y49" s="121">
        <f t="shared" si="21"/>
        <v>1.6684799999999997</v>
      </c>
      <c r="Z49" s="121">
        <f t="shared" si="21"/>
        <v>2.22464</v>
      </c>
      <c r="AA49" s="121">
        <f t="shared" si="21"/>
        <v>2.7807999999999997</v>
      </c>
      <c r="AB49" s="121">
        <f t="shared" si="21"/>
        <v>3.3369599999999995</v>
      </c>
      <c r="AC49" s="121">
        <f t="shared" si="21"/>
        <v>3.8931199999999992</v>
      </c>
      <c r="AD49" s="121">
        <f t="shared" si="21"/>
        <v>4.4492799999999999</v>
      </c>
      <c r="AE49" s="119">
        <f t="shared" si="21"/>
        <v>5.0054399999999992</v>
      </c>
    </row>
    <row r="50" spans="1:31" ht="17" thickBot="1">
      <c r="A50" s="409"/>
      <c r="B50" s="96">
        <v>0.9</v>
      </c>
      <c r="C50" s="98">
        <f t="shared" si="22"/>
        <v>0</v>
      </c>
      <c r="D50" s="98">
        <f t="shared" si="22"/>
        <v>1.2408000000000001</v>
      </c>
      <c r="E50" s="98">
        <f t="shared" si="22"/>
        <v>2.4816000000000003</v>
      </c>
      <c r="F50" s="98">
        <f t="shared" si="22"/>
        <v>3.7224000000000004</v>
      </c>
      <c r="G50" s="98">
        <f t="shared" si="22"/>
        <v>4.9632000000000005</v>
      </c>
      <c r="H50" s="98">
        <f t="shared" si="22"/>
        <v>6.2040000000000006</v>
      </c>
      <c r="I50" s="98">
        <f t="shared" si="22"/>
        <v>7.4448000000000008</v>
      </c>
      <c r="J50" s="98">
        <f t="shared" si="22"/>
        <v>8.6856000000000009</v>
      </c>
      <c r="K50" s="104">
        <f t="shared" si="22"/>
        <v>9.926400000000001</v>
      </c>
      <c r="M50" s="93"/>
      <c r="N50" s="93"/>
      <c r="O50" s="93"/>
      <c r="P50" s="93"/>
      <c r="Q50" s="93"/>
    </row>
    <row r="51" spans="1:31">
      <c r="A51" s="134"/>
      <c r="B51" s="68"/>
      <c r="C51" s="132" t="s">
        <v>229</v>
      </c>
      <c r="D51" s="68"/>
      <c r="E51" s="68"/>
      <c r="F51" s="68"/>
      <c r="G51" s="68"/>
      <c r="H51" s="68"/>
      <c r="I51" s="68"/>
      <c r="J51" s="68"/>
      <c r="K51" s="68"/>
      <c r="L51" s="68"/>
      <c r="N51" s="93"/>
      <c r="O51" s="93"/>
      <c r="P51" s="93"/>
      <c r="Q51" s="93"/>
      <c r="R51" s="93"/>
    </row>
    <row r="52" spans="1:31">
      <c r="A52" s="134"/>
      <c r="B52" s="68"/>
      <c r="C52" s="132"/>
      <c r="D52" s="68"/>
      <c r="E52" s="68"/>
      <c r="F52" s="68"/>
      <c r="G52" s="68"/>
      <c r="H52" s="68"/>
      <c r="I52" s="68"/>
      <c r="J52" s="68"/>
      <c r="K52" s="68"/>
      <c r="L52" s="68"/>
      <c r="N52" s="93"/>
      <c r="O52" s="93"/>
      <c r="P52" s="93"/>
      <c r="Q52" s="93"/>
      <c r="R52" s="93"/>
    </row>
    <row r="53" spans="1:31">
      <c r="A53" s="134"/>
      <c r="B53" s="68"/>
      <c r="C53" s="132"/>
      <c r="D53" s="68"/>
      <c r="E53" s="68"/>
      <c r="F53" s="68"/>
      <c r="G53" s="68"/>
      <c r="H53" s="68"/>
      <c r="I53" s="68"/>
      <c r="J53" s="68"/>
      <c r="K53" s="68"/>
      <c r="L53" s="68"/>
      <c r="N53" s="93"/>
      <c r="O53" s="93"/>
      <c r="P53" s="93"/>
      <c r="Q53" s="93"/>
      <c r="R53" s="93"/>
    </row>
    <row r="54" spans="1:31" ht="20" thickBot="1">
      <c r="A54" s="332" t="s">
        <v>438</v>
      </c>
      <c r="B54" s="332"/>
      <c r="C54" s="332"/>
      <c r="D54" s="332"/>
      <c r="E54" s="332"/>
      <c r="F54" s="332"/>
      <c r="G54" s="332"/>
      <c r="H54" s="332"/>
      <c r="I54" s="332"/>
      <c r="J54" s="332"/>
      <c r="K54" s="68"/>
      <c r="L54" s="68"/>
      <c r="N54" s="400" t="s">
        <v>215</v>
      </c>
      <c r="O54" s="400"/>
      <c r="P54" s="114" t="s">
        <v>216</v>
      </c>
      <c r="R54" s="93"/>
    </row>
    <row r="55" spans="1:31" ht="17" thickBot="1">
      <c r="A55" s="410" t="s">
        <v>224</v>
      </c>
      <c r="B55" s="410"/>
      <c r="C55" s="410"/>
      <c r="D55" s="410"/>
      <c r="E55" s="410"/>
      <c r="F55" s="410"/>
      <c r="G55" s="410"/>
      <c r="H55" s="410"/>
      <c r="I55" s="410"/>
      <c r="J55" s="410"/>
      <c r="K55" s="68"/>
      <c r="L55" s="68"/>
      <c r="M55" s="115" t="s">
        <v>217</v>
      </c>
      <c r="N55" s="116" t="s">
        <v>218</v>
      </c>
      <c r="O55" s="116" t="s">
        <v>219</v>
      </c>
      <c r="P55" s="117" t="s">
        <v>219</v>
      </c>
      <c r="R55" s="93"/>
    </row>
    <row r="56" spans="1:31" ht="17" thickBot="1">
      <c r="A56" s="140"/>
      <c r="B56" s="305"/>
      <c r="C56" s="411" t="s">
        <v>227</v>
      </c>
      <c r="D56" s="411"/>
      <c r="E56" s="411"/>
      <c r="F56" s="411"/>
      <c r="G56" s="411"/>
      <c r="H56" s="411"/>
      <c r="I56" s="411"/>
      <c r="J56" s="412"/>
      <c r="K56" s="68"/>
      <c r="L56" s="68"/>
      <c r="M56" s="44">
        <v>1.7</v>
      </c>
      <c r="N56" s="45">
        <f>$A$132*M56</f>
        <v>5.3719999999999999</v>
      </c>
      <c r="O56" s="45">
        <f>N56-$A$132</f>
        <v>2.2119999999999997</v>
      </c>
      <c r="P56" s="119">
        <f>O56/$A$129</f>
        <v>1.9465599999999996</v>
      </c>
      <c r="Q56" t="s">
        <v>437</v>
      </c>
      <c r="R56" s="93"/>
    </row>
    <row r="57" spans="1:31">
      <c r="A57" s="106"/>
      <c r="B57" s="306"/>
      <c r="C57" s="36">
        <v>0</v>
      </c>
      <c r="D57" s="36">
        <v>1</v>
      </c>
      <c r="E57" s="36">
        <v>2</v>
      </c>
      <c r="F57" s="36">
        <v>3</v>
      </c>
      <c r="G57" s="36">
        <v>4</v>
      </c>
      <c r="H57" s="36">
        <v>5</v>
      </c>
      <c r="I57" s="36">
        <v>6</v>
      </c>
      <c r="J57" s="108">
        <v>7</v>
      </c>
      <c r="K57" s="68"/>
      <c r="L57" s="68"/>
      <c r="M57" s="68"/>
      <c r="R57" s="93"/>
    </row>
    <row r="58" spans="1:31">
      <c r="A58" s="408" t="s">
        <v>228</v>
      </c>
      <c r="B58" s="105">
        <v>0</v>
      </c>
      <c r="C58" s="101">
        <f>C41+$P$59</f>
        <v>0.68129599999999979</v>
      </c>
      <c r="D58" s="101">
        <f t="shared" ref="D58:J58" si="25">D41+$P$59</f>
        <v>1.1300959999999998</v>
      </c>
      <c r="E58" s="101">
        <f t="shared" si="25"/>
        <v>1.5788959999999999</v>
      </c>
      <c r="F58" s="101">
        <f t="shared" si="25"/>
        <v>2.0276959999999997</v>
      </c>
      <c r="G58" s="101">
        <f t="shared" si="25"/>
        <v>2.476496</v>
      </c>
      <c r="H58" s="101">
        <f t="shared" si="25"/>
        <v>2.9252959999999999</v>
      </c>
      <c r="I58" s="101">
        <f t="shared" si="25"/>
        <v>3.3740959999999998</v>
      </c>
      <c r="J58" s="103">
        <f t="shared" si="25"/>
        <v>3.8228960000000001</v>
      </c>
      <c r="K58" s="68"/>
      <c r="L58" s="68"/>
      <c r="M58" t="s">
        <v>434</v>
      </c>
      <c r="O58" s="303" t="s">
        <v>64</v>
      </c>
      <c r="P58">
        <v>350</v>
      </c>
      <c r="Q58" t="s">
        <v>435</v>
      </c>
      <c r="R58" s="93"/>
    </row>
    <row r="59" spans="1:31">
      <c r="A59" s="408"/>
      <c r="B59" s="109">
        <v>0.1</v>
      </c>
      <c r="C59" s="101">
        <f t="shared" ref="C59:J67" si="26">C42+$P$59</f>
        <v>0.68129599999999979</v>
      </c>
      <c r="D59" s="101">
        <f t="shared" si="26"/>
        <v>1.2180959999999996</v>
      </c>
      <c r="E59" s="101">
        <f t="shared" si="26"/>
        <v>1.7548959999999996</v>
      </c>
      <c r="F59" s="101">
        <f t="shared" si="26"/>
        <v>2.2916959999999995</v>
      </c>
      <c r="G59" s="101">
        <f t="shared" si="26"/>
        <v>2.8284959999999995</v>
      </c>
      <c r="H59" s="101">
        <f t="shared" si="26"/>
        <v>3.3652959999999994</v>
      </c>
      <c r="I59" s="101">
        <f t="shared" si="26"/>
        <v>3.9020959999999993</v>
      </c>
      <c r="J59" s="103">
        <f t="shared" si="26"/>
        <v>4.4388959999999997</v>
      </c>
      <c r="K59" s="68"/>
      <c r="L59" s="68"/>
      <c r="M59" s="68" t="s">
        <v>433</v>
      </c>
      <c r="O59" s="303" t="s">
        <v>64</v>
      </c>
      <c r="P59" s="30">
        <f>P56*(P58/1000)</f>
        <v>0.68129599999999979</v>
      </c>
      <c r="R59" s="93"/>
    </row>
    <row r="60" spans="1:31">
      <c r="A60" s="408"/>
      <c r="B60" s="105">
        <v>0.2</v>
      </c>
      <c r="C60" s="101">
        <f t="shared" si="26"/>
        <v>0.68129599999999979</v>
      </c>
      <c r="D60" s="101">
        <f t="shared" si="26"/>
        <v>1.3060959999999997</v>
      </c>
      <c r="E60" s="101">
        <f t="shared" si="26"/>
        <v>1.9308959999999997</v>
      </c>
      <c r="F60" s="101">
        <f t="shared" si="26"/>
        <v>2.5556959999999997</v>
      </c>
      <c r="G60" s="101">
        <f t="shared" si="26"/>
        <v>3.1804959999999998</v>
      </c>
      <c r="H60" s="101">
        <f t="shared" si="26"/>
        <v>3.8052959999999998</v>
      </c>
      <c r="I60" s="101">
        <f t="shared" si="26"/>
        <v>4.4300959999999998</v>
      </c>
      <c r="J60" s="103">
        <f t="shared" si="26"/>
        <v>5.0548959999999994</v>
      </c>
      <c r="K60" s="68"/>
      <c r="L60" s="68"/>
      <c r="N60" s="93"/>
      <c r="O60" s="93"/>
      <c r="P60" s="93"/>
      <c r="Q60" s="93"/>
      <c r="R60" s="93"/>
    </row>
    <row r="61" spans="1:31">
      <c r="A61" s="408"/>
      <c r="B61" s="105">
        <v>0.3</v>
      </c>
      <c r="C61" s="101">
        <f t="shared" si="26"/>
        <v>0.68129599999999979</v>
      </c>
      <c r="D61" s="101">
        <f t="shared" si="26"/>
        <v>1.3940959999999998</v>
      </c>
      <c r="E61" s="101">
        <f t="shared" si="26"/>
        <v>2.1068959999999999</v>
      </c>
      <c r="F61" s="101">
        <f t="shared" si="26"/>
        <v>2.819696</v>
      </c>
      <c r="G61" s="101">
        <f t="shared" si="26"/>
        <v>3.5324960000000001</v>
      </c>
      <c r="H61" s="101">
        <f t="shared" si="26"/>
        <v>4.2452960000000006</v>
      </c>
      <c r="I61" s="101">
        <f t="shared" si="26"/>
        <v>4.9580960000000003</v>
      </c>
      <c r="J61" s="103">
        <f t="shared" si="26"/>
        <v>5.6708960000000008</v>
      </c>
      <c r="K61" s="68"/>
      <c r="L61" s="68"/>
      <c r="N61" s="93"/>
      <c r="O61" s="93"/>
      <c r="P61" s="93"/>
      <c r="Q61" s="93"/>
      <c r="R61" s="93"/>
    </row>
    <row r="62" spans="1:31">
      <c r="A62" s="408"/>
      <c r="B62" s="105">
        <v>0.4</v>
      </c>
      <c r="C62" s="101">
        <f t="shared" si="26"/>
        <v>0.68129599999999979</v>
      </c>
      <c r="D62" s="101">
        <f t="shared" si="26"/>
        <v>1.4820959999999999</v>
      </c>
      <c r="E62" s="101">
        <f t="shared" si="26"/>
        <v>2.282896</v>
      </c>
      <c r="F62" s="101">
        <f t="shared" si="26"/>
        <v>3.0836959999999998</v>
      </c>
      <c r="G62" s="101">
        <f t="shared" si="26"/>
        <v>3.8844959999999999</v>
      </c>
      <c r="H62" s="101">
        <f t="shared" si="26"/>
        <v>4.6852960000000001</v>
      </c>
      <c r="I62" s="101">
        <f t="shared" si="26"/>
        <v>5.4860959999999999</v>
      </c>
      <c r="J62" s="103">
        <f t="shared" si="26"/>
        <v>6.2868960000000005</v>
      </c>
      <c r="K62" s="68"/>
      <c r="L62" s="68"/>
      <c r="N62" s="93"/>
      <c r="O62" s="93"/>
      <c r="P62" s="93"/>
      <c r="Q62" s="93"/>
      <c r="R62" s="93"/>
    </row>
    <row r="63" spans="1:31">
      <c r="A63" s="408"/>
      <c r="B63" s="105">
        <v>0.5</v>
      </c>
      <c r="C63" s="101">
        <f t="shared" si="26"/>
        <v>0.68129599999999979</v>
      </c>
      <c r="D63" s="101">
        <f t="shared" si="26"/>
        <v>1.5700959999999999</v>
      </c>
      <c r="E63" s="101">
        <f t="shared" si="26"/>
        <v>2.4588959999999997</v>
      </c>
      <c r="F63" s="101">
        <f t="shared" si="26"/>
        <v>3.347696</v>
      </c>
      <c r="G63" s="101">
        <f t="shared" si="26"/>
        <v>4.2364959999999998</v>
      </c>
      <c r="H63" s="101">
        <f t="shared" si="26"/>
        <v>5.1252959999999996</v>
      </c>
      <c r="I63" s="101">
        <f t="shared" si="26"/>
        <v>6.0140960000000003</v>
      </c>
      <c r="J63" s="103">
        <f t="shared" si="26"/>
        <v>6.9028960000000001</v>
      </c>
      <c r="K63" s="68"/>
      <c r="L63" s="68"/>
      <c r="N63" s="93"/>
      <c r="O63" s="93"/>
      <c r="P63" s="93"/>
      <c r="Q63" s="93"/>
      <c r="R63" s="93"/>
    </row>
    <row r="64" spans="1:31">
      <c r="A64" s="408"/>
      <c r="B64" s="105">
        <v>0.6</v>
      </c>
      <c r="C64" s="101">
        <f t="shared" si="26"/>
        <v>0.68129599999999979</v>
      </c>
      <c r="D64" s="101">
        <f t="shared" si="26"/>
        <v>1.6580959999999996</v>
      </c>
      <c r="E64" s="101">
        <f t="shared" si="26"/>
        <v>2.6348959999999995</v>
      </c>
      <c r="F64" s="101">
        <f t="shared" si="26"/>
        <v>3.6116959999999994</v>
      </c>
      <c r="G64" s="101">
        <f t="shared" si="26"/>
        <v>4.5884959999999992</v>
      </c>
      <c r="H64" s="101">
        <f t="shared" si="26"/>
        <v>5.5652959999999991</v>
      </c>
      <c r="I64" s="101">
        <f t="shared" si="26"/>
        <v>6.542095999999999</v>
      </c>
      <c r="J64" s="103">
        <f t="shared" si="26"/>
        <v>7.5188959999999989</v>
      </c>
      <c r="K64" s="68"/>
      <c r="L64" s="68"/>
      <c r="N64" s="93"/>
      <c r="O64" s="93"/>
      <c r="P64" s="93"/>
      <c r="Q64" s="93"/>
      <c r="R64" s="93"/>
    </row>
    <row r="65" spans="1:31">
      <c r="A65" s="408"/>
      <c r="B65" s="105">
        <v>0.7</v>
      </c>
      <c r="C65" s="101">
        <f t="shared" si="26"/>
        <v>0.68129599999999979</v>
      </c>
      <c r="D65" s="101">
        <f t="shared" si="26"/>
        <v>1.7460959999999996</v>
      </c>
      <c r="E65" s="101">
        <f t="shared" si="26"/>
        <v>2.8108959999999996</v>
      </c>
      <c r="F65" s="101">
        <f t="shared" si="26"/>
        <v>3.8756959999999996</v>
      </c>
      <c r="G65" s="101">
        <f t="shared" si="26"/>
        <v>4.9404959999999996</v>
      </c>
      <c r="H65" s="101">
        <f t="shared" si="26"/>
        <v>6.0052959999999995</v>
      </c>
      <c r="I65" s="101">
        <f t="shared" si="26"/>
        <v>7.0700959999999995</v>
      </c>
      <c r="J65" s="103">
        <f t="shared" si="26"/>
        <v>8.1348959999999995</v>
      </c>
      <c r="K65" s="68"/>
      <c r="L65" s="68"/>
      <c r="N65" s="93"/>
      <c r="O65" s="93"/>
      <c r="P65" s="93"/>
      <c r="Q65" s="93"/>
      <c r="R65" s="93"/>
    </row>
    <row r="66" spans="1:31">
      <c r="A66" s="408"/>
      <c r="B66" s="105">
        <v>0.8</v>
      </c>
      <c r="C66" s="101">
        <f t="shared" si="26"/>
        <v>0.68129599999999979</v>
      </c>
      <c r="D66" s="101">
        <f t="shared" si="26"/>
        <v>1.8340959999999997</v>
      </c>
      <c r="E66" s="101">
        <f t="shared" si="26"/>
        <v>2.9868959999999998</v>
      </c>
      <c r="F66" s="101">
        <f t="shared" si="26"/>
        <v>4.1396959999999998</v>
      </c>
      <c r="G66" s="101">
        <f t="shared" si="26"/>
        <v>5.2924959999999999</v>
      </c>
      <c r="H66" s="101">
        <f t="shared" si="26"/>
        <v>6.4452959999999999</v>
      </c>
      <c r="I66" s="101">
        <f t="shared" si="26"/>
        <v>7.598096</v>
      </c>
      <c r="J66" s="103">
        <f t="shared" si="26"/>
        <v>8.7508960000000009</v>
      </c>
      <c r="K66" s="68"/>
      <c r="L66" s="68"/>
      <c r="N66" s="93"/>
      <c r="O66" s="93"/>
      <c r="P66" s="93"/>
      <c r="Q66" s="93"/>
      <c r="R66" s="93"/>
    </row>
    <row r="67" spans="1:31" ht="17" thickBot="1">
      <c r="A67" s="409"/>
      <c r="B67" s="96">
        <v>0.9</v>
      </c>
      <c r="C67" s="98">
        <f t="shared" si="26"/>
        <v>0.68129599999999979</v>
      </c>
      <c r="D67" s="98">
        <f t="shared" si="26"/>
        <v>1.9220959999999998</v>
      </c>
      <c r="E67" s="98">
        <f t="shared" si="26"/>
        <v>3.1628959999999999</v>
      </c>
      <c r="F67" s="98">
        <f t="shared" si="26"/>
        <v>4.4036960000000001</v>
      </c>
      <c r="G67" s="98">
        <f t="shared" si="26"/>
        <v>5.6444960000000002</v>
      </c>
      <c r="H67" s="98">
        <f t="shared" si="26"/>
        <v>6.8852960000000003</v>
      </c>
      <c r="I67" s="98">
        <f t="shared" si="26"/>
        <v>8.1260960000000004</v>
      </c>
      <c r="J67" s="104">
        <f>J50+$P$59</f>
        <v>9.3668960000000006</v>
      </c>
      <c r="K67" s="68"/>
      <c r="L67" s="68"/>
      <c r="N67" s="93"/>
      <c r="O67" s="93"/>
      <c r="P67" s="93"/>
      <c r="Q67" s="93"/>
      <c r="R67" s="93"/>
    </row>
    <row r="68" spans="1:31">
      <c r="A68" s="102"/>
      <c r="B68" s="128"/>
      <c r="C68" s="101"/>
      <c r="D68" s="101"/>
      <c r="E68" s="101"/>
      <c r="F68" s="101"/>
      <c r="G68" s="101"/>
      <c r="H68" s="101"/>
      <c r="I68" s="101"/>
      <c r="J68" s="101"/>
      <c r="K68" s="68"/>
      <c r="L68" s="68"/>
      <c r="N68" s="93"/>
      <c r="O68" s="93"/>
      <c r="P68" s="93"/>
      <c r="Q68" s="93"/>
      <c r="R68" s="93"/>
    </row>
    <row r="69" spans="1:31">
      <c r="A69" s="102"/>
      <c r="B69" s="128"/>
      <c r="C69" s="101"/>
      <c r="D69" s="101"/>
      <c r="E69" s="101"/>
      <c r="F69" s="101"/>
      <c r="G69" s="101"/>
      <c r="H69" s="101"/>
      <c r="I69" s="101"/>
      <c r="J69" s="101"/>
      <c r="K69" s="68"/>
      <c r="L69" s="68"/>
      <c r="N69" s="93"/>
      <c r="O69" s="93"/>
      <c r="P69" s="93"/>
      <c r="Q69" s="93"/>
      <c r="R69" s="93"/>
    </row>
    <row r="70" spans="1:31">
      <c r="A70" s="102"/>
      <c r="B70" s="128"/>
      <c r="C70" s="101"/>
      <c r="D70" s="101"/>
      <c r="E70" s="101"/>
      <c r="F70" s="101"/>
      <c r="G70" s="101"/>
      <c r="H70" s="101"/>
      <c r="I70" s="101"/>
      <c r="J70" s="101"/>
      <c r="K70" s="68"/>
      <c r="L70" s="68"/>
      <c r="N70" s="93"/>
      <c r="O70" s="93"/>
      <c r="P70" s="93"/>
      <c r="Q70" s="93"/>
      <c r="R70" s="93"/>
    </row>
    <row r="71" spans="1:31" ht="24">
      <c r="A71" s="401" t="s">
        <v>231</v>
      </c>
      <c r="B71" s="401"/>
      <c r="C71" s="401"/>
      <c r="D71" s="401"/>
      <c r="E71" s="401"/>
      <c r="F71" s="401"/>
      <c r="G71" s="401"/>
      <c r="H71" s="401"/>
      <c r="I71" s="401"/>
      <c r="J71" s="401"/>
      <c r="K71" s="401"/>
      <c r="L71" s="401"/>
      <c r="M71" s="401"/>
      <c r="N71" s="401"/>
      <c r="O71" s="401"/>
      <c r="P71" s="401"/>
      <c r="Q71" s="401"/>
      <c r="R71" s="401"/>
      <c r="S71" s="401"/>
      <c r="T71" s="401"/>
      <c r="U71" s="401"/>
      <c r="V71" s="401"/>
      <c r="W71" s="401"/>
      <c r="X71" s="401"/>
      <c r="Y71" s="401"/>
      <c r="Z71" s="401"/>
      <c r="AA71" s="401"/>
      <c r="AB71" s="401"/>
      <c r="AC71" s="401"/>
      <c r="AD71" s="401"/>
      <c r="AE71" s="401"/>
    </row>
    <row r="72" spans="1:31">
      <c r="A72" s="100" t="s">
        <v>232</v>
      </c>
      <c r="K72" s="68"/>
      <c r="L72" s="68"/>
      <c r="N72" s="93"/>
      <c r="O72" s="93"/>
      <c r="P72" s="93"/>
      <c r="Q72" s="93"/>
      <c r="R72" s="93"/>
    </row>
    <row r="73" spans="1:31">
      <c r="A73" s="100" t="s">
        <v>233</v>
      </c>
      <c r="K73" s="68"/>
      <c r="L73" s="68"/>
      <c r="N73" s="93"/>
      <c r="O73" s="93"/>
      <c r="P73" s="93"/>
      <c r="Q73" s="93"/>
      <c r="R73" s="93"/>
    </row>
    <row r="74" spans="1:31">
      <c r="A74" s="100"/>
      <c r="K74" s="68"/>
      <c r="L74" s="68"/>
      <c r="N74" s="93"/>
      <c r="O74" s="93"/>
      <c r="P74" s="93"/>
      <c r="Q74" s="93"/>
      <c r="R74" s="93"/>
    </row>
    <row r="75" spans="1:31" ht="20" thickBot="1">
      <c r="A75" s="17" t="s">
        <v>222</v>
      </c>
      <c r="K75" s="68"/>
      <c r="L75" s="68"/>
      <c r="N75" s="93"/>
      <c r="O75" s="93"/>
      <c r="P75" s="93"/>
      <c r="Q75" s="93"/>
      <c r="R75" s="93"/>
    </row>
    <row r="76" spans="1:31">
      <c r="A76" s="41"/>
      <c r="B76" s="94"/>
      <c r="C76" s="404" t="s">
        <v>234</v>
      </c>
      <c r="D76" s="404"/>
      <c r="E76" s="404"/>
      <c r="F76" s="404"/>
      <c r="G76" s="404"/>
      <c r="H76" s="404"/>
      <c r="I76" s="404"/>
      <c r="J76" s="405"/>
      <c r="K76" s="68"/>
      <c r="L76" s="68"/>
      <c r="N76" s="93"/>
      <c r="O76" s="93"/>
      <c r="P76" s="93"/>
      <c r="Q76" s="93"/>
      <c r="R76" s="93"/>
    </row>
    <row r="77" spans="1:31">
      <c r="A77" s="106"/>
      <c r="B77" s="107"/>
      <c r="C77" s="36">
        <v>0</v>
      </c>
      <c r="D77" s="36">
        <v>1</v>
      </c>
      <c r="E77" s="36">
        <v>2</v>
      </c>
      <c r="F77" s="36">
        <v>3</v>
      </c>
      <c r="G77" s="36">
        <v>4</v>
      </c>
      <c r="H77" s="36">
        <v>5</v>
      </c>
      <c r="I77" s="36">
        <v>6</v>
      </c>
      <c r="J77" s="108">
        <v>7</v>
      </c>
      <c r="K77" s="68"/>
      <c r="L77" s="68"/>
      <c r="N77" s="93"/>
      <c r="O77" s="93"/>
      <c r="P77" s="93"/>
      <c r="Q77" s="93"/>
      <c r="R77" s="93"/>
    </row>
    <row r="78" spans="1:31">
      <c r="A78" s="402" t="s">
        <v>235</v>
      </c>
      <c r="B78" s="105">
        <v>0</v>
      </c>
      <c r="C78" s="101">
        <f t="shared" ref="C78:J87" si="27">(0.07+0.12+$B78)*$A$128*(C$77)</f>
        <v>0</v>
      </c>
      <c r="D78" s="101">
        <f t="shared" si="27"/>
        <v>0.16720000000000002</v>
      </c>
      <c r="E78" s="101">
        <f t="shared" si="27"/>
        <v>0.33440000000000003</v>
      </c>
      <c r="F78" s="101">
        <f t="shared" si="27"/>
        <v>0.50160000000000005</v>
      </c>
      <c r="G78" s="101">
        <f t="shared" si="27"/>
        <v>0.66880000000000006</v>
      </c>
      <c r="H78" s="101">
        <f t="shared" si="27"/>
        <v>0.83600000000000008</v>
      </c>
      <c r="I78" s="101">
        <f t="shared" si="27"/>
        <v>1.0032000000000001</v>
      </c>
      <c r="J78" s="103">
        <f t="shared" si="27"/>
        <v>1.1704000000000001</v>
      </c>
      <c r="K78" s="68"/>
      <c r="L78" s="68"/>
      <c r="N78" s="93"/>
      <c r="O78" s="93"/>
      <c r="P78" s="93"/>
      <c r="Q78" s="93"/>
      <c r="R78" s="93"/>
    </row>
    <row r="79" spans="1:31">
      <c r="A79" s="402"/>
      <c r="B79" s="105">
        <v>0.1</v>
      </c>
      <c r="C79" s="101">
        <f t="shared" si="27"/>
        <v>0</v>
      </c>
      <c r="D79" s="101">
        <f t="shared" si="27"/>
        <v>0.25520000000000004</v>
      </c>
      <c r="E79" s="101">
        <f t="shared" si="27"/>
        <v>0.51040000000000008</v>
      </c>
      <c r="F79" s="101">
        <f t="shared" si="27"/>
        <v>0.76560000000000006</v>
      </c>
      <c r="G79" s="101">
        <f t="shared" si="27"/>
        <v>1.0208000000000002</v>
      </c>
      <c r="H79" s="101">
        <f t="shared" si="27"/>
        <v>1.2760000000000002</v>
      </c>
      <c r="I79" s="101">
        <f t="shared" si="27"/>
        <v>1.5312000000000001</v>
      </c>
      <c r="J79" s="103">
        <f t="shared" si="27"/>
        <v>1.7864000000000002</v>
      </c>
      <c r="K79" s="68"/>
      <c r="L79" s="68"/>
      <c r="N79" s="93"/>
      <c r="O79" s="93"/>
      <c r="P79" s="93"/>
      <c r="Q79" s="93"/>
      <c r="R79" s="93"/>
    </row>
    <row r="80" spans="1:31">
      <c r="A80" s="402"/>
      <c r="B80" s="105">
        <v>0.2</v>
      </c>
      <c r="C80" s="101">
        <f t="shared" si="27"/>
        <v>0</v>
      </c>
      <c r="D80" s="101">
        <f t="shared" si="27"/>
        <v>0.34320000000000001</v>
      </c>
      <c r="E80" s="101">
        <f t="shared" si="27"/>
        <v>0.68640000000000001</v>
      </c>
      <c r="F80" s="101">
        <f t="shared" si="27"/>
        <v>1.0296000000000001</v>
      </c>
      <c r="G80" s="101">
        <f t="shared" si="27"/>
        <v>1.3728</v>
      </c>
      <c r="H80" s="101">
        <f t="shared" si="27"/>
        <v>1.716</v>
      </c>
      <c r="I80" s="101">
        <f t="shared" si="27"/>
        <v>2.0592000000000001</v>
      </c>
      <c r="J80" s="103">
        <f t="shared" si="27"/>
        <v>2.4024000000000001</v>
      </c>
      <c r="K80" s="68"/>
      <c r="L80" s="68"/>
      <c r="N80" s="93"/>
      <c r="O80" s="93"/>
      <c r="P80" s="93"/>
      <c r="Q80" s="93"/>
      <c r="R80" s="93"/>
    </row>
    <row r="81" spans="1:18">
      <c r="A81" s="402"/>
      <c r="B81" s="105">
        <v>0.3</v>
      </c>
      <c r="C81" s="101">
        <f t="shared" si="27"/>
        <v>0</v>
      </c>
      <c r="D81" s="101">
        <f t="shared" si="27"/>
        <v>0.43119999999999997</v>
      </c>
      <c r="E81" s="101">
        <f t="shared" si="27"/>
        <v>0.86239999999999994</v>
      </c>
      <c r="F81" s="101">
        <f t="shared" si="27"/>
        <v>1.2935999999999999</v>
      </c>
      <c r="G81" s="101">
        <f t="shared" si="27"/>
        <v>1.7247999999999999</v>
      </c>
      <c r="H81" s="101">
        <f t="shared" si="27"/>
        <v>2.1559999999999997</v>
      </c>
      <c r="I81" s="101">
        <f t="shared" si="27"/>
        <v>2.5871999999999997</v>
      </c>
      <c r="J81" s="103">
        <f t="shared" si="27"/>
        <v>3.0183999999999997</v>
      </c>
      <c r="K81" s="68"/>
      <c r="L81" s="68"/>
      <c r="N81" s="93"/>
      <c r="O81" s="93"/>
      <c r="P81" s="93"/>
      <c r="Q81" s="93"/>
      <c r="R81" s="93"/>
    </row>
    <row r="82" spans="1:18">
      <c r="A82" s="402"/>
      <c r="B82" s="105">
        <v>0.4</v>
      </c>
      <c r="C82" s="101">
        <f t="shared" si="27"/>
        <v>0</v>
      </c>
      <c r="D82" s="101">
        <f t="shared" si="27"/>
        <v>0.51920000000000011</v>
      </c>
      <c r="E82" s="101">
        <f t="shared" si="27"/>
        <v>1.0384000000000002</v>
      </c>
      <c r="F82" s="101">
        <f t="shared" si="27"/>
        <v>1.5576000000000003</v>
      </c>
      <c r="G82" s="101">
        <f t="shared" si="27"/>
        <v>2.0768000000000004</v>
      </c>
      <c r="H82" s="101">
        <f t="shared" si="27"/>
        <v>2.5960000000000005</v>
      </c>
      <c r="I82" s="101">
        <f t="shared" si="27"/>
        <v>3.1152000000000006</v>
      </c>
      <c r="J82" s="103">
        <f t="shared" si="27"/>
        <v>3.6344000000000007</v>
      </c>
      <c r="K82" s="68"/>
      <c r="L82" s="68"/>
      <c r="N82" s="93"/>
      <c r="O82" s="93"/>
      <c r="P82" s="93"/>
      <c r="Q82" s="93"/>
      <c r="R82" s="93"/>
    </row>
    <row r="83" spans="1:18">
      <c r="A83" s="402"/>
      <c r="B83" s="105">
        <v>0.5</v>
      </c>
      <c r="C83" s="101">
        <f t="shared" si="27"/>
        <v>0</v>
      </c>
      <c r="D83" s="101">
        <f t="shared" si="27"/>
        <v>0.60719999999999996</v>
      </c>
      <c r="E83" s="101">
        <f t="shared" si="27"/>
        <v>1.2143999999999999</v>
      </c>
      <c r="F83" s="101">
        <f t="shared" si="27"/>
        <v>1.8215999999999999</v>
      </c>
      <c r="G83" s="101">
        <f t="shared" si="27"/>
        <v>2.4287999999999998</v>
      </c>
      <c r="H83" s="101">
        <f t="shared" si="27"/>
        <v>3.0359999999999996</v>
      </c>
      <c r="I83" s="101">
        <f t="shared" si="27"/>
        <v>3.6431999999999998</v>
      </c>
      <c r="J83" s="103">
        <f t="shared" si="27"/>
        <v>4.2504</v>
      </c>
      <c r="K83" s="68"/>
      <c r="L83" s="68"/>
      <c r="N83" s="93"/>
      <c r="O83" s="93"/>
      <c r="P83" s="93"/>
      <c r="Q83" s="93"/>
      <c r="R83" s="93"/>
    </row>
    <row r="84" spans="1:18">
      <c r="A84" s="402"/>
      <c r="B84" s="105">
        <v>0.6</v>
      </c>
      <c r="C84" s="101">
        <f t="shared" si="27"/>
        <v>0</v>
      </c>
      <c r="D84" s="101">
        <f t="shared" si="27"/>
        <v>0.69520000000000004</v>
      </c>
      <c r="E84" s="101">
        <f t="shared" si="27"/>
        <v>1.3904000000000001</v>
      </c>
      <c r="F84" s="101">
        <f t="shared" si="27"/>
        <v>2.0856000000000003</v>
      </c>
      <c r="G84" s="101">
        <f t="shared" si="27"/>
        <v>2.7808000000000002</v>
      </c>
      <c r="H84" s="101">
        <f t="shared" si="27"/>
        <v>3.476</v>
      </c>
      <c r="I84" s="101">
        <f t="shared" si="27"/>
        <v>4.1712000000000007</v>
      </c>
      <c r="J84" s="103">
        <f t="shared" si="27"/>
        <v>4.8664000000000005</v>
      </c>
      <c r="K84" s="68"/>
      <c r="L84" s="68"/>
      <c r="N84" s="93"/>
      <c r="O84" s="93"/>
      <c r="P84" s="93"/>
      <c r="Q84" s="93"/>
      <c r="R84" s="93"/>
    </row>
    <row r="85" spans="1:18">
      <c r="A85" s="402"/>
      <c r="B85" s="105">
        <v>0.7</v>
      </c>
      <c r="C85" s="101">
        <f t="shared" si="27"/>
        <v>0</v>
      </c>
      <c r="D85" s="101">
        <f t="shared" si="27"/>
        <v>0.7831999999999999</v>
      </c>
      <c r="E85" s="101">
        <f t="shared" si="27"/>
        <v>1.5663999999999998</v>
      </c>
      <c r="F85" s="101">
        <f t="shared" si="27"/>
        <v>2.3495999999999997</v>
      </c>
      <c r="G85" s="101">
        <f t="shared" si="27"/>
        <v>3.1327999999999996</v>
      </c>
      <c r="H85" s="101">
        <f t="shared" si="27"/>
        <v>3.9159999999999995</v>
      </c>
      <c r="I85" s="101">
        <f t="shared" si="27"/>
        <v>4.6991999999999994</v>
      </c>
      <c r="J85" s="103">
        <f t="shared" si="27"/>
        <v>5.4823999999999993</v>
      </c>
      <c r="K85" s="68"/>
      <c r="L85" s="68"/>
      <c r="N85" s="93"/>
      <c r="O85" s="93"/>
      <c r="P85" s="93"/>
      <c r="Q85" s="93"/>
      <c r="R85" s="93"/>
    </row>
    <row r="86" spans="1:18">
      <c r="A86" s="402"/>
      <c r="B86" s="105">
        <v>0.8</v>
      </c>
      <c r="C86" s="101">
        <f t="shared" si="27"/>
        <v>0</v>
      </c>
      <c r="D86" s="101">
        <f t="shared" si="27"/>
        <v>0.87119999999999997</v>
      </c>
      <c r="E86" s="101">
        <f t="shared" si="27"/>
        <v>1.7423999999999999</v>
      </c>
      <c r="F86" s="101">
        <f t="shared" si="27"/>
        <v>2.6135999999999999</v>
      </c>
      <c r="G86" s="101">
        <f t="shared" si="27"/>
        <v>3.4847999999999999</v>
      </c>
      <c r="H86" s="101">
        <f t="shared" si="27"/>
        <v>4.3559999999999999</v>
      </c>
      <c r="I86" s="101">
        <f t="shared" si="27"/>
        <v>5.2271999999999998</v>
      </c>
      <c r="J86" s="103">
        <f t="shared" si="27"/>
        <v>6.0983999999999998</v>
      </c>
      <c r="K86" s="68"/>
      <c r="L86" s="68"/>
      <c r="N86" s="93"/>
      <c r="O86" s="93"/>
      <c r="P86" s="93"/>
      <c r="Q86" s="93"/>
      <c r="R86" s="93"/>
    </row>
    <row r="87" spans="1:18" ht="17" thickBot="1">
      <c r="A87" s="403"/>
      <c r="B87" s="96">
        <v>0.9</v>
      </c>
      <c r="C87" s="98">
        <f t="shared" si="27"/>
        <v>0</v>
      </c>
      <c r="D87" s="98">
        <f t="shared" si="27"/>
        <v>0.95920000000000005</v>
      </c>
      <c r="E87" s="98">
        <f t="shared" si="27"/>
        <v>1.9184000000000001</v>
      </c>
      <c r="F87" s="98">
        <f t="shared" si="27"/>
        <v>2.8776000000000002</v>
      </c>
      <c r="G87" s="98">
        <f t="shared" si="27"/>
        <v>3.8368000000000002</v>
      </c>
      <c r="H87" s="98">
        <f t="shared" si="27"/>
        <v>4.7960000000000003</v>
      </c>
      <c r="I87" s="98">
        <f t="shared" si="27"/>
        <v>5.7552000000000003</v>
      </c>
      <c r="J87" s="104">
        <f t="shared" si="27"/>
        <v>6.7144000000000004</v>
      </c>
      <c r="K87" s="68"/>
      <c r="L87" s="68"/>
      <c r="N87" s="93"/>
      <c r="O87" s="93"/>
      <c r="P87" s="93"/>
      <c r="Q87" s="93"/>
      <c r="R87" s="93"/>
    </row>
    <row r="88" spans="1:18">
      <c r="A88" s="102"/>
      <c r="B88" s="128"/>
      <c r="C88" s="132" t="s">
        <v>229</v>
      </c>
      <c r="D88" s="101"/>
      <c r="E88" s="101"/>
      <c r="F88" s="101"/>
      <c r="G88" s="101"/>
      <c r="H88" s="101"/>
      <c r="I88" s="101"/>
      <c r="J88" s="101"/>
      <c r="K88" s="68"/>
      <c r="L88" s="68"/>
      <c r="N88" s="93"/>
      <c r="O88" s="93"/>
      <c r="P88" s="93"/>
      <c r="Q88" s="93"/>
      <c r="R88" s="93"/>
    </row>
    <row r="89" spans="1:18">
      <c r="A89" s="102"/>
      <c r="B89" s="128"/>
      <c r="C89" s="132"/>
      <c r="D89" s="101"/>
      <c r="E89" s="101"/>
      <c r="F89" s="101"/>
      <c r="G89" s="101"/>
      <c r="H89" s="101"/>
      <c r="I89" s="101"/>
      <c r="J89" s="101"/>
      <c r="K89" s="68"/>
      <c r="L89" s="68"/>
      <c r="N89" s="93"/>
      <c r="O89" s="93"/>
      <c r="P89" s="93"/>
      <c r="Q89" s="93"/>
      <c r="R89" s="93"/>
    </row>
    <row r="90" spans="1:18">
      <c r="A90" s="102"/>
      <c r="B90" s="128"/>
      <c r="C90" s="101"/>
      <c r="D90" s="101"/>
      <c r="E90" s="101"/>
      <c r="F90" s="101"/>
      <c r="G90" s="101"/>
      <c r="H90" s="101"/>
      <c r="I90" s="101"/>
      <c r="J90" s="101"/>
      <c r="K90" s="68"/>
      <c r="L90" s="68"/>
      <c r="N90" s="93"/>
      <c r="O90" s="93"/>
      <c r="P90" s="93"/>
      <c r="Q90" s="93"/>
      <c r="R90" s="93"/>
    </row>
    <row r="91" spans="1:18" ht="19">
      <c r="A91" s="332" t="s">
        <v>438</v>
      </c>
      <c r="B91" s="332"/>
      <c r="C91" s="332"/>
      <c r="D91" s="332"/>
      <c r="E91" s="332"/>
      <c r="F91" s="332"/>
      <c r="G91" s="332"/>
      <c r="H91" s="332"/>
      <c r="I91" s="332"/>
      <c r="J91" s="332"/>
      <c r="K91" s="68"/>
      <c r="L91" s="68"/>
      <c r="N91" s="93"/>
      <c r="O91" s="93"/>
      <c r="P91" s="93"/>
      <c r="Q91" s="93"/>
      <c r="R91" s="93"/>
    </row>
    <row r="92" spans="1:18" ht="17" thickBot="1">
      <c r="A92" s="410" t="s">
        <v>236</v>
      </c>
      <c r="B92" s="410"/>
      <c r="C92" s="410"/>
      <c r="D92" s="410"/>
      <c r="E92" s="410"/>
      <c r="F92" s="410"/>
      <c r="G92" s="410"/>
      <c r="H92" s="410"/>
      <c r="I92" s="410"/>
      <c r="J92" s="410"/>
      <c r="K92" s="68"/>
      <c r="L92" s="68"/>
      <c r="N92" s="93"/>
      <c r="O92" s="93"/>
      <c r="P92" s="93"/>
      <c r="Q92" s="93"/>
      <c r="R92" s="93"/>
    </row>
    <row r="93" spans="1:18">
      <c r="A93" s="140"/>
      <c r="B93" s="94"/>
      <c r="C93" s="404" t="s">
        <v>234</v>
      </c>
      <c r="D93" s="404"/>
      <c r="E93" s="404"/>
      <c r="F93" s="404"/>
      <c r="G93" s="404"/>
      <c r="H93" s="404"/>
      <c r="I93" s="404"/>
      <c r="J93" s="405"/>
      <c r="K93" s="68"/>
      <c r="L93" s="68"/>
      <c r="N93" s="93"/>
      <c r="O93" s="93"/>
      <c r="P93" s="93"/>
      <c r="Q93" s="93"/>
      <c r="R93" s="93"/>
    </row>
    <row r="94" spans="1:18">
      <c r="A94" s="106"/>
      <c r="B94" s="107"/>
      <c r="C94" s="36">
        <v>0</v>
      </c>
      <c r="D94" s="36">
        <v>1</v>
      </c>
      <c r="E94" s="36">
        <v>2</v>
      </c>
      <c r="F94" s="36">
        <v>3</v>
      </c>
      <c r="G94" s="36">
        <v>4</v>
      </c>
      <c r="H94" s="36">
        <v>5</v>
      </c>
      <c r="I94" s="36">
        <v>6</v>
      </c>
      <c r="J94" s="108">
        <v>7</v>
      </c>
      <c r="K94" s="68"/>
      <c r="L94" s="68"/>
      <c r="N94" s="93"/>
      <c r="O94" s="93"/>
      <c r="P94" s="93"/>
      <c r="Q94" s="93"/>
      <c r="R94" s="93"/>
    </row>
    <row r="95" spans="1:18">
      <c r="A95" s="402" t="s">
        <v>235</v>
      </c>
      <c r="B95" s="105">
        <v>0</v>
      </c>
      <c r="C95" s="101">
        <f>C78+$P$59</f>
        <v>0.68129599999999979</v>
      </c>
      <c r="D95" s="101">
        <f t="shared" ref="D95:J95" si="28">D78+$P$59</f>
        <v>0.84849599999999981</v>
      </c>
      <c r="E95" s="101">
        <f t="shared" si="28"/>
        <v>1.0156959999999997</v>
      </c>
      <c r="F95" s="101">
        <f t="shared" si="28"/>
        <v>1.1828959999999999</v>
      </c>
      <c r="G95" s="101">
        <f t="shared" si="28"/>
        <v>1.3500959999999997</v>
      </c>
      <c r="H95" s="101">
        <f t="shared" si="28"/>
        <v>1.517296</v>
      </c>
      <c r="I95" s="101">
        <f t="shared" si="28"/>
        <v>1.6844959999999998</v>
      </c>
      <c r="J95" s="103">
        <f t="shared" si="28"/>
        <v>1.851696</v>
      </c>
      <c r="K95" s="68"/>
      <c r="L95" s="68"/>
      <c r="N95" s="93"/>
      <c r="O95" s="93"/>
      <c r="P95" s="93"/>
      <c r="Q95" s="93"/>
      <c r="R95" s="93"/>
    </row>
    <row r="96" spans="1:18">
      <c r="A96" s="402"/>
      <c r="B96" s="105">
        <v>0.1</v>
      </c>
      <c r="C96" s="101">
        <f t="shared" ref="C96:J104" si="29">C79+$P$59</f>
        <v>0.68129599999999979</v>
      </c>
      <c r="D96" s="101">
        <f t="shared" si="29"/>
        <v>0.93649599999999977</v>
      </c>
      <c r="E96" s="101">
        <f t="shared" si="29"/>
        <v>1.1916959999999999</v>
      </c>
      <c r="F96" s="101">
        <f t="shared" si="29"/>
        <v>1.4468959999999997</v>
      </c>
      <c r="G96" s="101">
        <f t="shared" si="29"/>
        <v>1.7020960000000001</v>
      </c>
      <c r="H96" s="101">
        <f t="shared" si="29"/>
        <v>1.9572959999999999</v>
      </c>
      <c r="I96" s="101">
        <f t="shared" si="29"/>
        <v>2.2124959999999998</v>
      </c>
      <c r="J96" s="103">
        <f t="shared" si="29"/>
        <v>2.4676960000000001</v>
      </c>
      <c r="K96" s="68"/>
      <c r="L96" s="68"/>
      <c r="N96" s="93"/>
      <c r="O96" s="93"/>
      <c r="P96" s="93"/>
      <c r="Q96" s="93"/>
      <c r="R96" s="93"/>
    </row>
    <row r="97" spans="1:31">
      <c r="A97" s="402"/>
      <c r="B97" s="105">
        <v>0.2</v>
      </c>
      <c r="C97" s="101">
        <f t="shared" si="29"/>
        <v>0.68129599999999979</v>
      </c>
      <c r="D97" s="101">
        <f t="shared" si="29"/>
        <v>1.0244959999999999</v>
      </c>
      <c r="E97" s="101">
        <f t="shared" si="29"/>
        <v>1.3676959999999998</v>
      </c>
      <c r="F97" s="101">
        <f t="shared" si="29"/>
        <v>1.710896</v>
      </c>
      <c r="G97" s="101">
        <f t="shared" si="29"/>
        <v>2.0540959999999999</v>
      </c>
      <c r="H97" s="101">
        <f t="shared" si="29"/>
        <v>2.3972959999999999</v>
      </c>
      <c r="I97" s="101">
        <f t="shared" si="29"/>
        <v>2.7404959999999998</v>
      </c>
      <c r="J97" s="103">
        <f t="shared" si="29"/>
        <v>3.0836959999999998</v>
      </c>
      <c r="K97" s="68"/>
      <c r="L97" s="68"/>
      <c r="N97" s="93"/>
      <c r="O97" s="93"/>
      <c r="P97" s="93"/>
      <c r="Q97" s="93"/>
      <c r="R97" s="93"/>
    </row>
    <row r="98" spans="1:31">
      <c r="A98" s="402"/>
      <c r="B98" s="105">
        <v>0.3</v>
      </c>
      <c r="C98" s="101">
        <f t="shared" si="29"/>
        <v>0.68129599999999979</v>
      </c>
      <c r="D98" s="101">
        <f t="shared" si="29"/>
        <v>1.1124959999999997</v>
      </c>
      <c r="E98" s="101">
        <f t="shared" si="29"/>
        <v>1.5436959999999997</v>
      </c>
      <c r="F98" s="101">
        <f t="shared" si="29"/>
        <v>1.9748959999999998</v>
      </c>
      <c r="G98" s="101">
        <f t="shared" si="29"/>
        <v>2.4060959999999998</v>
      </c>
      <c r="H98" s="101">
        <f t="shared" si="29"/>
        <v>2.8372959999999994</v>
      </c>
      <c r="I98" s="101">
        <f t="shared" si="29"/>
        <v>3.2684959999999994</v>
      </c>
      <c r="J98" s="103">
        <f t="shared" si="29"/>
        <v>3.6996959999999994</v>
      </c>
      <c r="K98" s="68"/>
      <c r="L98" s="68"/>
      <c r="N98" s="93"/>
      <c r="O98" s="93"/>
      <c r="P98" s="93"/>
      <c r="Q98" s="93"/>
      <c r="R98" s="93"/>
    </row>
    <row r="99" spans="1:31">
      <c r="A99" s="402"/>
      <c r="B99" s="105">
        <v>0.4</v>
      </c>
      <c r="C99" s="101">
        <f t="shared" si="29"/>
        <v>0.68129599999999979</v>
      </c>
      <c r="D99" s="101">
        <f t="shared" si="29"/>
        <v>1.2004959999999998</v>
      </c>
      <c r="E99" s="101">
        <f t="shared" si="29"/>
        <v>1.7196959999999999</v>
      </c>
      <c r="F99" s="101">
        <f t="shared" si="29"/>
        <v>2.238896</v>
      </c>
      <c r="G99" s="101">
        <f t="shared" si="29"/>
        <v>2.7580960000000001</v>
      </c>
      <c r="H99" s="101">
        <f t="shared" si="29"/>
        <v>3.2772960000000002</v>
      </c>
      <c r="I99" s="101">
        <f t="shared" si="29"/>
        <v>3.7964960000000003</v>
      </c>
      <c r="J99" s="103">
        <f t="shared" si="29"/>
        <v>4.3156960000000009</v>
      </c>
      <c r="K99" s="68"/>
      <c r="L99" s="68"/>
      <c r="N99" s="93"/>
      <c r="O99" s="93"/>
      <c r="P99" s="93"/>
      <c r="Q99" s="93"/>
      <c r="R99" s="93"/>
    </row>
    <row r="100" spans="1:31">
      <c r="A100" s="402"/>
      <c r="B100" s="105">
        <v>0.5</v>
      </c>
      <c r="C100" s="101">
        <f t="shared" si="29"/>
        <v>0.68129599999999979</v>
      </c>
      <c r="D100" s="101">
        <f t="shared" si="29"/>
        <v>1.2884959999999999</v>
      </c>
      <c r="E100" s="101">
        <f t="shared" si="29"/>
        <v>1.8956959999999996</v>
      </c>
      <c r="F100" s="101">
        <f t="shared" si="29"/>
        <v>2.5028959999999998</v>
      </c>
      <c r="G100" s="101">
        <f t="shared" si="29"/>
        <v>3.1100959999999995</v>
      </c>
      <c r="H100" s="101">
        <f t="shared" si="29"/>
        <v>3.7172959999999993</v>
      </c>
      <c r="I100" s="101">
        <f t="shared" si="29"/>
        <v>4.3244959999999999</v>
      </c>
      <c r="J100" s="103">
        <f t="shared" si="29"/>
        <v>4.9316959999999996</v>
      </c>
      <c r="K100" s="68"/>
      <c r="L100" s="68"/>
      <c r="N100" s="93"/>
      <c r="O100" s="93"/>
      <c r="P100" s="93"/>
      <c r="Q100" s="93"/>
      <c r="R100" s="93"/>
    </row>
    <row r="101" spans="1:31">
      <c r="A101" s="402"/>
      <c r="B101" s="105">
        <v>0.6</v>
      </c>
      <c r="C101" s="101">
        <f t="shared" si="29"/>
        <v>0.68129599999999979</v>
      </c>
      <c r="D101" s="101">
        <f t="shared" si="29"/>
        <v>1.3764959999999999</v>
      </c>
      <c r="E101" s="101">
        <f t="shared" si="29"/>
        <v>2.0716959999999998</v>
      </c>
      <c r="F101" s="101">
        <f t="shared" si="29"/>
        <v>2.766896</v>
      </c>
      <c r="G101" s="101">
        <f t="shared" si="29"/>
        <v>3.4620959999999998</v>
      </c>
      <c r="H101" s="101">
        <f t="shared" si="29"/>
        <v>4.1572959999999997</v>
      </c>
      <c r="I101" s="101">
        <f t="shared" si="29"/>
        <v>4.8524960000000004</v>
      </c>
      <c r="J101" s="103">
        <f t="shared" si="29"/>
        <v>5.5476960000000002</v>
      </c>
      <c r="K101" s="68"/>
      <c r="L101" s="68"/>
      <c r="N101" s="93"/>
      <c r="O101" s="93"/>
      <c r="P101" s="93"/>
      <c r="Q101" s="93"/>
      <c r="R101" s="93"/>
    </row>
    <row r="102" spans="1:31">
      <c r="A102" s="402"/>
      <c r="B102" s="105">
        <v>0.7</v>
      </c>
      <c r="C102" s="101">
        <f t="shared" si="29"/>
        <v>0.68129599999999979</v>
      </c>
      <c r="D102" s="101">
        <f t="shared" si="29"/>
        <v>1.4644959999999996</v>
      </c>
      <c r="E102" s="101">
        <f t="shared" si="29"/>
        <v>2.2476959999999995</v>
      </c>
      <c r="F102" s="101">
        <f t="shared" si="29"/>
        <v>3.0308959999999994</v>
      </c>
      <c r="G102" s="101">
        <f t="shared" si="29"/>
        <v>3.8140959999999993</v>
      </c>
      <c r="H102" s="101">
        <f t="shared" si="29"/>
        <v>4.5972959999999992</v>
      </c>
      <c r="I102" s="101">
        <f t="shared" si="29"/>
        <v>5.3804959999999991</v>
      </c>
      <c r="J102" s="103">
        <f t="shared" si="29"/>
        <v>6.163695999999999</v>
      </c>
      <c r="K102" s="68"/>
      <c r="L102" s="68"/>
      <c r="N102" s="93"/>
      <c r="O102" s="93"/>
      <c r="P102" s="93"/>
      <c r="Q102" s="93"/>
      <c r="R102" s="93"/>
    </row>
    <row r="103" spans="1:31">
      <c r="A103" s="402"/>
      <c r="B103" s="105">
        <v>0.8</v>
      </c>
      <c r="C103" s="101">
        <f t="shared" si="29"/>
        <v>0.68129599999999979</v>
      </c>
      <c r="D103" s="101">
        <f t="shared" si="29"/>
        <v>1.5524959999999997</v>
      </c>
      <c r="E103" s="101">
        <f t="shared" si="29"/>
        <v>2.4236959999999996</v>
      </c>
      <c r="F103" s="101">
        <f t="shared" si="29"/>
        <v>3.2948959999999996</v>
      </c>
      <c r="G103" s="101">
        <f t="shared" si="29"/>
        <v>4.1660959999999996</v>
      </c>
      <c r="H103" s="101">
        <f t="shared" si="29"/>
        <v>5.0372959999999996</v>
      </c>
      <c r="I103" s="101">
        <f t="shared" si="29"/>
        <v>5.9084959999999995</v>
      </c>
      <c r="J103" s="103">
        <f t="shared" si="29"/>
        <v>6.7796959999999995</v>
      </c>
      <c r="K103" s="68"/>
      <c r="L103" s="68"/>
      <c r="N103" s="93"/>
      <c r="O103" s="93"/>
      <c r="P103" s="93"/>
      <c r="Q103" s="93"/>
      <c r="R103" s="93"/>
    </row>
    <row r="104" spans="1:31" ht="17" thickBot="1">
      <c r="A104" s="403"/>
      <c r="B104" s="96">
        <v>0.9</v>
      </c>
      <c r="C104" s="98">
        <f t="shared" si="29"/>
        <v>0.68129599999999979</v>
      </c>
      <c r="D104" s="98">
        <f t="shared" si="29"/>
        <v>1.6404959999999997</v>
      </c>
      <c r="E104" s="98">
        <f t="shared" si="29"/>
        <v>2.5996959999999998</v>
      </c>
      <c r="F104" s="98">
        <f t="shared" si="29"/>
        <v>3.5588959999999998</v>
      </c>
      <c r="G104" s="98">
        <f t="shared" si="29"/>
        <v>4.5180959999999999</v>
      </c>
      <c r="H104" s="98">
        <f t="shared" si="29"/>
        <v>5.4772959999999999</v>
      </c>
      <c r="I104" s="98">
        <f t="shared" si="29"/>
        <v>6.436496</v>
      </c>
      <c r="J104" s="104">
        <f>J87+$P$59</f>
        <v>7.395696</v>
      </c>
      <c r="K104" s="68"/>
      <c r="L104" s="68"/>
      <c r="N104" s="93"/>
      <c r="O104" s="93"/>
      <c r="P104" s="93"/>
      <c r="Q104" s="93"/>
      <c r="R104" s="93"/>
    </row>
    <row r="105" spans="1:31">
      <c r="A105" s="302"/>
      <c r="B105" s="128"/>
      <c r="C105" s="101"/>
      <c r="D105" s="101"/>
      <c r="E105" s="101"/>
      <c r="F105" s="101"/>
      <c r="G105" s="101"/>
      <c r="H105" s="101"/>
      <c r="I105" s="101"/>
      <c r="J105" s="101"/>
      <c r="K105" s="68"/>
      <c r="L105" s="68"/>
      <c r="N105" s="93"/>
      <c r="O105" s="93"/>
      <c r="P105" s="93"/>
      <c r="Q105" s="93"/>
      <c r="R105" s="93"/>
    </row>
    <row r="106" spans="1:31">
      <c r="A106" s="302"/>
      <c r="B106" s="128"/>
      <c r="C106" s="101"/>
      <c r="D106" s="101"/>
      <c r="E106" s="101"/>
      <c r="F106" s="101"/>
      <c r="G106" s="101"/>
      <c r="H106" s="101"/>
      <c r="I106" s="101"/>
      <c r="J106" s="101"/>
      <c r="K106" s="68"/>
      <c r="L106" s="68"/>
      <c r="N106" s="93"/>
      <c r="O106" s="93"/>
      <c r="P106" s="93"/>
      <c r="Q106" s="93"/>
      <c r="R106" s="93"/>
    </row>
    <row r="107" spans="1:31">
      <c r="A107" s="302"/>
      <c r="B107" s="128"/>
      <c r="C107" s="101"/>
      <c r="D107" s="101"/>
      <c r="E107" s="101"/>
      <c r="F107" s="101"/>
      <c r="G107" s="101"/>
      <c r="H107" s="101"/>
      <c r="I107" s="101"/>
      <c r="J107" s="101"/>
      <c r="K107" s="68"/>
      <c r="L107" s="68"/>
      <c r="N107" s="93"/>
      <c r="O107" s="93"/>
      <c r="P107" s="93"/>
      <c r="Q107" s="93"/>
      <c r="R107" s="93"/>
    </row>
    <row r="108" spans="1:31" ht="24">
      <c r="A108" s="401" t="s">
        <v>432</v>
      </c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1"/>
      <c r="P108" s="401"/>
      <c r="Q108" s="401"/>
      <c r="R108" s="401"/>
      <c r="S108" s="401"/>
      <c r="T108" s="401"/>
      <c r="U108" s="401"/>
      <c r="V108" s="401"/>
      <c r="W108" s="401"/>
      <c r="X108" s="401"/>
      <c r="Y108" s="401"/>
      <c r="Z108" s="401"/>
      <c r="AA108" s="401"/>
      <c r="AB108" s="401"/>
      <c r="AC108" s="401"/>
      <c r="AD108" s="401"/>
      <c r="AE108" s="401"/>
    </row>
    <row r="109" spans="1:31">
      <c r="A109" t="s">
        <v>431</v>
      </c>
    </row>
    <row r="110" spans="1:31" ht="17" thickBot="1"/>
    <row r="111" spans="1:31" ht="17" thickBot="1">
      <c r="B111" s="400" t="s">
        <v>215</v>
      </c>
      <c r="C111" s="400"/>
      <c r="D111" s="114" t="s">
        <v>216</v>
      </c>
      <c r="G111" s="41"/>
      <c r="H111" s="122"/>
      <c r="I111" s="397" t="s">
        <v>220</v>
      </c>
      <c r="J111" s="398"/>
      <c r="K111" s="398"/>
      <c r="L111" s="398"/>
      <c r="M111" s="398"/>
      <c r="N111" s="398"/>
      <c r="O111" s="398"/>
      <c r="P111" s="399"/>
    </row>
    <row r="112" spans="1:31">
      <c r="A112" s="115" t="s">
        <v>217</v>
      </c>
      <c r="B112" s="116" t="s">
        <v>218</v>
      </c>
      <c r="C112" s="116" t="s">
        <v>219</v>
      </c>
      <c r="D112" s="117" t="s">
        <v>219</v>
      </c>
      <c r="G112" s="120" t="s">
        <v>217</v>
      </c>
      <c r="H112" s="109" t="s">
        <v>218</v>
      </c>
      <c r="I112" s="124">
        <v>0</v>
      </c>
      <c r="J112" s="110">
        <v>100</v>
      </c>
      <c r="K112" s="110">
        <v>200</v>
      </c>
      <c r="L112" s="110">
        <v>300</v>
      </c>
      <c r="M112" s="110">
        <v>400</v>
      </c>
      <c r="N112" s="110">
        <v>500</v>
      </c>
      <c r="O112" s="110">
        <v>600</v>
      </c>
      <c r="P112" s="125">
        <v>700</v>
      </c>
    </row>
    <row r="113" spans="1:16">
      <c r="A113" s="43">
        <v>1</v>
      </c>
      <c r="B113" s="68">
        <f t="shared" ref="B113:B119" si="30">$A$132*A113</f>
        <v>3.16</v>
      </c>
      <c r="C113" s="68">
        <f t="shared" ref="C113:C119" si="31">B113-$A$132</f>
        <v>0</v>
      </c>
      <c r="D113" s="118">
        <f t="shared" ref="D113:D119" si="32">C113/$A$129</f>
        <v>0</v>
      </c>
      <c r="G113" s="43">
        <f>A113</f>
        <v>1</v>
      </c>
      <c r="H113" s="111">
        <f>D113</f>
        <v>0</v>
      </c>
      <c r="I113" s="113">
        <f t="shared" ref="I113:P119" si="33">(I$112/10^3)*$H113</f>
        <v>0</v>
      </c>
      <c r="J113" s="113">
        <f t="shared" si="33"/>
        <v>0</v>
      </c>
      <c r="K113" s="113">
        <f t="shared" si="33"/>
        <v>0</v>
      </c>
      <c r="L113" s="113">
        <f t="shared" si="33"/>
        <v>0</v>
      </c>
      <c r="M113" s="113">
        <f t="shared" si="33"/>
        <v>0</v>
      </c>
      <c r="N113" s="113">
        <f t="shared" si="33"/>
        <v>0</v>
      </c>
      <c r="O113" s="113">
        <f t="shared" si="33"/>
        <v>0</v>
      </c>
      <c r="P113" s="118">
        <f t="shared" si="33"/>
        <v>0</v>
      </c>
    </row>
    <row r="114" spans="1:16">
      <c r="A114" s="43">
        <v>1.5</v>
      </c>
      <c r="B114" s="68">
        <f t="shared" si="30"/>
        <v>4.74</v>
      </c>
      <c r="C114" s="68">
        <f t="shared" si="31"/>
        <v>1.58</v>
      </c>
      <c r="D114" s="118">
        <f t="shared" si="32"/>
        <v>1.3903999999999999</v>
      </c>
      <c r="G114" s="43">
        <f t="shared" ref="G114:G119" si="34">A114</f>
        <v>1.5</v>
      </c>
      <c r="H114" s="111">
        <f t="shared" ref="H114:H118" si="35">D114</f>
        <v>1.3903999999999999</v>
      </c>
      <c r="I114" s="113">
        <f t="shared" si="33"/>
        <v>0</v>
      </c>
      <c r="J114" s="113">
        <f t="shared" si="33"/>
        <v>0.13904</v>
      </c>
      <c r="K114" s="113">
        <f t="shared" si="33"/>
        <v>0.27807999999999999</v>
      </c>
      <c r="L114" s="113">
        <f t="shared" si="33"/>
        <v>0.41711999999999994</v>
      </c>
      <c r="M114" s="113">
        <f t="shared" si="33"/>
        <v>0.55615999999999999</v>
      </c>
      <c r="N114" s="113">
        <f t="shared" si="33"/>
        <v>0.69519999999999993</v>
      </c>
      <c r="O114" s="113">
        <f t="shared" si="33"/>
        <v>0.83423999999999987</v>
      </c>
      <c r="P114" s="118">
        <f t="shared" si="33"/>
        <v>0.97327999999999981</v>
      </c>
    </row>
    <row r="115" spans="1:16">
      <c r="A115" s="43">
        <v>2</v>
      </c>
      <c r="B115" s="68">
        <f t="shared" si="30"/>
        <v>6.32</v>
      </c>
      <c r="C115" s="68">
        <f t="shared" si="31"/>
        <v>3.16</v>
      </c>
      <c r="D115" s="118">
        <f t="shared" si="32"/>
        <v>2.7807999999999997</v>
      </c>
      <c r="G115" s="43">
        <f t="shared" si="34"/>
        <v>2</v>
      </c>
      <c r="H115" s="111">
        <f t="shared" si="35"/>
        <v>2.7807999999999997</v>
      </c>
      <c r="I115" s="113">
        <f t="shared" si="33"/>
        <v>0</v>
      </c>
      <c r="J115" s="113">
        <f t="shared" si="33"/>
        <v>0.27807999999999999</v>
      </c>
      <c r="K115" s="113">
        <f t="shared" si="33"/>
        <v>0.55615999999999999</v>
      </c>
      <c r="L115" s="113">
        <f t="shared" si="33"/>
        <v>0.83423999999999987</v>
      </c>
      <c r="M115" s="113">
        <f t="shared" si="33"/>
        <v>1.11232</v>
      </c>
      <c r="N115" s="113">
        <f t="shared" si="33"/>
        <v>1.3903999999999999</v>
      </c>
      <c r="O115" s="113">
        <f t="shared" si="33"/>
        <v>1.6684799999999997</v>
      </c>
      <c r="P115" s="118">
        <f t="shared" si="33"/>
        <v>1.9465599999999996</v>
      </c>
    </row>
    <row r="116" spans="1:16">
      <c r="A116" s="43">
        <v>2.5</v>
      </c>
      <c r="B116" s="68">
        <f t="shared" si="30"/>
        <v>7.9</v>
      </c>
      <c r="C116" s="68">
        <f t="shared" si="31"/>
        <v>4.74</v>
      </c>
      <c r="D116" s="118">
        <f t="shared" si="32"/>
        <v>4.1711999999999998</v>
      </c>
      <c r="G116" s="43">
        <f t="shared" si="34"/>
        <v>2.5</v>
      </c>
      <c r="H116" s="111">
        <f t="shared" si="35"/>
        <v>4.1711999999999998</v>
      </c>
      <c r="I116" s="113">
        <f t="shared" si="33"/>
        <v>0</v>
      </c>
      <c r="J116" s="113">
        <f t="shared" si="33"/>
        <v>0.41711999999999999</v>
      </c>
      <c r="K116" s="113">
        <f t="shared" si="33"/>
        <v>0.83423999999999998</v>
      </c>
      <c r="L116" s="113">
        <f t="shared" si="33"/>
        <v>1.2513599999999998</v>
      </c>
      <c r="M116" s="113">
        <f t="shared" si="33"/>
        <v>1.66848</v>
      </c>
      <c r="N116" s="113">
        <f t="shared" si="33"/>
        <v>2.0855999999999999</v>
      </c>
      <c r="O116" s="113">
        <f t="shared" si="33"/>
        <v>2.5027199999999996</v>
      </c>
      <c r="P116" s="118">
        <f t="shared" si="33"/>
        <v>2.9198399999999998</v>
      </c>
    </row>
    <row r="117" spans="1:16">
      <c r="A117" s="43">
        <v>3</v>
      </c>
      <c r="B117" s="68">
        <f t="shared" si="30"/>
        <v>9.48</v>
      </c>
      <c r="C117" s="68">
        <f t="shared" si="31"/>
        <v>6.32</v>
      </c>
      <c r="D117" s="118">
        <f t="shared" si="32"/>
        <v>5.5615999999999994</v>
      </c>
      <c r="G117" s="43">
        <f t="shared" si="34"/>
        <v>3</v>
      </c>
      <c r="H117" s="111">
        <f t="shared" si="35"/>
        <v>5.5615999999999994</v>
      </c>
      <c r="I117" s="113">
        <f t="shared" si="33"/>
        <v>0</v>
      </c>
      <c r="J117" s="113">
        <f t="shared" si="33"/>
        <v>0.55615999999999999</v>
      </c>
      <c r="K117" s="113">
        <f t="shared" si="33"/>
        <v>1.11232</v>
      </c>
      <c r="L117" s="113">
        <f t="shared" si="33"/>
        <v>1.6684799999999997</v>
      </c>
      <c r="M117" s="113">
        <f t="shared" si="33"/>
        <v>2.22464</v>
      </c>
      <c r="N117" s="113">
        <f t="shared" si="33"/>
        <v>2.7807999999999997</v>
      </c>
      <c r="O117" s="113">
        <f t="shared" si="33"/>
        <v>3.3369599999999995</v>
      </c>
      <c r="P117" s="118">
        <f t="shared" si="33"/>
        <v>3.8931199999999992</v>
      </c>
    </row>
    <row r="118" spans="1:16">
      <c r="A118" s="43">
        <v>3.5</v>
      </c>
      <c r="B118" s="68">
        <f t="shared" si="30"/>
        <v>11.06</v>
      </c>
      <c r="C118" s="68">
        <f t="shared" si="31"/>
        <v>7.9</v>
      </c>
      <c r="D118" s="118">
        <f t="shared" si="32"/>
        <v>6.952</v>
      </c>
      <c r="G118" s="43">
        <f t="shared" si="34"/>
        <v>3.5</v>
      </c>
      <c r="H118" s="111">
        <f t="shared" si="35"/>
        <v>6.952</v>
      </c>
      <c r="I118" s="113">
        <f t="shared" si="33"/>
        <v>0</v>
      </c>
      <c r="J118" s="113">
        <f t="shared" si="33"/>
        <v>0.69520000000000004</v>
      </c>
      <c r="K118" s="113">
        <f t="shared" si="33"/>
        <v>1.3904000000000001</v>
      </c>
      <c r="L118" s="113">
        <f t="shared" si="33"/>
        <v>2.0855999999999999</v>
      </c>
      <c r="M118" s="113">
        <f t="shared" si="33"/>
        <v>2.7808000000000002</v>
      </c>
      <c r="N118" s="113">
        <f t="shared" si="33"/>
        <v>3.476</v>
      </c>
      <c r="O118" s="113">
        <f t="shared" si="33"/>
        <v>4.1711999999999998</v>
      </c>
      <c r="P118" s="118">
        <f t="shared" si="33"/>
        <v>4.8663999999999996</v>
      </c>
    </row>
    <row r="119" spans="1:16" ht="17" thickBot="1">
      <c r="A119" s="44">
        <v>4</v>
      </c>
      <c r="B119" s="45">
        <f t="shared" si="30"/>
        <v>12.64</v>
      </c>
      <c r="C119" s="45">
        <f t="shared" si="31"/>
        <v>9.48</v>
      </c>
      <c r="D119" s="119">
        <f t="shared" si="32"/>
        <v>8.3423999999999996</v>
      </c>
      <c r="G119" s="44">
        <f t="shared" si="34"/>
        <v>4</v>
      </c>
      <c r="H119" s="123">
        <f>D119</f>
        <v>8.3423999999999996</v>
      </c>
      <c r="I119" s="121">
        <f t="shared" si="33"/>
        <v>0</v>
      </c>
      <c r="J119" s="121">
        <f t="shared" si="33"/>
        <v>0.83423999999999998</v>
      </c>
      <c r="K119" s="121">
        <f t="shared" si="33"/>
        <v>1.66848</v>
      </c>
      <c r="L119" s="121">
        <f t="shared" si="33"/>
        <v>2.5027199999999996</v>
      </c>
      <c r="M119" s="121">
        <f t="shared" si="33"/>
        <v>3.3369599999999999</v>
      </c>
      <c r="N119" s="121">
        <f t="shared" si="33"/>
        <v>4.1711999999999998</v>
      </c>
      <c r="O119" s="121">
        <f t="shared" si="33"/>
        <v>5.0054399999999992</v>
      </c>
      <c r="P119" s="119">
        <f t="shared" si="33"/>
        <v>5.8396799999999995</v>
      </c>
    </row>
    <row r="120" spans="1:16">
      <c r="A120" s="68"/>
      <c r="B120" s="68"/>
      <c r="C120" s="68"/>
      <c r="D120" s="113"/>
      <c r="G120" s="68"/>
      <c r="H120" s="113"/>
      <c r="I120" s="113"/>
      <c r="J120" s="113"/>
      <c r="K120" s="113"/>
      <c r="L120" s="113"/>
      <c r="M120" s="113"/>
      <c r="N120" s="113"/>
      <c r="O120" s="113"/>
      <c r="P120" s="113"/>
    </row>
    <row r="121" spans="1:16">
      <c r="A121" s="68"/>
      <c r="B121" s="68"/>
      <c r="C121" s="68"/>
      <c r="D121" s="113"/>
    </row>
    <row r="122" spans="1:16">
      <c r="A122" s="407" t="s">
        <v>120</v>
      </c>
      <c r="B122" s="407"/>
      <c r="C122" s="407"/>
      <c r="D122" s="407"/>
      <c r="E122" s="407"/>
      <c r="F122" s="407"/>
      <c r="G122" s="407"/>
      <c r="H122" s="407"/>
      <c r="I122" s="407"/>
      <c r="J122" s="407"/>
      <c r="K122" s="407"/>
      <c r="L122" s="407"/>
      <c r="M122" s="407"/>
      <c r="N122" s="407"/>
    </row>
    <row r="123" spans="1:16">
      <c r="A123" t="s">
        <v>207</v>
      </c>
    </row>
    <row r="124" spans="1:16">
      <c r="A124">
        <v>0.8</v>
      </c>
      <c r="B124" t="s">
        <v>203</v>
      </c>
    </row>
    <row r="125" spans="1:16">
      <c r="A125">
        <f>1/A124</f>
        <v>1.25</v>
      </c>
      <c r="B125" t="s">
        <v>210</v>
      </c>
    </row>
    <row r="127" spans="1:16">
      <c r="A127" t="s">
        <v>208</v>
      </c>
      <c r="C127" s="21" t="s">
        <v>211</v>
      </c>
    </row>
    <row r="128" spans="1:16">
      <c r="A128">
        <v>0.88</v>
      </c>
      <c r="B128" t="s">
        <v>209</v>
      </c>
    </row>
    <row r="129" spans="1:3">
      <c r="A129">
        <f>1/A128</f>
        <v>1.1363636363636365</v>
      </c>
      <c r="B129" t="s">
        <v>210</v>
      </c>
    </row>
    <row r="131" spans="1:3">
      <c r="A131" t="s">
        <v>212</v>
      </c>
      <c r="B131" t="s">
        <v>213</v>
      </c>
      <c r="C131" t="s">
        <v>214</v>
      </c>
    </row>
    <row r="132" spans="1:3">
      <c r="A132">
        <v>3.16</v>
      </c>
    </row>
  </sheetData>
  <mergeCells count="32">
    <mergeCell ref="A122:N122"/>
    <mergeCell ref="A58:A67"/>
    <mergeCell ref="A55:J55"/>
    <mergeCell ref="A34:AE34"/>
    <mergeCell ref="C76:J76"/>
    <mergeCell ref="A78:A87"/>
    <mergeCell ref="C56:J56"/>
    <mergeCell ref="C39:K39"/>
    <mergeCell ref="N38:O38"/>
    <mergeCell ref="V38:AE38"/>
    <mergeCell ref="A41:A50"/>
    <mergeCell ref="A92:J92"/>
    <mergeCell ref="C93:J93"/>
    <mergeCell ref="A95:A104"/>
    <mergeCell ref="A1:AE1"/>
    <mergeCell ref="A71:AE71"/>
    <mergeCell ref="M5:N5"/>
    <mergeCell ref="A23:A30"/>
    <mergeCell ref="C21:J21"/>
    <mergeCell ref="A20:J20"/>
    <mergeCell ref="A8:A15"/>
    <mergeCell ref="C6:J6"/>
    <mergeCell ref="T5:AA5"/>
    <mergeCell ref="R18:R25"/>
    <mergeCell ref="I111:P111"/>
    <mergeCell ref="B111:C111"/>
    <mergeCell ref="M19:N19"/>
    <mergeCell ref="A19:J19"/>
    <mergeCell ref="A91:J91"/>
    <mergeCell ref="N54:O54"/>
    <mergeCell ref="A108:AE108"/>
    <mergeCell ref="A54:J54"/>
  </mergeCells>
  <hyperlinks>
    <hyperlink ref="C127" r:id="rId1" xr:uid="{3BD9C1B4-5BFF-BE48-8F7D-0494B35868A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scenario_design</vt:lpstr>
      <vt:lpstr>Fig1_historical_Kaya</vt:lpstr>
      <vt:lpstr>Fig1_future_Kaya</vt:lpstr>
      <vt:lpstr>Fig1_non-CO2_emissions</vt:lpstr>
      <vt:lpstr>Fig1_carbon_intensity</vt:lpstr>
      <vt:lpstr>Fig1_carbon_eq_intensity</vt:lpstr>
      <vt:lpstr>Fig2_waterfall_plot</vt:lpstr>
      <vt:lpstr>Fig3_SAF_demand</vt:lpstr>
      <vt:lpstr>Fig4_SAF_costs</vt:lpstr>
      <vt:lpstr>Sup_fig5_regional_data</vt:lpstr>
      <vt:lpstr>Sup_fig7_CDR_cost</vt:lpstr>
      <vt:lpstr>Sup_fig8_SAF_land_exp</vt:lpstr>
      <vt:lpstr>other_IEA_energy_intensity</vt:lpstr>
      <vt:lpstr>other_IEA_fuel_consumption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2022-09-22T19:52:33Z</dcterms:created>
  <dcterms:modified xsi:type="dcterms:W3CDTF">2022-11-20T20:02:53Z</dcterms:modified>
</cp:coreProperties>
</file>