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Documents\Uni\Grundpraktikum\Grundpraktikum\Versuch8\datasets\"/>
    </mc:Choice>
  </mc:AlternateContent>
  <xr:revisionPtr revIDLastSave="0" documentId="10_ncr:100000_{6B0ED193-6B9F-4510-BD7D-EC9BE81870F7}" xr6:coauthVersionLast="31" xr6:coauthVersionMax="31" xr10:uidLastSave="{00000000-0000-0000-0000-000000000000}"/>
  <bookViews>
    <workbookView xWindow="0" yWindow="0" windowWidth="14604" windowHeight="3672" xr2:uid="{C1DF02A8-BD28-4226-AB01-C5E311576982}"/>
    <workbookView xWindow="0" yWindow="0" windowWidth="23004" windowHeight="4392" activeTab="3" xr2:uid="{829F5D97-4205-46B8-A569-AB952F8C1C38}"/>
  </bookViews>
  <sheets>
    <sheet name="Heat up" sheetId="1" r:id="rId1"/>
    <sheet name="Cool down" sheetId="2" r:id="rId2"/>
    <sheet name="Constants" sheetId="3" r:id="rId3"/>
    <sheet name="Vol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4" l="1"/>
  <c r="M2" i="1"/>
  <c r="M11" i="1"/>
  <c r="M10" i="1"/>
  <c r="M9" i="1"/>
  <c r="M8" i="1"/>
  <c r="M7" i="1"/>
  <c r="M6" i="1"/>
  <c r="M5" i="1"/>
  <c r="M4" i="1"/>
  <c r="M3" i="1"/>
  <c r="M12" i="1"/>
  <c r="L12" i="1"/>
  <c r="L11" i="1"/>
  <c r="L10" i="1"/>
  <c r="L9" i="1"/>
  <c r="L8" i="1"/>
  <c r="L7" i="1"/>
  <c r="L6" i="1"/>
  <c r="L5" i="1"/>
  <c r="L4" i="1"/>
  <c r="L3" i="1"/>
  <c r="L2" i="1"/>
  <c r="D4" i="3"/>
  <c r="K12" i="1"/>
  <c r="K11" i="1"/>
  <c r="K10" i="1"/>
  <c r="K9" i="1"/>
  <c r="K8" i="1"/>
  <c r="K7" i="1"/>
  <c r="K6" i="1"/>
  <c r="K5" i="1"/>
  <c r="K4" i="1"/>
  <c r="K3" i="1"/>
  <c r="K2" i="1"/>
  <c r="D2" i="3"/>
  <c r="E8" i="3"/>
  <c r="C8" i="3"/>
  <c r="J3" i="4"/>
  <c r="I3" i="4"/>
  <c r="H2" i="2"/>
  <c r="H2" i="1"/>
  <c r="B4" i="3"/>
  <c r="C4" i="3" s="1"/>
  <c r="C2" i="3" l="1"/>
  <c r="E11" i="2" l="1"/>
  <c r="G11" i="2" s="1"/>
  <c r="E10" i="2"/>
  <c r="G10" i="2" s="1"/>
  <c r="E9" i="2"/>
  <c r="G9" i="2" s="1"/>
  <c r="E8" i="2"/>
  <c r="G8" i="2" s="1"/>
  <c r="E7" i="2"/>
  <c r="G7" i="2" s="1"/>
  <c r="E6" i="2"/>
  <c r="G6" i="2" s="1"/>
  <c r="E5" i="2"/>
  <c r="G5" i="2" s="1"/>
  <c r="E4" i="2"/>
  <c r="G4" i="2" s="1"/>
  <c r="E3" i="2"/>
  <c r="G3" i="2" s="1"/>
  <c r="E2" i="2"/>
  <c r="G2" i="2" s="1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E3" i="1"/>
  <c r="G3" i="1" s="1"/>
  <c r="J3" i="1" s="1"/>
  <c r="E2" i="1"/>
  <c r="G2" i="1" s="1"/>
  <c r="F3" i="1"/>
  <c r="H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I3" i="2" l="1"/>
  <c r="I5" i="2"/>
  <c r="I7" i="2"/>
  <c r="I8" i="2"/>
  <c r="I2" i="2"/>
  <c r="I9" i="2"/>
  <c r="I4" i="2"/>
  <c r="I6" i="2"/>
  <c r="I10" i="2"/>
  <c r="I11" i="2"/>
  <c r="I2" i="1"/>
  <c r="J2" i="1"/>
  <c r="I11" i="1"/>
  <c r="I12" i="1"/>
  <c r="I3" i="1"/>
  <c r="I5" i="1"/>
  <c r="I6" i="1"/>
  <c r="I7" i="1"/>
  <c r="I8" i="1"/>
  <c r="I4" i="1"/>
  <c r="I9" i="1"/>
  <c r="I10" i="1"/>
  <c r="F4" i="1"/>
  <c r="H4" i="1" s="1"/>
  <c r="J4" i="1" s="1"/>
  <c r="F5" i="1" l="1"/>
  <c r="H5" i="1" s="1"/>
  <c r="J5" i="1" s="1"/>
  <c r="F6" i="1" l="1"/>
  <c r="H6" i="1" s="1"/>
  <c r="J6" i="1" s="1"/>
  <c r="F7" i="1" l="1"/>
  <c r="H7" i="1" s="1"/>
  <c r="J7" i="1" s="1"/>
  <c r="F8" i="1" l="1"/>
  <c r="H8" i="1" s="1"/>
  <c r="J8" i="1" s="1"/>
  <c r="F9" i="1" l="1"/>
  <c r="H9" i="1" s="1"/>
  <c r="J9" i="1" s="1"/>
  <c r="F10" i="1" l="1"/>
  <c r="H10" i="1" s="1"/>
  <c r="J10" i="1" s="1"/>
  <c r="F11" i="1" l="1"/>
  <c r="H11" i="1" s="1"/>
  <c r="J11" i="1" s="1"/>
  <c r="F12" i="1" l="1"/>
  <c r="H12" i="1" s="1"/>
  <c r="J12" i="1" s="1"/>
  <c r="F3" i="2" l="1"/>
  <c r="B3" i="2"/>
  <c r="B4" i="2" s="1"/>
  <c r="B5" i="2" s="1"/>
  <c r="B6" i="2" s="1"/>
  <c r="B7" i="2" s="1"/>
  <c r="B8" i="2" s="1"/>
  <c r="B9" i="2" s="1"/>
  <c r="B10" i="2" s="1"/>
  <c r="B11" i="2" s="1"/>
  <c r="D3" i="2"/>
  <c r="D4" i="2" s="1"/>
  <c r="D5" i="2" s="1"/>
  <c r="D6" i="2" s="1"/>
  <c r="D7" i="2" s="1"/>
  <c r="D8" i="2" s="1"/>
  <c r="D9" i="2" s="1"/>
  <c r="D10" i="2" s="1"/>
  <c r="D11" i="2" s="1"/>
  <c r="H3" i="2" l="1"/>
  <c r="F4" i="2"/>
  <c r="F5" i="2" l="1"/>
  <c r="H4" i="2"/>
  <c r="F6" i="2" l="1"/>
  <c r="H5" i="2"/>
  <c r="F7" i="2" l="1"/>
  <c r="H6" i="2"/>
  <c r="F8" i="2" l="1"/>
  <c r="H7" i="2"/>
  <c r="F9" i="2" l="1"/>
  <c r="H8" i="2"/>
  <c r="F10" i="2" l="1"/>
  <c r="H9" i="2"/>
  <c r="F11" i="2" l="1"/>
  <c r="H11" i="2" s="1"/>
  <c r="H10" i="2"/>
  <c r="J10" i="2" s="1"/>
  <c r="J11" i="2" l="1"/>
  <c r="J2" i="2"/>
  <c r="J3" i="2"/>
  <c r="J4" i="2"/>
  <c r="J5" i="2"/>
  <c r="J6" i="2"/>
  <c r="J7" i="2"/>
  <c r="J8" i="2"/>
  <c r="J9" i="2"/>
</calcChain>
</file>

<file path=xl/sharedStrings.xml><?xml version="1.0" encoding="utf-8"?>
<sst xmlns="http://schemas.openxmlformats.org/spreadsheetml/2006/main" count="93" uniqueCount="64">
  <si>
    <t>r1</t>
  </si>
  <si>
    <t>r2</t>
  </si>
  <si>
    <t>r1_err</t>
  </si>
  <si>
    <t>r2_err</t>
  </si>
  <si>
    <t>h</t>
  </si>
  <si>
    <t>h_err</t>
  </si>
  <si>
    <t>d_hg</t>
  </si>
  <si>
    <t>torr_to_pa</t>
  </si>
  <si>
    <t>p</t>
  </si>
  <si>
    <t>p_err</t>
  </si>
  <si>
    <t>Celsius</t>
  </si>
  <si>
    <t>mm</t>
  </si>
  <si>
    <t>Pa</t>
  </si>
  <si>
    <t>d_k</t>
  </si>
  <si>
    <t>d_k_err</t>
  </si>
  <si>
    <t>l1</t>
  </si>
  <si>
    <t>l2</t>
  </si>
  <si>
    <t>l3</t>
  </si>
  <si>
    <t>l1_err</t>
  </si>
  <si>
    <t>l2_err</t>
  </si>
  <si>
    <t>l3_err</t>
  </si>
  <si>
    <t>d_cont</t>
  </si>
  <si>
    <t>d_tube</t>
  </si>
  <si>
    <t>s_tube</t>
  </si>
  <si>
    <t>s_cont</t>
  </si>
  <si>
    <t>d_tube_err</t>
  </si>
  <si>
    <t>s_tube_err</t>
  </si>
  <si>
    <t>d_cont_err</t>
  </si>
  <si>
    <t>s_cont_err</t>
  </si>
  <si>
    <t>Abbildung ins Laborbuch S.16</t>
  </si>
  <si>
    <t>h1</t>
  </si>
  <si>
    <t>h2</t>
  </si>
  <si>
    <t>h1_err</t>
  </si>
  <si>
    <t>h2_err</t>
  </si>
  <si>
    <t>v_s in ml</t>
  </si>
  <si>
    <t>fehler wurden mit Python im script schadenraum berechnet</t>
  </si>
  <si>
    <t>v_s_err in ml</t>
  </si>
  <si>
    <t>die Wand der Kugel ist von 0 bis 1 mm angenommen</t>
  </si>
  <si>
    <t>WICHTIG: FALLS WERTE GEÄNDERT WERDEN MÜSSEN, MUSS MAN ES IM PYTHON SCRIPT MACHEN, NICHT HIER!!!</t>
  </si>
  <si>
    <t>v_k_22 in ml</t>
  </si>
  <si>
    <t>Volumen der Kugel bei 22 C</t>
  </si>
  <si>
    <t>t_th</t>
  </si>
  <si>
    <t>t_th_err</t>
  </si>
  <si>
    <t>t_gas</t>
  </si>
  <si>
    <t>t_gas_err</t>
  </si>
  <si>
    <t>p_atm_pascal</t>
  </si>
  <si>
    <t>p_atm_torr</t>
  </si>
  <si>
    <t>p_atm_torr_err</t>
  </si>
  <si>
    <t>p_atm_pascal_err</t>
  </si>
  <si>
    <t>T0 in K</t>
  </si>
  <si>
    <t>alpha (1/T0)</t>
  </si>
  <si>
    <t>v_k_0 in ml</t>
  </si>
  <si>
    <t>v_k_22_err in ml</t>
  </si>
  <si>
    <t>gamma</t>
  </si>
  <si>
    <t>t_gas_corr</t>
  </si>
  <si>
    <t>t_gas_corr_err</t>
  </si>
  <si>
    <t>t_amb in C</t>
  </si>
  <si>
    <t>v_k_0_err</t>
  </si>
  <si>
    <t>vol_k_t</t>
  </si>
  <si>
    <t>vol_k_t_err</t>
  </si>
  <si>
    <t>ml</t>
  </si>
  <si>
    <t>vs: c9, c12</t>
  </si>
  <si>
    <t>ck: A9, A12</t>
  </si>
  <si>
    <t>t_amb: 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</si>
</sst>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F4AC-1D9D-4673-8BF0-E68A7CEC8386}">
  <dimension ref="A1:P13"/>
  <sheetViews>
    <sheetView tabSelected="1" workbookViewId="0">
      <selection activeCell="M12" sqref="M12"/>
    </sheetView>
    <sheetView workbookViewId="1"/>
  </sheetViews>
  <sheetFormatPr defaultRowHeight="14.4" x14ac:dyDescent="0.3"/>
  <cols>
    <col min="11" max="11" width="8.88671875" hidden="1" customWidth="1"/>
    <col min="12" max="12" width="11.6640625" hidden="1" customWidth="1"/>
    <col min="13" max="13" width="9.6640625" customWidth="1"/>
    <col min="14" max="14" width="13.21875" customWidth="1"/>
  </cols>
  <sheetData>
    <row r="1" spans="1:16" x14ac:dyDescent="0.3">
      <c r="A1" t="s">
        <v>41</v>
      </c>
      <c r="B1" t="s">
        <v>42</v>
      </c>
      <c r="C1" t="s">
        <v>1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43</v>
      </c>
      <c r="J1" t="s">
        <v>44</v>
      </c>
      <c r="K1" t="s">
        <v>58</v>
      </c>
      <c r="L1" t="s">
        <v>59</v>
      </c>
      <c r="M1" t="s">
        <v>54</v>
      </c>
      <c r="N1" t="s">
        <v>55</v>
      </c>
    </row>
    <row r="2" spans="1:16" x14ac:dyDescent="0.3">
      <c r="A2">
        <v>1</v>
      </c>
      <c r="B2">
        <v>0.5</v>
      </c>
      <c r="C2">
        <v>75</v>
      </c>
      <c r="D2">
        <v>1</v>
      </c>
      <c r="E2">
        <f>C2-Constants!$A$2</f>
        <v>-25</v>
      </c>
      <c r="F2">
        <v>1</v>
      </c>
      <c r="G2">
        <f>E2*Constants!$B$8 + Constants!$B$2</f>
        <v>91575.940799999997</v>
      </c>
      <c r="H2">
        <f>SQRT((F2*Constants!$B$8)^2 + Constants!$B$4)</f>
        <v>133.3935366092654</v>
      </c>
      <c r="I2">
        <f>(G2-$G$2)/(Constants!$C$8*$G$2)</f>
        <v>0</v>
      </c>
      <c r="J2">
        <f>SQRT((G2*$H$2)^2+($G$2*H2)^2)/(Constants!$C$8*$G$2^2)</f>
        <v>0.56269052287646859</v>
      </c>
      <c r="K2">
        <f>Constants!$D$2*(1+Constants!$E$8*I2)</f>
        <v>147.9521522739546</v>
      </c>
      <c r="L2">
        <f>K2/Vols!$A$9*Vols!$A$12</f>
        <v>6.997736931876231</v>
      </c>
      <c r="M2">
        <f>G2*Constants!$D$8/$G$2*(1+Constants!$E$8*I2+Vols!$C$9*I2/(Vols!$A$9*(Constants!$F$8+Constants!$D$8))) - Constants!$D$8</f>
        <v>0</v>
      </c>
      <c r="P2" t="s">
        <v>61</v>
      </c>
    </row>
    <row r="3" spans="1:16" x14ac:dyDescent="0.3">
      <c r="A3">
        <v>10</v>
      </c>
      <c r="B3">
        <f>B2</f>
        <v>0.5</v>
      </c>
      <c r="C3">
        <v>101</v>
      </c>
      <c r="D3">
        <f>D2</f>
        <v>1</v>
      </c>
      <c r="E3">
        <f>C3-Constants!$A$2</f>
        <v>1</v>
      </c>
      <c r="F3">
        <f>F2</f>
        <v>1</v>
      </c>
      <c r="G3">
        <f>E3*Constants!$B$8 + Constants!$B$2</f>
        <v>95042.322367999994</v>
      </c>
      <c r="H3">
        <f>SQRT((F3*Constants!$B$8)^2 + Constants!$B$4)</f>
        <v>133.3935366092654</v>
      </c>
      <c r="I3">
        <f>(G3-$G$2)/(Constants!$C$8*$G$2)</f>
        <v>10.339420125282505</v>
      </c>
      <c r="J3">
        <f>SQRT((G3*$H$2)^2+($G$2*H3)^2)/(Constants!$C$8*$G$2^2)</f>
        <v>0.57343905284830687</v>
      </c>
      <c r="K3">
        <f>Constants!$D$2*(1+Constants!$E$8*I3)</f>
        <v>147.97463944402836</v>
      </c>
      <c r="L3">
        <f>K3/Vols!$A$9*Vols!$A$12</f>
        <v>6.9988005142445839</v>
      </c>
      <c r="M3">
        <f>G3*Constants!$D$8/$G$2*(1+Constants!$E$8*I3+Vols!$C$9*I3/(Vols!$A$9*(Constants!$F$8+Constants!$D$8))) - Constants!$D$8</f>
        <v>10.811953481449393</v>
      </c>
      <c r="P3" t="s">
        <v>62</v>
      </c>
    </row>
    <row r="4" spans="1:16" x14ac:dyDescent="0.3">
      <c r="A4">
        <v>20.5</v>
      </c>
      <c r="B4">
        <f t="shared" ref="B4:B12" si="0">B3</f>
        <v>0.5</v>
      </c>
      <c r="C4">
        <v>128</v>
      </c>
      <c r="D4">
        <f t="shared" ref="D4:D12" si="1">D3</f>
        <v>1</v>
      </c>
      <c r="E4">
        <f>C4-Constants!$A$2</f>
        <v>28</v>
      </c>
      <c r="F4">
        <f t="shared" ref="F4:F12" si="2">F3</f>
        <v>1</v>
      </c>
      <c r="G4">
        <f>E4*Constants!$B$8 + Constants!$B$2</f>
        <v>98642.026303999999</v>
      </c>
      <c r="H4">
        <f>SQRT((F4*Constants!$B$8)^2 + Constants!$B$4)</f>
        <v>133.3935366092654</v>
      </c>
      <c r="I4">
        <f>(G4-$G$2)/(Constants!$C$8*$G$2)</f>
        <v>21.076510255383592</v>
      </c>
      <c r="J4">
        <f>SQRT((G4*$H$2)^2+($G$2*H4)^2)/(Constants!$C$8*$G$2^2)</f>
        <v>0.58480246112788181</v>
      </c>
      <c r="K4">
        <f>Constants!$D$2*(1+Constants!$E$8*I4)</f>
        <v>147.99799150525882</v>
      </c>
      <c r="L4">
        <f>K4/Vols!$A$9*Vols!$A$12</f>
        <v>6.9999050036271067</v>
      </c>
      <c r="M4">
        <f>G4*Constants!$D$8/$G$2*(1+Constants!$E$8*I4+Vols!$C$9*I4/(Vols!$A$9*(Constants!$F$8+Constants!$D$8))) - Constants!$D$8</f>
        <v>22.076233839702184</v>
      </c>
      <c r="P4" t="s">
        <v>63</v>
      </c>
    </row>
    <row r="5" spans="1:16" x14ac:dyDescent="0.3">
      <c r="A5">
        <v>30.5</v>
      </c>
      <c r="B5">
        <f t="shared" si="0"/>
        <v>0.5</v>
      </c>
      <c r="C5">
        <v>151</v>
      </c>
      <c r="D5">
        <f t="shared" si="1"/>
        <v>1</v>
      </c>
      <c r="E5">
        <f>C5-Constants!$A$2</f>
        <v>51</v>
      </c>
      <c r="F5">
        <f t="shared" si="2"/>
        <v>1</v>
      </c>
      <c r="G5">
        <f>E5*Constants!$B$8 + Constants!$B$2</f>
        <v>101708.440768</v>
      </c>
      <c r="H5">
        <f>SQRT((F5*Constants!$B$8)^2 + Constants!$B$4)</f>
        <v>133.3935366092654</v>
      </c>
      <c r="I5">
        <f>(G5-$G$2)/(Constants!$C$8*$G$2)</f>
        <v>30.222920366210435</v>
      </c>
      <c r="J5">
        <f>SQRT((G5*$H$2)^2+($G$2*H5)^2)/(Constants!$C$8*$G$2^2)</f>
        <v>0.59463560741341559</v>
      </c>
      <c r="K5">
        <f>Constants!$D$2*(1+Constants!$E$8*I5)</f>
        <v>148.01788400186251</v>
      </c>
      <c r="L5">
        <f>K5/Vols!$A$9*Vols!$A$12</f>
        <v>7.0008458649529555</v>
      </c>
      <c r="M5">
        <f>G5*Constants!$D$8/$G$2*(1+Constants!$E$8*I5+Vols!$C$9*I5/(Vols!$A$9*(Constants!$F$8+Constants!$D$8))) - Constants!$D$8</f>
        <v>31.701050503337513</v>
      </c>
    </row>
    <row r="6" spans="1:16" x14ac:dyDescent="0.3">
      <c r="A6">
        <v>40.5</v>
      </c>
      <c r="B6">
        <f t="shared" si="0"/>
        <v>0.5</v>
      </c>
      <c r="C6">
        <v>174</v>
      </c>
      <c r="D6">
        <f t="shared" si="1"/>
        <v>1</v>
      </c>
      <c r="E6">
        <f>C6-Constants!$A$2</f>
        <v>74</v>
      </c>
      <c r="F6">
        <f t="shared" si="2"/>
        <v>1</v>
      </c>
      <c r="G6">
        <f>E6*Constants!$B$8 + Constants!$B$2</f>
        <v>104774.855232</v>
      </c>
      <c r="H6">
        <f>SQRT((F6*Constants!$B$8)^2 + Constants!$B$4)</f>
        <v>133.3935366092654</v>
      </c>
      <c r="I6">
        <f>(G6-$G$2)/(Constants!$C$8*$G$2)</f>
        <v>39.369330477037273</v>
      </c>
      <c r="J6">
        <f>SQRT((G6*$H$2)^2+($G$2*H6)^2)/(Constants!$C$8*$G$2^2)</f>
        <v>0.6046024319010963</v>
      </c>
      <c r="K6">
        <f>Constants!$D$2*(1+Constants!$E$8*I6)</f>
        <v>148.03777649846623</v>
      </c>
      <c r="L6">
        <f>K6/Vols!$A$9*Vols!$A$12</f>
        <v>7.0017867262788069</v>
      </c>
      <c r="M6">
        <f>G6*Constants!$D$8/$G$2*(1+Constants!$E$8*I6+Vols!$C$9*I6/(Vols!$A$9*(Constants!$F$8+Constants!$D$8))) - Constants!$D$8</f>
        <v>41.352840261197798</v>
      </c>
    </row>
    <row r="7" spans="1:16" x14ac:dyDescent="0.3">
      <c r="A7">
        <v>49.5</v>
      </c>
      <c r="B7">
        <f t="shared" si="0"/>
        <v>0.5</v>
      </c>
      <c r="C7">
        <v>199</v>
      </c>
      <c r="D7">
        <f t="shared" si="1"/>
        <v>1</v>
      </c>
      <c r="E7">
        <f>C7-Constants!$A$2</f>
        <v>99</v>
      </c>
      <c r="F7">
        <f t="shared" si="2"/>
        <v>1</v>
      </c>
      <c r="G7">
        <f>E7*Constants!$B$8 + Constants!$B$2</f>
        <v>108107.91443200001</v>
      </c>
      <c r="H7">
        <f>SQRT((F7*Constants!$B$8)^2 + Constants!$B$4)</f>
        <v>133.3935366092654</v>
      </c>
      <c r="I7">
        <f>(G7-$G$2)/(Constants!$C$8*$G$2)</f>
        <v>49.311080597501238</v>
      </c>
      <c r="J7">
        <f>SQRT((G7*$H$2)^2+($G$2*H7)^2)/(Constants!$C$8*$G$2^2)</f>
        <v>0.61557997642815354</v>
      </c>
      <c r="K7">
        <f>Constants!$D$2*(1+Constants!$E$8*I7)</f>
        <v>148.05939877738331</v>
      </c>
      <c r="L7">
        <f>K7/Vols!$A$9*Vols!$A$12</f>
        <v>7.0028094016329945</v>
      </c>
      <c r="M7">
        <f>G7*Constants!$D$8/$G$2*(1+Constants!$E$8*I7+Vols!$C$9*I7/(Vols!$A$9*(Constants!$F$8+Constants!$D$8))) - Constants!$D$8</f>
        <v>51.874509386537397</v>
      </c>
    </row>
    <row r="8" spans="1:16" x14ac:dyDescent="0.3">
      <c r="A8">
        <v>60</v>
      </c>
      <c r="B8">
        <f t="shared" si="0"/>
        <v>0.5</v>
      </c>
      <c r="C8">
        <v>226</v>
      </c>
      <c r="D8">
        <f t="shared" si="1"/>
        <v>1</v>
      </c>
      <c r="E8">
        <f>C8-Constants!$A$2</f>
        <v>126</v>
      </c>
      <c r="F8">
        <f t="shared" si="2"/>
        <v>1</v>
      </c>
      <c r="G8">
        <f>E8*Constants!$B$8 + Constants!$B$2</f>
        <v>111707.618368</v>
      </c>
      <c r="H8">
        <f>SQRT((F8*Constants!$B$8)^2 + Constants!$B$4)</f>
        <v>133.3935366092654</v>
      </c>
      <c r="I8">
        <f>(G8-$G$2)/(Constants!$C$8*$G$2)</f>
        <v>60.048170727602283</v>
      </c>
      <c r="J8">
        <f>SQRT((G8*$H$2)^2+($G$2*H8)^2)/(Constants!$C$8*$G$2^2)</f>
        <v>0.62759540282899495</v>
      </c>
      <c r="K8">
        <f>Constants!$D$2*(1+Constants!$E$8*I8)</f>
        <v>148.08275083861378</v>
      </c>
      <c r="L8">
        <f>K8/Vols!$A$9*Vols!$A$12</f>
        <v>7.0039138910155163</v>
      </c>
      <c r="M8">
        <f>G8*Constants!$D$8/$G$2*(1+Constants!$E$8*I8+Vols!$C$9*I8/(Vols!$A$9*(Constants!$F$8+Constants!$D$8))) - Constants!$D$8</f>
        <v>63.273706204750795</v>
      </c>
    </row>
    <row r="9" spans="1:16" x14ac:dyDescent="0.3">
      <c r="A9">
        <v>70</v>
      </c>
      <c r="B9">
        <f t="shared" si="0"/>
        <v>0.5</v>
      </c>
      <c r="C9">
        <v>250</v>
      </c>
      <c r="D9">
        <f t="shared" si="1"/>
        <v>1</v>
      </c>
      <c r="E9">
        <f>C9-Constants!$A$2</f>
        <v>150</v>
      </c>
      <c r="F9">
        <f t="shared" si="2"/>
        <v>1</v>
      </c>
      <c r="G9">
        <f>E9*Constants!$B$8 + Constants!$B$2</f>
        <v>114907.35520000001</v>
      </c>
      <c r="H9">
        <f>SQRT((F9*Constants!$B$8)^2 + Constants!$B$4)</f>
        <v>133.3935366092654</v>
      </c>
      <c r="I9">
        <f>(G9-$G$2)/(Constants!$C$8*$G$2)</f>
        <v>69.592250843247712</v>
      </c>
      <c r="J9">
        <f>SQRT((G9*$H$2)^2+($G$2*H9)^2)/(Constants!$C$8*$G$2^2)</f>
        <v>0.63840761475396701</v>
      </c>
      <c r="K9">
        <f>Constants!$D$2*(1+Constants!$E$8*I9)</f>
        <v>148.10350822637415</v>
      </c>
      <c r="L9">
        <f>K9/Vols!$A$9*Vols!$A$12</f>
        <v>7.0048956593555332</v>
      </c>
      <c r="M9">
        <f>G9*Constants!$D$8/$G$2*(1+Constants!$E$8*I9+Vols!$C$9*I9/(Vols!$A$9*(Constants!$F$8+Constants!$D$8))) - Constants!$D$8</f>
        <v>73.43753076632828</v>
      </c>
    </row>
    <row r="10" spans="1:16" x14ac:dyDescent="0.3">
      <c r="A10">
        <v>80</v>
      </c>
      <c r="B10">
        <f t="shared" si="0"/>
        <v>0.5</v>
      </c>
      <c r="C10">
        <v>275</v>
      </c>
      <c r="D10">
        <f t="shared" si="1"/>
        <v>1</v>
      </c>
      <c r="E10">
        <f>C10-Constants!$A$2</f>
        <v>175</v>
      </c>
      <c r="F10">
        <f t="shared" si="2"/>
        <v>1</v>
      </c>
      <c r="G10">
        <f>E10*Constants!$B$8 + Constants!$B$2</f>
        <v>118240.41440000001</v>
      </c>
      <c r="H10">
        <f>SQRT((F10*Constants!$B$8)^2 + Constants!$B$4)</f>
        <v>133.3935366092654</v>
      </c>
      <c r="I10">
        <f>(G10-$G$2)/(Constants!$C$8*$G$2)</f>
        <v>79.534000963711676</v>
      </c>
      <c r="J10">
        <f>SQRT((G10*$H$2)^2+($G$2*H10)^2)/(Constants!$C$8*$G$2^2)</f>
        <v>0.64979532567238341</v>
      </c>
      <c r="K10">
        <f>Constants!$D$2*(1+Constants!$E$8*I10)</f>
        <v>148.12513050529125</v>
      </c>
      <c r="L10">
        <f>K10/Vols!$A$9*Vols!$A$12</f>
        <v>7.0059183347097216</v>
      </c>
      <c r="M10">
        <f>G10*Constants!$D$8/$G$2*(1+Constants!$E$8*I10+Vols!$C$9*I10/(Vols!$A$9*(Constants!$F$8+Constants!$D$8))) - Constants!$D$8</f>
        <v>84.056078679999473</v>
      </c>
    </row>
    <row r="11" spans="1:16" x14ac:dyDescent="0.3">
      <c r="A11">
        <v>90</v>
      </c>
      <c r="B11">
        <f t="shared" si="0"/>
        <v>0.5</v>
      </c>
      <c r="C11">
        <v>299</v>
      </c>
      <c r="D11">
        <f t="shared" si="1"/>
        <v>1</v>
      </c>
      <c r="E11">
        <f>C11-Constants!$A$2</f>
        <v>199</v>
      </c>
      <c r="F11">
        <f t="shared" si="2"/>
        <v>1</v>
      </c>
      <c r="G11">
        <f>E11*Constants!$B$8 + Constants!$B$2</f>
        <v>121440.151232</v>
      </c>
      <c r="H11">
        <f>SQRT((F11*Constants!$B$8)^2 + Constants!$B$4)</f>
        <v>133.3935366092654</v>
      </c>
      <c r="I11">
        <f>(G11-$G$2)/(Constants!$C$8*$G$2)</f>
        <v>89.078081079357062</v>
      </c>
      <c r="J11">
        <f>SQRT((G11*$H$2)^2+($G$2*H11)^2)/(Constants!$C$8*$G$2^2)</f>
        <v>0.66084148107272289</v>
      </c>
      <c r="K11">
        <f>Constants!$D$2*(1+Constants!$E$8*I11)</f>
        <v>148.14588789305162</v>
      </c>
      <c r="L11">
        <f>K11/Vols!$A$9*Vols!$A$12</f>
        <v>7.0069001030497393</v>
      </c>
      <c r="M11">
        <f>G11*Constants!$D$8/$G$2*(1+Constants!$E$8*I11+Vols!$C$9*I11/(Vols!$A$9*(Constants!$F$8+Constants!$D$8))) - Constants!$D$8</f>
        <v>94.279866112670504</v>
      </c>
    </row>
    <row r="12" spans="1:16" x14ac:dyDescent="0.3">
      <c r="A12">
        <v>97</v>
      </c>
      <c r="B12">
        <f t="shared" si="0"/>
        <v>0.5</v>
      </c>
      <c r="C12">
        <v>317</v>
      </c>
      <c r="D12">
        <f t="shared" si="1"/>
        <v>1</v>
      </c>
      <c r="E12">
        <f>C12-Constants!$A$2</f>
        <v>217</v>
      </c>
      <c r="F12">
        <f t="shared" si="2"/>
        <v>1</v>
      </c>
      <c r="G12">
        <f>E12*Constants!$B$8 + Constants!$B$2</f>
        <v>123839.95385600001</v>
      </c>
      <c r="H12">
        <f>SQRT((F12*Constants!$B$8)^2 + Constants!$B$4)</f>
        <v>133.3935366092654</v>
      </c>
      <c r="I12">
        <f>(G12-$G$2)/(Constants!$C$8*$G$2)</f>
        <v>96.236141166091116</v>
      </c>
      <c r="J12">
        <f>SQRT((G12*$H$2)^2+($G$2*H12)^2)/(Constants!$C$8*$G$2^2)</f>
        <v>0.66919597988626855</v>
      </c>
      <c r="K12">
        <f>Constants!$D$2*(1+Constants!$E$8*I12)</f>
        <v>148.16145593387193</v>
      </c>
      <c r="L12">
        <f>K12/Vols!$A$9*Vols!$A$12</f>
        <v>7.0076364293047542</v>
      </c>
      <c r="M12">
        <f>G12*Constants!$D$8/$G$2*(1+Constants!$E$8*I12+Vols!$C$9*I12/(Vols!$A$9*(Constants!$F$8+Constants!$D$8))) - Constants!$D$8</f>
        <v>101.96698046716818</v>
      </c>
    </row>
    <row r="13" spans="1:16" x14ac:dyDescent="0.3">
      <c r="A13" t="s">
        <v>10</v>
      </c>
      <c r="B13" t="s">
        <v>10</v>
      </c>
      <c r="C13" t="s">
        <v>11</v>
      </c>
      <c r="D13" t="s">
        <v>11</v>
      </c>
      <c r="E13" t="s">
        <v>11</v>
      </c>
      <c r="F13" t="s">
        <v>11</v>
      </c>
      <c r="G13" t="s">
        <v>12</v>
      </c>
      <c r="H13" t="s">
        <v>12</v>
      </c>
      <c r="I13" t="s">
        <v>10</v>
      </c>
      <c r="J13" t="s">
        <v>10</v>
      </c>
      <c r="K13" t="s">
        <v>60</v>
      </c>
      <c r="L13" t="s">
        <v>60</v>
      </c>
      <c r="M13" t="s">
        <v>10</v>
      </c>
    </row>
  </sheetData>
  <pageMargins left="0.7" right="0.7" top="0.75" bottom="0.75" header="0.3" footer="0.3"/>
  <pageSetup paperSize="9" orientation="portrait" r:id="rId1"/>
  <ignoredErrors>
    <ignoredError sqref="F3:F7 E3:E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BF6D-330A-4A19-B7A2-47413CD7946A}">
  <dimension ref="A1:J12"/>
  <sheetViews>
    <sheetView workbookViewId="0">
      <selection activeCell="G10" sqref="G10"/>
    </sheetView>
    <sheetView workbookViewId="1"/>
  </sheetViews>
  <sheetFormatPr defaultRowHeight="14.4" x14ac:dyDescent="0.3"/>
  <sheetData>
    <row r="1" spans="1:10" x14ac:dyDescent="0.3">
      <c r="A1" t="s">
        <v>41</v>
      </c>
      <c r="B1" t="s">
        <v>42</v>
      </c>
      <c r="C1" t="s">
        <v>1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43</v>
      </c>
      <c r="J1" t="s">
        <v>44</v>
      </c>
    </row>
    <row r="2" spans="1:10" x14ac:dyDescent="0.3">
      <c r="A2">
        <v>89</v>
      </c>
      <c r="B2">
        <v>0.5</v>
      </c>
      <c r="C2">
        <v>298</v>
      </c>
      <c r="D2">
        <v>1</v>
      </c>
      <c r="E2">
        <f>C2-Constants!$A$2</f>
        <v>198</v>
      </c>
      <c r="F2">
        <v>1</v>
      </c>
      <c r="G2">
        <f>E2*Constants!$B$8 + Constants!$B$2</f>
        <v>121306.82886400001</v>
      </c>
      <c r="H2">
        <f>SQRT((F2*Constants!$B$8)^2 + Constants!$B$4)</f>
        <v>133.3935366092654</v>
      </c>
      <c r="I2">
        <f>(G2-$G$11)/(Constants!$C$8*$G$11)</f>
        <v>88.680411074538512</v>
      </c>
      <c r="J2">
        <f>SQRT((G2*$H$11)^2+($G$11*H2)^2)/(Constants!$C$8*$G$11^2)</f>
        <v>0.66037907028055065</v>
      </c>
    </row>
    <row r="3" spans="1:10" x14ac:dyDescent="0.3">
      <c r="A3">
        <v>79</v>
      </c>
      <c r="B3">
        <f>B2</f>
        <v>0.5</v>
      </c>
      <c r="C3">
        <v>277</v>
      </c>
      <c r="D3">
        <f>D2</f>
        <v>1</v>
      </c>
      <c r="E3">
        <f>C3-Constants!$A$2</f>
        <v>177</v>
      </c>
      <c r="F3">
        <f>F2</f>
        <v>1</v>
      </c>
      <c r="G3">
        <f>E3*Constants!$B$8 + Constants!$B$2</f>
        <v>118507.059136</v>
      </c>
      <c r="H3">
        <f>SQRT((F3*Constants!$B$8)^2 + Constants!$B$4)</f>
        <v>133.3935366092654</v>
      </c>
      <c r="I3">
        <f>(G3-$G$11)/(Constants!$C$8*$G$11)</f>
        <v>80.329340973348749</v>
      </c>
      <c r="J3">
        <f>SQRT((G3*$H$11)^2+($G$11*H3)^2)/(Constants!$C$8*$G$11^2)</f>
        <v>0.65071165609777526</v>
      </c>
    </row>
    <row r="4" spans="1:10" x14ac:dyDescent="0.3">
      <c r="A4">
        <v>70</v>
      </c>
      <c r="B4">
        <f>B3</f>
        <v>0.5</v>
      </c>
      <c r="C4">
        <v>250</v>
      </c>
      <c r="D4">
        <f>D3</f>
        <v>1</v>
      </c>
      <c r="E4">
        <f>C4-Constants!$A$2</f>
        <v>150</v>
      </c>
      <c r="F4">
        <f>F3</f>
        <v>1</v>
      </c>
      <c r="G4">
        <f>E4*Constants!$B$8 + Constants!$B$2</f>
        <v>114907.35520000001</v>
      </c>
      <c r="H4">
        <f>SQRT((F4*Constants!$B$8)^2 + Constants!$B$4)</f>
        <v>133.3935366092654</v>
      </c>
      <c r="I4">
        <f>(G4-$G$11)/(Constants!$C$8*$G$11)</f>
        <v>69.592250843247712</v>
      </c>
      <c r="J4">
        <f>SQRT((G4*$H$11)^2+($G$11*H4)^2)/(Constants!$C$8*$G$11^2)</f>
        <v>0.63840761475396701</v>
      </c>
    </row>
    <row r="5" spans="1:10" x14ac:dyDescent="0.3">
      <c r="A5">
        <v>59.5</v>
      </c>
      <c r="B5">
        <f>B4</f>
        <v>0.5</v>
      </c>
      <c r="C5">
        <v>222</v>
      </c>
      <c r="D5">
        <f>D4</f>
        <v>1</v>
      </c>
      <c r="E5">
        <f>C5-Constants!$A$2</f>
        <v>122</v>
      </c>
      <c r="F5">
        <f>F4</f>
        <v>1</v>
      </c>
      <c r="G5">
        <f>E5*Constants!$B$8 + Constants!$B$2</f>
        <v>111174.32889600001</v>
      </c>
      <c r="H5">
        <f>SQRT((F5*Constants!$B$8)^2 + Constants!$B$4)</f>
        <v>133.3935366092654</v>
      </c>
      <c r="I5">
        <f>(G5-$G$11)/(Constants!$C$8*$G$11)</f>
        <v>58.457490708328081</v>
      </c>
      <c r="J5">
        <f>SQRT((G5*$H$11)^2+($G$11*H5)^2)/(Constants!$C$8*$G$11^2)</f>
        <v>0.62580523222856621</v>
      </c>
    </row>
    <row r="6" spans="1:10" x14ac:dyDescent="0.3">
      <c r="A6">
        <v>50</v>
      </c>
      <c r="B6">
        <f>B5</f>
        <v>0.5</v>
      </c>
      <c r="C6">
        <v>199</v>
      </c>
      <c r="D6">
        <f>D5</f>
        <v>1</v>
      </c>
      <c r="E6">
        <f>C6-Constants!$A$2</f>
        <v>99</v>
      </c>
      <c r="F6">
        <f>F5</f>
        <v>1</v>
      </c>
      <c r="G6">
        <f>E6*Constants!$B$8 + Constants!$B$2</f>
        <v>108107.91443200001</v>
      </c>
      <c r="H6">
        <f>SQRT((F6*Constants!$B$8)^2 + Constants!$B$4)</f>
        <v>133.3935366092654</v>
      </c>
      <c r="I6">
        <f>(G6-$G$11)/(Constants!$C$8*$G$11)</f>
        <v>49.311080597501238</v>
      </c>
      <c r="J6">
        <f>SQRT((G6*$H$11)^2+($G$11*H6)^2)/(Constants!$C$8*$G$11^2)</f>
        <v>0.61557997642815354</v>
      </c>
    </row>
    <row r="7" spans="1:10" x14ac:dyDescent="0.3">
      <c r="A7">
        <v>41</v>
      </c>
      <c r="B7">
        <f>B6</f>
        <v>0.5</v>
      </c>
      <c r="C7">
        <v>177</v>
      </c>
      <c r="D7">
        <f>D6</f>
        <v>1</v>
      </c>
      <c r="E7">
        <f>C7-Constants!$A$2</f>
        <v>77</v>
      </c>
      <c r="F7">
        <f>F6</f>
        <v>1</v>
      </c>
      <c r="G7">
        <f>E7*Constants!$B$8 + Constants!$B$2</f>
        <v>105174.822336</v>
      </c>
      <c r="H7">
        <f>SQRT((F7*Constants!$B$8)^2 + Constants!$B$4)</f>
        <v>133.3935366092654</v>
      </c>
      <c r="I7">
        <f>(G7-$G$11)/(Constants!$C$8*$G$11)</f>
        <v>40.56234049149294</v>
      </c>
      <c r="J7">
        <f>SQRT((G7*$H$11)^2+($G$11*H7)^2)/(Constants!$C$8*$G$11^2)</f>
        <v>0.60591196341597753</v>
      </c>
    </row>
    <row r="8" spans="1:10" x14ac:dyDescent="0.3">
      <c r="A8">
        <v>31</v>
      </c>
      <c r="B8">
        <f>B7</f>
        <v>0.5</v>
      </c>
      <c r="C8">
        <v>150</v>
      </c>
      <c r="D8">
        <f>D7</f>
        <v>1</v>
      </c>
      <c r="E8">
        <f>C8-Constants!$A$2</f>
        <v>50</v>
      </c>
      <c r="F8">
        <f>F7</f>
        <v>1</v>
      </c>
      <c r="G8">
        <f>E8*Constants!$B$8 + Constants!$B$2</f>
        <v>101575.11840000001</v>
      </c>
      <c r="H8">
        <f>SQRT((F8*Constants!$B$8)^2 + Constants!$B$4)</f>
        <v>133.3935366092654</v>
      </c>
      <c r="I8">
        <f>(G8-$G$11)/(Constants!$C$8*$G$11)</f>
        <v>29.825250361391895</v>
      </c>
      <c r="J8">
        <f>SQRT((G8*$H$11)^2+($G$11*H8)^2)/(Constants!$C$8*$G$11^2)</f>
        <v>0.59420525129737067</v>
      </c>
    </row>
    <row r="9" spans="1:10" x14ac:dyDescent="0.3">
      <c r="A9">
        <v>20</v>
      </c>
      <c r="B9">
        <f>B8</f>
        <v>0.5</v>
      </c>
      <c r="C9">
        <v>125</v>
      </c>
      <c r="D9">
        <f>D8</f>
        <v>1</v>
      </c>
      <c r="E9">
        <f>C9-Constants!$A$2</f>
        <v>25</v>
      </c>
      <c r="F9">
        <f>F8</f>
        <v>1</v>
      </c>
      <c r="G9">
        <f>E9*Constants!$B$8 + Constants!$B$2</f>
        <v>98242.059200000003</v>
      </c>
      <c r="H9">
        <f>SQRT((F9*Constants!$B$8)^2 + Constants!$B$4)</f>
        <v>133.3935366092654</v>
      </c>
      <c r="I9">
        <f>(G9-$G$11)/(Constants!$C$8*$G$11)</f>
        <v>19.88350024092793</v>
      </c>
      <c r="J9">
        <f>SQRT((G9*$H$11)^2+($G$11*H9)^2)/(Constants!$C$8*$G$11^2)</f>
        <v>0.58353008697578013</v>
      </c>
    </row>
    <row r="10" spans="1:10" x14ac:dyDescent="0.3">
      <c r="A10">
        <v>9</v>
      </c>
      <c r="B10">
        <f>B9</f>
        <v>0.5</v>
      </c>
      <c r="C10">
        <v>95</v>
      </c>
      <c r="D10">
        <f>D9</f>
        <v>1</v>
      </c>
      <c r="E10">
        <f>C10-Constants!$A$2</f>
        <v>-5</v>
      </c>
      <c r="F10">
        <f>F9</f>
        <v>1</v>
      </c>
      <c r="G10">
        <f>E10*Constants!$B$8 + Constants!$B$2</f>
        <v>94242.388160000002</v>
      </c>
      <c r="H10">
        <f>SQRT((F10*Constants!$B$8)^2 + Constants!$B$4)</f>
        <v>133.3935366092654</v>
      </c>
      <c r="I10">
        <f>(G10-$G$11)/(Constants!$C$8*$G$11)</f>
        <v>7.9534000963711806</v>
      </c>
      <c r="J10">
        <f>SQRT((G10*$H$11)^2+($G$11*H10)^2)/(Constants!$C$8*$G$11^2)</f>
        <v>0.57094132088897243</v>
      </c>
    </row>
    <row r="11" spans="1:10" x14ac:dyDescent="0.3">
      <c r="A11">
        <v>1</v>
      </c>
      <c r="B11">
        <f>B10</f>
        <v>0.5</v>
      </c>
      <c r="C11">
        <v>75</v>
      </c>
      <c r="D11">
        <f>D10</f>
        <v>1</v>
      </c>
      <c r="E11">
        <f>C11-Constants!$A$2</f>
        <v>-25</v>
      </c>
      <c r="F11">
        <f>F10</f>
        <v>1</v>
      </c>
      <c r="G11">
        <f>E11*Constants!$B$8 + Constants!$B$2</f>
        <v>91575.940799999997</v>
      </c>
      <c r="H11">
        <f>SQRT((F11*Constants!$B$8)^2 + Constants!$B$4)</f>
        <v>133.3935366092654</v>
      </c>
      <c r="I11">
        <f>(G11-$G$11)/(Constants!$C$8*$G$11)</f>
        <v>0</v>
      </c>
      <c r="J11">
        <f>SQRT((G11*$H$11)^2+($G$11*H11)^2)/(Constants!$C$8*$G$11^2)</f>
        <v>0.56269052287646859</v>
      </c>
    </row>
    <row r="12" spans="1:10" x14ac:dyDescent="0.3">
      <c r="A12" t="s">
        <v>10</v>
      </c>
      <c r="B12" t="s">
        <v>10</v>
      </c>
      <c r="C12" t="s">
        <v>11</v>
      </c>
      <c r="D12" t="s">
        <v>11</v>
      </c>
      <c r="E12" t="s">
        <v>11</v>
      </c>
      <c r="F12" t="s">
        <v>11</v>
      </c>
      <c r="G12" t="s">
        <v>12</v>
      </c>
      <c r="H12" t="s">
        <v>12</v>
      </c>
      <c r="I12" t="s">
        <v>10</v>
      </c>
      <c r="J12" t="s">
        <v>10</v>
      </c>
    </row>
  </sheetData>
  <pageMargins left="0.7" right="0.7" top="0.75" bottom="0.75" header="0.3" footer="0.3"/>
  <ignoredErrors>
    <ignoredError sqref="E3:E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F57A-B190-4AE9-8544-F4154B1DD192}">
  <dimension ref="A1:F8"/>
  <sheetViews>
    <sheetView workbookViewId="0">
      <selection activeCell="D13" sqref="D13"/>
    </sheetView>
    <sheetView zoomScaleNormal="100" workbookViewId="1">
      <selection activeCell="E2" sqref="E2"/>
    </sheetView>
  </sheetViews>
  <sheetFormatPr defaultRowHeight="14.4" x14ac:dyDescent="0.3"/>
  <cols>
    <col min="2" max="2" width="15.88671875" customWidth="1"/>
    <col min="3" max="3" width="15.6640625" customWidth="1"/>
    <col min="4" max="4" width="10.21875" customWidth="1"/>
    <col min="5" max="5" width="10" bestFit="1" customWidth="1"/>
    <col min="6" max="6" width="9.5546875" customWidth="1"/>
  </cols>
  <sheetData>
    <row r="1" spans="1:6" x14ac:dyDescent="0.3">
      <c r="A1" t="s">
        <v>0</v>
      </c>
      <c r="B1" t="s">
        <v>45</v>
      </c>
      <c r="C1" t="s">
        <v>46</v>
      </c>
      <c r="D1" t="s">
        <v>51</v>
      </c>
    </row>
    <row r="2" spans="1:6" x14ac:dyDescent="0.3">
      <c r="A2">
        <v>100</v>
      </c>
      <c r="B2">
        <v>94909</v>
      </c>
      <c r="C2">
        <f>B2/$B$8</f>
        <v>711.87604468591496</v>
      </c>
      <c r="D2">
        <f>Vols!$A$9/($F$8*$E$8+1)</f>
        <v>147.9521522739546</v>
      </c>
    </row>
    <row r="3" spans="1:6" x14ac:dyDescent="0.3">
      <c r="A3" t="s">
        <v>2</v>
      </c>
      <c r="B3" t="s">
        <v>48</v>
      </c>
      <c r="C3" t="s">
        <v>47</v>
      </c>
      <c r="D3" t="s">
        <v>57</v>
      </c>
    </row>
    <row r="4" spans="1:6" x14ac:dyDescent="0.3">
      <c r="A4">
        <v>0.5</v>
      </c>
      <c r="B4">
        <f>$B$2*0.0002</f>
        <v>18.9818</v>
      </c>
      <c r="C4">
        <f>B4/$B$8</f>
        <v>0.14237520893718297</v>
      </c>
      <c r="D4">
        <f>D2/Vols!$A$9*Vols!$A$12</f>
        <v>6.997736931876231</v>
      </c>
    </row>
    <row r="7" spans="1:6" x14ac:dyDescent="0.3">
      <c r="A7" t="s">
        <v>6</v>
      </c>
      <c r="B7" t="s">
        <v>7</v>
      </c>
      <c r="C7" t="s">
        <v>50</v>
      </c>
      <c r="D7" t="s">
        <v>49</v>
      </c>
      <c r="E7" t="s">
        <v>53</v>
      </c>
      <c r="F7" t="s">
        <v>56</v>
      </c>
    </row>
    <row r="8" spans="1:6" x14ac:dyDescent="0.3">
      <c r="A8">
        <v>13.534000000000001</v>
      </c>
      <c r="B8" s="1">
        <v>133.32236800000001</v>
      </c>
      <c r="C8">
        <f>1/273.15</f>
        <v>3.6609921288669233E-3</v>
      </c>
      <c r="D8">
        <v>273.14999999999998</v>
      </c>
      <c r="E8">
        <f>147*10^-7</f>
        <v>1.47E-5</v>
      </c>
      <c r="F8">
        <v>22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B6BB-D5B7-4E80-9930-757B04F041E9}">
  <dimension ref="A1:K12"/>
  <sheetViews>
    <sheetView workbookViewId="0">
      <selection activeCell="C13" sqref="C13"/>
    </sheetView>
    <sheetView tabSelected="1" workbookViewId="1">
      <selection activeCell="I4" sqref="I4"/>
    </sheetView>
  </sheetViews>
  <sheetFormatPr defaultRowHeight="14.4" x14ac:dyDescent="0.3"/>
  <cols>
    <col min="1" max="1" width="14.44140625" customWidth="1"/>
    <col min="2" max="2" width="11.88671875" customWidth="1"/>
    <col min="3" max="3" width="15.109375" customWidth="1"/>
    <col min="5" max="5" width="10.6640625" customWidth="1"/>
    <col min="6" max="6" width="9.88671875" customWidth="1"/>
    <col min="7" max="7" width="10.5546875" customWidth="1"/>
  </cols>
  <sheetData>
    <row r="1" spans="1:11" x14ac:dyDescent="0.3">
      <c r="A1" t="s">
        <v>38</v>
      </c>
    </row>
    <row r="2" spans="1:11" x14ac:dyDescent="0.3">
      <c r="A2" t="s">
        <v>13</v>
      </c>
      <c r="B2" t="s">
        <v>15</v>
      </c>
      <c r="C2" t="s">
        <v>16</v>
      </c>
      <c r="D2" t="s">
        <v>17</v>
      </c>
      <c r="E2" t="s">
        <v>22</v>
      </c>
      <c r="F2" t="s">
        <v>23</v>
      </c>
      <c r="G2" t="s">
        <v>21</v>
      </c>
      <c r="H2" t="s">
        <v>24</v>
      </c>
      <c r="I2" t="s">
        <v>30</v>
      </c>
      <c r="J2" t="s">
        <v>31</v>
      </c>
      <c r="K2" t="s">
        <v>29</v>
      </c>
    </row>
    <row r="3" spans="1:11" x14ac:dyDescent="0.3">
      <c r="A3">
        <v>66.7</v>
      </c>
      <c r="B3">
        <v>44</v>
      </c>
      <c r="C3">
        <v>177</v>
      </c>
      <c r="D3">
        <v>58.2</v>
      </c>
      <c r="E3">
        <v>7</v>
      </c>
      <c r="F3">
        <v>1.5</v>
      </c>
      <c r="G3">
        <v>13</v>
      </c>
      <c r="H3">
        <v>1.5</v>
      </c>
      <c r="I3">
        <f>33.5-G3</f>
        <v>20.5</v>
      </c>
      <c r="J3">
        <f>G3</f>
        <v>13</v>
      </c>
    </row>
    <row r="4" spans="1:11" x14ac:dyDescent="0.3">
      <c r="A4" t="s">
        <v>14</v>
      </c>
      <c r="B4" t="s">
        <v>18</v>
      </c>
      <c r="C4" t="s">
        <v>19</v>
      </c>
      <c r="D4" t="s">
        <v>20</v>
      </c>
      <c r="E4" t="s">
        <v>25</v>
      </c>
      <c r="F4" t="s">
        <v>26</v>
      </c>
      <c r="G4" t="s">
        <v>27</v>
      </c>
      <c r="H4" t="s">
        <v>28</v>
      </c>
      <c r="I4" t="s">
        <v>32</v>
      </c>
      <c r="J4" t="s">
        <v>33</v>
      </c>
    </row>
    <row r="5" spans="1:11" x14ac:dyDescent="0.3">
      <c r="A5">
        <v>0.1</v>
      </c>
      <c r="B5">
        <v>0.5</v>
      </c>
      <c r="C5">
        <v>1</v>
      </c>
      <c r="D5">
        <v>0.5</v>
      </c>
      <c r="E5">
        <v>0.05</v>
      </c>
      <c r="F5">
        <v>1</v>
      </c>
      <c r="G5">
        <v>0.05</v>
      </c>
      <c r="H5">
        <v>1</v>
      </c>
      <c r="I5">
        <v>1</v>
      </c>
      <c r="J5">
        <v>1</v>
      </c>
    </row>
    <row r="7" spans="1:11" x14ac:dyDescent="0.3">
      <c r="A7" t="s">
        <v>40</v>
      </c>
    </row>
    <row r="8" spans="1:11" x14ac:dyDescent="0.3">
      <c r="A8" t="s">
        <v>39</v>
      </c>
      <c r="C8" t="s">
        <v>34</v>
      </c>
      <c r="E8" t="s">
        <v>35</v>
      </c>
    </row>
    <row r="9" spans="1:11" x14ac:dyDescent="0.3">
      <c r="A9">
        <v>148</v>
      </c>
      <c r="C9">
        <v>6.4</v>
      </c>
      <c r="E9" t="s">
        <v>37</v>
      </c>
    </row>
    <row r="11" spans="1:11" x14ac:dyDescent="0.3">
      <c r="A11" t="s">
        <v>52</v>
      </c>
      <c r="C11" t="s">
        <v>36</v>
      </c>
      <c r="E11">
        <f>C9/A9</f>
        <v>4.3243243243243246E-2</v>
      </c>
    </row>
    <row r="12" spans="1:11" x14ac:dyDescent="0.3">
      <c r="A12">
        <v>7</v>
      </c>
      <c r="C12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Heat up</vt:lpstr>
      <vt:lpstr>Cool down</vt:lpstr>
      <vt:lpstr>Constants</vt:lpstr>
      <vt:lpstr>Vols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Michele Calvanese</cp:lastModifiedBy>
  <dcterms:created xsi:type="dcterms:W3CDTF">2019-01-11T11:51:10Z</dcterms:created>
  <dcterms:modified xsi:type="dcterms:W3CDTF">2019-01-11T19:39:20Z</dcterms:modified>
</cp:coreProperties>
</file>