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slicers/slicer2.xml" ContentType="application/vnd.ms-excel.slicer+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slicers/slicer3.xml" ContentType="application/vnd.ms-excel.slicer+xml"/>
  <Override PartName="/xl/charts/chart3.xml" ContentType="application/vnd.openxmlformats-officedocument.drawingml.chart+xml"/>
  <Override PartName="/xl/drawings/drawing8.xml" ContentType="application/vnd.openxmlformats-officedocument.drawingml.chartshapes+xml"/>
  <Override PartName="/xl/charts/chart4.xml" ContentType="application/vnd.openxmlformats-officedocument.drawingml.chart+xml"/>
  <Override PartName="/xl/drawings/drawing9.xml" ContentType="application/vnd.openxmlformats-officedocument.drawingml.chartshapes+xml"/>
  <Override PartName="/xl/charts/chart5.xml" ContentType="application/vnd.openxmlformats-officedocument.drawingml.chart+xml"/>
  <Override PartName="/xl/drawings/drawing10.xml" ContentType="application/vnd.openxmlformats-officedocument.drawingml.chartshapes+xml"/>
  <Override PartName="/xl/charts/chart6.xml" ContentType="application/vnd.openxmlformats-officedocument.drawingml.chart+xml"/>
  <Override PartName="/xl/drawings/drawing11.xml" ContentType="application/vnd.openxmlformats-officedocument.drawingml.chartshapes+xml"/>
  <Override PartName="/xl/charts/chart7.xml" ContentType="application/vnd.openxmlformats-officedocument.drawingml.chart+xml"/>
  <Override PartName="/xl/drawings/drawing12.xml" ContentType="application/vnd.openxmlformats-officedocument.drawingml.chartshapes+xml"/>
  <Override PartName="/xl/charts/chart8.xml" ContentType="application/vnd.openxmlformats-officedocument.drawingml.chart+xml"/>
  <Override PartName="/xl/drawings/drawing13.xml" ContentType="application/vnd.openxmlformats-officedocument.drawingml.chartshapes+xml"/>
  <Override PartName="/xl/drawings/drawing14.xml" ContentType="application/vnd.openxmlformats-officedocument.drawing+xml"/>
  <Override PartName="/xl/slicers/slicer4.xml" ContentType="application/vnd.ms-excel.slicer+xml"/>
  <Override PartName="/xl/comments2.xml" ContentType="application/vnd.openxmlformats-officedocument.spreadsheetml.comments+xml"/>
  <Override PartName="/xl/charts/chart9.xml" ContentType="application/vnd.openxmlformats-officedocument.drawingml.chart+xml"/>
  <Override PartName="/xl/drawings/drawing15.xml" ContentType="application/vnd.openxmlformats-officedocument.drawingml.chartshapes+xml"/>
  <Override PartName="/xl/charts/chart10.xml" ContentType="application/vnd.openxmlformats-officedocument.drawingml.chart+xml"/>
  <Override PartName="/xl/charts/chart11.xml" ContentType="application/vnd.openxmlformats-officedocument.drawingml.chart+xml"/>
  <Override PartName="/xl/drawings/drawing16.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Data\Lefo-IT\Dev\GDXLSReport\EPPlusExtensions.Tests\TestFiles\"/>
    </mc:Choice>
  </mc:AlternateContent>
  <xr:revisionPtr revIDLastSave="0" documentId="13_ncr:1_{8F4BF88B-62B6-41B2-874A-48F4DB9B4BB5}" xr6:coauthVersionLast="47" xr6:coauthVersionMax="47" xr10:uidLastSave="{00000000-0000-0000-0000-000000000000}"/>
  <bookViews>
    <workbookView xWindow="-120" yWindow="-120" windowWidth="38640" windowHeight="21240" tabRatio="839" activeTab="11" xr2:uid="{00000000-000D-0000-FFFF-FFFF00000000}"/>
  </bookViews>
  <sheets>
    <sheet name="AVANZAMENTO" sheetId="3" r:id="rId1"/>
    <sheet name="Altre Tabelle di dettaglio" sheetId="4" state="hidden" r:id="rId2"/>
    <sheet name="CONSUMI SPACCHETTATI" sheetId="9" r:id="rId3"/>
    <sheet name="lista dati" sheetId="2" r:id="rId4"/>
    <sheet name="BDG 2023" sheetId="5" r:id="rId5"/>
    <sheet name="2023 sintesi " sheetId="1" r:id="rId6"/>
    <sheet name="BUDGET STUDI -  IPOTESI 1" sheetId="6" r:id="rId7"/>
    <sheet name="PREVISIONE A FINIRE" sheetId="10" r:id="rId8"/>
    <sheet name="PREVISIONE SU QUARTER" sheetId="11" r:id="rId9"/>
    <sheet name="REPORTISTICA" sheetId="8" r:id="rId10"/>
    <sheet name="Reportistica per tipologia" sheetId="14" r:id="rId11"/>
    <sheet name="Anagrafica Fornitori" sheetId="15" r:id="rId12"/>
  </sheets>
  <definedNames>
    <definedName name="_xlnm._FilterDatabase" localSheetId="5" hidden="1">'2023 sintesi '!$A$18:$AO$226</definedName>
    <definedName name="Dati_2020_sintesi">OFFSET('2023 sintesi '!$A$18,0,0,COUNTA('2023 sintesi '!$A$18:$A$1146),41)</definedName>
    <definedName name="Lista_Fornitori">Table1[FORNITORI]</definedName>
    <definedName name="Slicer_Categoria_Fornitore">#N/A</definedName>
    <definedName name="Slicer_Fornitore_.">#N/A</definedName>
    <definedName name="Slicer_Ingegneria_di_competenza">#N/A</definedName>
    <definedName name="Slicer_Tipologia">#N/A</definedName>
  </definedNames>
  <calcPr calcId="18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49" i="11" l="1"/>
  <c r="Z22" i="11"/>
  <c r="L16" i="10"/>
  <c r="I12" i="8"/>
  <c r="H11" i="10"/>
  <c r="G11" i="10"/>
  <c r="N17" i="8"/>
  <c r="K10" i="10"/>
  <c r="N16" i="8"/>
  <c r="M17" i="8"/>
  <c r="O11" i="8"/>
  <c r="G19" i="8"/>
  <c r="I13" i="8"/>
  <c r="O15" i="8"/>
  <c r="O22" i="8"/>
  <c r="H16" i="8"/>
  <c r="H22" i="8"/>
  <c r="G9" i="10"/>
  <c r="L10" i="10"/>
  <c r="L15" i="10"/>
  <c r="G17" i="8"/>
  <c r="O17" i="8"/>
  <c r="G12" i="8"/>
  <c r="N12" i="8"/>
  <c r="O14" i="8"/>
  <c r="H13" i="10"/>
  <c r="O18" i="8"/>
  <c r="L6" i="10"/>
  <c r="H13" i="8"/>
  <c r="M12" i="8"/>
  <c r="I18" i="8"/>
  <c r="M20" i="8"/>
  <c r="I16" i="8"/>
  <c r="H21" i="8"/>
  <c r="M19" i="8"/>
  <c r="L9" i="10"/>
  <c r="K11" i="10"/>
  <c r="I22" i="8"/>
  <c r="M16" i="8"/>
  <c r="N11" i="8"/>
  <c r="N15" i="8"/>
  <c r="K6" i="10"/>
  <c r="G8" i="10"/>
  <c r="K15" i="10"/>
  <c r="K17" i="10"/>
  <c r="H10" i="10"/>
  <c r="O12" i="8"/>
  <c r="G10" i="10"/>
  <c r="H14" i="8"/>
  <c r="K8" i="10"/>
  <c r="K13" i="10"/>
  <c r="N18" i="8"/>
  <c r="L14" i="10"/>
  <c r="O13" i="8"/>
  <c r="G16" i="8"/>
  <c r="I14" i="8"/>
  <c r="O21" i="8"/>
  <c r="H18" i="8"/>
  <c r="G18" i="8"/>
  <c r="M11" i="8"/>
  <c r="N14" i="8"/>
  <c r="H15" i="8"/>
  <c r="L13" i="10"/>
  <c r="L17" i="10"/>
  <c r="O19" i="8"/>
  <c r="G15" i="10"/>
  <c r="I19" i="8"/>
  <c r="M15" i="8"/>
  <c r="K14" i="10"/>
  <c r="H12" i="10"/>
  <c r="K16" i="10"/>
  <c r="K9" i="10"/>
  <c r="L11" i="10"/>
  <c r="H14" i="10"/>
  <c r="M21" i="8"/>
  <c r="O20" i="8"/>
  <c r="G14" i="10"/>
  <c r="G13" i="10"/>
  <c r="H9" i="10"/>
  <c r="G11" i="8"/>
  <c r="I21" i="8"/>
  <c r="G12" i="10"/>
  <c r="K12" i="10"/>
  <c r="N13" i="8"/>
  <c r="N19" i="8"/>
  <c r="I17" i="8"/>
  <c r="I20" i="8"/>
  <c r="H8" i="10"/>
  <c r="H16" i="10"/>
  <c r="N21" i="8"/>
  <c r="M14" i="8"/>
  <c r="G13" i="8"/>
  <c r="H12" i="8"/>
  <c r="M13" i="8"/>
  <c r="K7" i="10"/>
  <c r="G20" i="8"/>
  <c r="G17" i="10"/>
  <c r="M22" i="8"/>
  <c r="L12" i="10"/>
  <c r="H17" i="10"/>
  <c r="O16" i="8"/>
  <c r="N22" i="8"/>
  <c r="L8" i="10"/>
  <c r="L7" i="10"/>
  <c r="I15" i="8"/>
  <c r="G15" i="8"/>
  <c r="M18" i="8"/>
  <c r="H6" i="10"/>
  <c r="H7" i="10"/>
  <c r="G7" i="10"/>
  <c r="G16" i="10"/>
  <c r="H19" i="8"/>
  <c r="G21" i="8"/>
  <c r="G14" i="8"/>
  <c r="N20" i="8"/>
  <c r="H17" i="8"/>
  <c r="H20" i="8"/>
  <c r="G22" i="8"/>
  <c r="G6" i="10"/>
  <c r="I11" i="8"/>
  <c r="H15" i="10"/>
  <c r="H11" i="8"/>
  <c r="W48" i="11" l="1" a="1"/>
  <c r="W48" i="11" s="1"/>
  <c r="V48" i="11" a="1"/>
  <c r="V48" i="11" s="1"/>
  <c r="U48" i="11" a="1"/>
  <c r="U48" i="11" s="1"/>
  <c r="T48" i="11" a="1"/>
  <c r="T48" i="11" s="1"/>
  <c r="S48" i="11" a="1"/>
  <c r="S48" i="11" s="1"/>
  <c r="R48" i="11" a="1"/>
  <c r="R48" i="11" s="1"/>
  <c r="Q48" i="11" a="1"/>
  <c r="Q48" i="11" s="1"/>
  <c r="P48" i="11" a="1"/>
  <c r="P48" i="11" s="1"/>
  <c r="O48" i="11" a="1"/>
  <c r="O48" i="11" s="1"/>
  <c r="N48" i="11" a="1"/>
  <c r="N48" i="11" s="1"/>
  <c r="M48" i="11" a="1"/>
  <c r="M48" i="11" s="1"/>
  <c r="L48" i="11" a="1"/>
  <c r="L48" i="11" s="1"/>
  <c r="H48" i="11"/>
  <c r="W47" i="11" a="1"/>
  <c r="W47" i="11" s="1"/>
  <c r="V47" i="11" a="1"/>
  <c r="V47" i="11" s="1"/>
  <c r="U47" i="11" a="1"/>
  <c r="U47" i="11" s="1"/>
  <c r="T47" i="11" a="1"/>
  <c r="T47" i="11" s="1"/>
  <c r="S47" i="11" a="1"/>
  <c r="S47" i="11" s="1"/>
  <c r="R47" i="11" a="1"/>
  <c r="R47" i="11" s="1"/>
  <c r="Q47" i="11" a="1"/>
  <c r="Q47" i="11" s="1"/>
  <c r="P47" i="11" a="1"/>
  <c r="P47" i="11" s="1"/>
  <c r="O47" i="11" a="1"/>
  <c r="O47" i="11" s="1"/>
  <c r="N47" i="11" a="1"/>
  <c r="N47" i="11" s="1"/>
  <c r="M47" i="11" a="1"/>
  <c r="M47" i="11" s="1"/>
  <c r="L47" i="11" a="1"/>
  <c r="L47" i="11" s="1"/>
  <c r="H47" i="11"/>
  <c r="W46" i="11" a="1"/>
  <c r="W46" i="11" s="1"/>
  <c r="V46" i="11" a="1"/>
  <c r="V46" i="11" s="1"/>
  <c r="U46" i="11" a="1"/>
  <c r="U46" i="11" s="1"/>
  <c r="T46" i="11" a="1"/>
  <c r="T46" i="11" s="1"/>
  <c r="S46" i="11" a="1"/>
  <c r="S46" i="11" s="1"/>
  <c r="R46" i="11" a="1"/>
  <c r="R46" i="11" s="1"/>
  <c r="Q46" i="11" a="1"/>
  <c r="Q46" i="11" s="1"/>
  <c r="P46" i="11" a="1"/>
  <c r="P46" i="11" s="1"/>
  <c r="O46" i="11" a="1"/>
  <c r="O46" i="11" s="1"/>
  <c r="N46" i="11" a="1"/>
  <c r="N46" i="11" s="1"/>
  <c r="M46" i="11" a="1"/>
  <c r="M46" i="11" s="1"/>
  <c r="L46" i="11" a="1"/>
  <c r="L46" i="11" s="1"/>
  <c r="H46" i="11"/>
  <c r="W45" i="11" a="1"/>
  <c r="W45" i="11" s="1"/>
  <c r="V45" i="11" a="1"/>
  <c r="V45" i="11" s="1"/>
  <c r="U45" i="11" a="1"/>
  <c r="U45" i="11" s="1"/>
  <c r="T45" i="11" a="1"/>
  <c r="T45" i="11" s="1"/>
  <c r="S45" i="11" a="1"/>
  <c r="S45" i="11" s="1"/>
  <c r="R45" i="11" a="1"/>
  <c r="R45" i="11" s="1"/>
  <c r="Q45" i="11" a="1"/>
  <c r="Q45" i="11" s="1"/>
  <c r="P45" i="11" a="1"/>
  <c r="P45" i="11" s="1"/>
  <c r="O45" i="11" a="1"/>
  <c r="O45" i="11" s="1"/>
  <c r="N45" i="11" a="1"/>
  <c r="N45" i="11" s="1"/>
  <c r="M45" i="11" a="1"/>
  <c r="M45" i="11" s="1"/>
  <c r="L45" i="11" a="1"/>
  <c r="L45" i="11" s="1"/>
  <c r="H45" i="11"/>
  <c r="W44" i="11" a="1"/>
  <c r="W44" i="11" s="1"/>
  <c r="V44" i="11" a="1"/>
  <c r="V44" i="11" s="1"/>
  <c r="U44" i="11" a="1"/>
  <c r="U44" i="11" s="1"/>
  <c r="T44" i="11" a="1"/>
  <c r="T44" i="11" s="1"/>
  <c r="S44" i="11" a="1"/>
  <c r="S44" i="11" s="1"/>
  <c r="R44" i="11" a="1"/>
  <c r="R44" i="11" s="1"/>
  <c r="Q44" i="11" a="1"/>
  <c r="Q44" i="11" s="1"/>
  <c r="P44" i="11" a="1"/>
  <c r="P44" i="11" s="1"/>
  <c r="O44" i="11" a="1"/>
  <c r="O44" i="11" s="1"/>
  <c r="N44" i="11" a="1"/>
  <c r="N44" i="11" s="1"/>
  <c r="M44" i="11" a="1"/>
  <c r="M44" i="11" s="1"/>
  <c r="L44" i="11" a="1"/>
  <c r="L44" i="11" s="1"/>
  <c r="H44" i="11"/>
  <c r="W43" i="11" a="1"/>
  <c r="W43" i="11" s="1"/>
  <c r="V43" i="11" a="1"/>
  <c r="V43" i="11" s="1"/>
  <c r="U43" i="11" a="1"/>
  <c r="U43" i="11" s="1"/>
  <c r="T43" i="11" a="1"/>
  <c r="T43" i="11" s="1"/>
  <c r="S43" i="11" a="1"/>
  <c r="S43" i="11" s="1"/>
  <c r="R43" i="11" a="1"/>
  <c r="R43" i="11" s="1"/>
  <c r="Q43" i="11" a="1"/>
  <c r="Q43" i="11" s="1"/>
  <c r="P43" i="11" a="1"/>
  <c r="P43" i="11" s="1"/>
  <c r="O43" i="11" a="1"/>
  <c r="O43" i="11" s="1"/>
  <c r="N43" i="11" a="1"/>
  <c r="N43" i="11" s="1"/>
  <c r="M43" i="11" a="1"/>
  <c r="M43" i="11" s="1"/>
  <c r="L43" i="11" a="1"/>
  <c r="L43" i="11" s="1"/>
  <c r="H43" i="11"/>
  <c r="W42" i="11" a="1"/>
  <c r="W42" i="11" s="1"/>
  <c r="V42" i="11" a="1"/>
  <c r="V42" i="11" s="1"/>
  <c r="U42" i="11" a="1"/>
  <c r="U42" i="11" s="1"/>
  <c r="T42" i="11" a="1"/>
  <c r="T42" i="11" s="1"/>
  <c r="S42" i="11" a="1"/>
  <c r="S42" i="11" s="1"/>
  <c r="R42" i="11" a="1"/>
  <c r="R42" i="11" s="1"/>
  <c r="Q42" i="11" a="1"/>
  <c r="Q42" i="11" s="1"/>
  <c r="P42" i="11" a="1"/>
  <c r="P42" i="11" s="1"/>
  <c r="O42" i="11" a="1"/>
  <c r="O42" i="11" s="1"/>
  <c r="N42" i="11" a="1"/>
  <c r="N42" i="11" s="1"/>
  <c r="M42" i="11" a="1"/>
  <c r="M42" i="11" s="1"/>
  <c r="L42" i="11" a="1"/>
  <c r="L42" i="11" s="1"/>
  <c r="H42" i="11"/>
  <c r="W41" i="11" a="1"/>
  <c r="W41" i="11" s="1"/>
  <c r="V41" i="11" a="1"/>
  <c r="V41" i="11" s="1"/>
  <c r="U41" i="11" a="1"/>
  <c r="U41" i="11" s="1"/>
  <c r="T41" i="11" a="1"/>
  <c r="T41" i="11" s="1"/>
  <c r="S41" i="11" a="1"/>
  <c r="S41" i="11" s="1"/>
  <c r="R41" i="11" a="1"/>
  <c r="R41" i="11" s="1"/>
  <c r="Q41" i="11" a="1"/>
  <c r="Q41" i="11" s="1"/>
  <c r="P41" i="11" a="1"/>
  <c r="P41" i="11" s="1"/>
  <c r="O41" i="11" a="1"/>
  <c r="O41" i="11" s="1"/>
  <c r="N41" i="11" a="1"/>
  <c r="N41" i="11" s="1"/>
  <c r="M41" i="11" a="1"/>
  <c r="M41" i="11" s="1"/>
  <c r="L41" i="11" a="1"/>
  <c r="L41" i="11" s="1"/>
  <c r="H41" i="11"/>
  <c r="W40" i="11" a="1"/>
  <c r="W40" i="11" s="1"/>
  <c r="V40" i="11" a="1"/>
  <c r="V40" i="11" s="1"/>
  <c r="U40" i="11" a="1"/>
  <c r="U40" i="11" s="1"/>
  <c r="T40" i="11" a="1"/>
  <c r="T40" i="11" s="1"/>
  <c r="S40" i="11" a="1"/>
  <c r="S40" i="11" s="1"/>
  <c r="R40" i="11" a="1"/>
  <c r="R40" i="11" s="1"/>
  <c r="Q40" i="11" a="1"/>
  <c r="Q40" i="11" s="1"/>
  <c r="P40" i="11" a="1"/>
  <c r="P40" i="11" s="1"/>
  <c r="O40" i="11" a="1"/>
  <c r="O40" i="11" s="1"/>
  <c r="N40" i="11" a="1"/>
  <c r="N40" i="11" s="1"/>
  <c r="M40" i="11" a="1"/>
  <c r="M40" i="11" s="1"/>
  <c r="L40" i="11" a="1"/>
  <c r="L40" i="11" s="1"/>
  <c r="H40" i="11"/>
  <c r="W39" i="11" a="1"/>
  <c r="W39" i="11" s="1"/>
  <c r="V39" i="11" a="1"/>
  <c r="V39" i="11" s="1"/>
  <c r="U39" i="11" a="1"/>
  <c r="U39" i="11" s="1"/>
  <c r="T39" i="11" a="1"/>
  <c r="T39" i="11" s="1"/>
  <c r="S39" i="11" a="1"/>
  <c r="S39" i="11" s="1"/>
  <c r="R39" i="11" a="1"/>
  <c r="R39" i="11" s="1"/>
  <c r="Q39" i="11" a="1"/>
  <c r="Q39" i="11" s="1"/>
  <c r="P39" i="11" a="1"/>
  <c r="P39" i="11" s="1"/>
  <c r="O39" i="11" a="1"/>
  <c r="O39" i="11" s="1"/>
  <c r="N39" i="11" a="1"/>
  <c r="N39" i="11" s="1"/>
  <c r="M39" i="11" a="1"/>
  <c r="M39" i="11" s="1"/>
  <c r="L39" i="11" a="1"/>
  <c r="L39" i="11" s="1"/>
  <c r="H39" i="11"/>
  <c r="W38" i="11" a="1"/>
  <c r="W38" i="11" s="1"/>
  <c r="V38" i="11" a="1"/>
  <c r="V38" i="11" s="1"/>
  <c r="U38" i="11" a="1"/>
  <c r="U38" i="11" s="1"/>
  <c r="T38" i="11" a="1"/>
  <c r="T38" i="11" s="1"/>
  <c r="S38" i="11" a="1"/>
  <c r="S38" i="11" s="1"/>
  <c r="R38" i="11" a="1"/>
  <c r="R38" i="11" s="1"/>
  <c r="Q38" i="11" a="1"/>
  <c r="Q38" i="11" s="1"/>
  <c r="P38" i="11" a="1"/>
  <c r="P38" i="11" s="1"/>
  <c r="O38" i="11" a="1"/>
  <c r="O38" i="11" s="1"/>
  <c r="N38" i="11" a="1"/>
  <c r="N38" i="11" s="1"/>
  <c r="M38" i="11" a="1"/>
  <c r="M38" i="11" s="1"/>
  <c r="L38" i="11" a="1"/>
  <c r="L38" i="11" s="1"/>
  <c r="H38" i="11"/>
  <c r="W37" i="11" a="1"/>
  <c r="W37" i="11" s="1"/>
  <c r="V37" i="11" a="1"/>
  <c r="V37" i="11" s="1"/>
  <c r="U37" i="11" a="1"/>
  <c r="U37" i="11" s="1"/>
  <c r="T37" i="11" a="1"/>
  <c r="T37" i="11" s="1"/>
  <c r="S37" i="11" a="1"/>
  <c r="S37" i="11" s="1"/>
  <c r="R37" i="11" a="1"/>
  <c r="R37" i="11" s="1"/>
  <c r="Q37" i="11" a="1"/>
  <c r="Q37" i="11" s="1"/>
  <c r="P37" i="11" a="1"/>
  <c r="P37" i="11" s="1"/>
  <c r="O37" i="11" a="1"/>
  <c r="O37" i="11" s="1"/>
  <c r="N37" i="11" a="1"/>
  <c r="N37" i="11" s="1"/>
  <c r="M37" i="11" a="1"/>
  <c r="M37" i="11" s="1"/>
  <c r="L37" i="11" a="1"/>
  <c r="L37" i="11" s="1"/>
  <c r="H37" i="11"/>
  <c r="H34" i="11"/>
  <c r="I21" i="11"/>
  <c r="H21" i="11"/>
  <c r="I20" i="11"/>
  <c r="H20" i="11"/>
  <c r="I19" i="11"/>
  <c r="H19" i="11"/>
  <c r="I18" i="11"/>
  <c r="H18" i="11"/>
  <c r="I17" i="11"/>
  <c r="H17" i="11"/>
  <c r="I16" i="11"/>
  <c r="H16" i="11"/>
  <c r="I15" i="11"/>
  <c r="H15" i="11"/>
  <c r="I14" i="11"/>
  <c r="H14" i="11"/>
  <c r="I13" i="11"/>
  <c r="H13" i="11"/>
  <c r="I12" i="11"/>
  <c r="H12" i="11"/>
  <c r="I11" i="11"/>
  <c r="H11" i="11"/>
  <c r="I10" i="11"/>
  <c r="H10" i="11"/>
  <c r="H7" i="11"/>
  <c r="U9" i="11" s="1"/>
  <c r="Y49" i="11"/>
  <c r="H32" i="11"/>
  <c r="Y22" i="11"/>
  <c r="H5" i="11"/>
  <c r="J17" i="10"/>
  <c r="I17" i="10"/>
  <c r="K3" i="10"/>
  <c r="O17" i="9"/>
  <c r="O18" i="9"/>
  <c r="O19" i="9"/>
  <c r="O20" i="9"/>
  <c r="O21" i="9"/>
  <c r="O22" i="9"/>
  <c r="O23" i="9"/>
  <c r="O24" i="9"/>
  <c r="O25" i="9"/>
  <c r="O26" i="9"/>
  <c r="O27" i="9"/>
  <c r="O16" i="9"/>
  <c r="N28" i="9"/>
  <c r="M28" i="9"/>
  <c r="L28" i="9"/>
  <c r="K28" i="9"/>
  <c r="J28" i="9"/>
  <c r="I28" i="9"/>
  <c r="H28" i="9"/>
  <c r="G28" i="9"/>
  <c r="F28" i="9"/>
  <c r="Q27" i="9"/>
  <c r="P27" i="9"/>
  <c r="Q26" i="9"/>
  <c r="P26" i="9"/>
  <c r="Q25" i="9"/>
  <c r="P25" i="9"/>
  <c r="Q24" i="9"/>
  <c r="P24" i="9"/>
  <c r="Q23" i="9"/>
  <c r="P23" i="9"/>
  <c r="Q22" i="9"/>
  <c r="P22" i="9"/>
  <c r="Q21" i="9"/>
  <c r="P21" i="9"/>
  <c r="Q20" i="9"/>
  <c r="P20" i="9"/>
  <c r="Q19" i="9"/>
  <c r="P19" i="9"/>
  <c r="Q18" i="9"/>
  <c r="P18" i="9"/>
  <c r="Q17" i="9"/>
  <c r="P17" i="9"/>
  <c r="Q16" i="9"/>
  <c r="P16" i="9"/>
  <c r="Y55" i="8"/>
  <c r="AL49" i="8"/>
  <c r="AC54" i="8"/>
  <c r="AC48" i="8"/>
  <c r="AL27" i="8"/>
  <c r="Y44" i="8"/>
  <c r="Y27" i="8"/>
  <c r="AL53" i="8"/>
  <c r="Y79" i="8"/>
  <c r="Z36" i="8"/>
  <c r="Z22" i="8"/>
  <c r="AD35" i="8"/>
  <c r="AC15" i="8"/>
  <c r="AL35" i="8"/>
  <c r="Y80" i="8"/>
  <c r="N9" i="14"/>
  <c r="AL86" i="8"/>
  <c r="M7" i="10"/>
  <c r="AI9" i="8"/>
  <c r="M10" i="10"/>
  <c r="AC81" i="8"/>
  <c r="O15" i="10"/>
  <c r="AL43" i="8"/>
  <c r="Y71" i="8"/>
  <c r="L18" i="10"/>
  <c r="Z19" i="8"/>
  <c r="Y68" i="8"/>
  <c r="AD44" i="8"/>
  <c r="AC43" i="8"/>
  <c r="Y88" i="8"/>
  <c r="AD34" i="8"/>
  <c r="AL29" i="8"/>
  <c r="AI21" i="8"/>
  <c r="AD57" i="8"/>
  <c r="AL8" i="8"/>
  <c r="AI33" i="8"/>
  <c r="Z76" i="8"/>
  <c r="N13" i="10"/>
  <c r="Z41" i="8"/>
  <c r="Z83" i="8"/>
  <c r="AD20" i="8"/>
  <c r="Z10" i="8"/>
  <c r="Y69" i="8"/>
  <c r="AD64" i="8"/>
  <c r="AC32" i="8"/>
  <c r="AC65" i="8"/>
  <c r="O11" i="10"/>
  <c r="AI76" i="8"/>
  <c r="Y25" i="8"/>
  <c r="AI68" i="8"/>
  <c r="AL18" i="8"/>
  <c r="O8" i="10"/>
  <c r="AC56" i="8"/>
  <c r="AI84" i="8"/>
  <c r="AC23" i="8"/>
  <c r="Y39" i="8"/>
  <c r="AI87" i="8"/>
  <c r="Z11" i="8"/>
  <c r="AL57" i="8"/>
  <c r="AL87" i="8"/>
  <c r="Y86" i="8"/>
  <c r="AC24" i="8"/>
  <c r="AD63" i="8"/>
  <c r="AC13" i="8"/>
  <c r="J7" i="14"/>
  <c r="Z59" i="8"/>
  <c r="AC37" i="8"/>
  <c r="Z75" i="8"/>
  <c r="AI29" i="8"/>
  <c r="AD70" i="8"/>
  <c r="AD19" i="8"/>
  <c r="P13" i="10"/>
  <c r="O6" i="10"/>
  <c r="AD75" i="8"/>
  <c r="AL22" i="8"/>
  <c r="AD51" i="8"/>
  <c r="AL13" i="8"/>
  <c r="Z72" i="8"/>
  <c r="AL15" i="8"/>
  <c r="Z65" i="8"/>
  <c r="AI20" i="8"/>
  <c r="O7" i="14"/>
  <c r="Z16" i="8"/>
  <c r="AC85" i="8"/>
  <c r="AC18" i="8"/>
  <c r="Z60" i="8"/>
  <c r="Y61" i="8"/>
  <c r="AC88" i="8"/>
  <c r="AI62" i="8"/>
  <c r="AI65" i="8"/>
  <c r="Z29" i="8"/>
  <c r="Z43" i="8"/>
  <c r="AC19" i="8"/>
  <c r="Y56" i="8"/>
  <c r="AD26" i="8"/>
  <c r="AC45" i="8"/>
  <c r="AI61" i="8"/>
  <c r="AD39" i="8"/>
  <c r="AC20" i="8"/>
  <c r="AC35" i="8"/>
  <c r="AI10" i="8"/>
  <c r="P15" i="10"/>
  <c r="AD78" i="8"/>
  <c r="P10" i="10"/>
  <c r="Z33" i="8"/>
  <c r="AC14" i="8"/>
  <c r="Y21" i="8"/>
  <c r="AC83" i="8"/>
  <c r="AD46" i="8"/>
  <c r="Z54" i="8"/>
  <c r="Z23" i="8"/>
  <c r="Y87" i="8"/>
  <c r="AI45" i="8"/>
  <c r="AD68" i="8"/>
  <c r="AL32" i="8"/>
  <c r="AD89" i="8"/>
  <c r="AD16" i="8"/>
  <c r="AC91" i="8"/>
  <c r="Y59" i="8"/>
  <c r="J5" i="14"/>
  <c r="AL50" i="8"/>
  <c r="L9" i="14"/>
  <c r="AI17" i="8"/>
  <c r="L7" i="14"/>
  <c r="Y34" i="8"/>
  <c r="Z86" i="8"/>
  <c r="Z68" i="8"/>
  <c r="P6" i="10"/>
  <c r="AD62" i="8"/>
  <c r="AL80" i="8"/>
  <c r="AI89" i="8"/>
  <c r="Z79" i="8"/>
  <c r="AL75" i="8"/>
  <c r="AL26" i="8"/>
  <c r="AD72" i="8"/>
  <c r="Z32" i="8"/>
  <c r="AI64" i="8"/>
  <c r="AC62" i="8"/>
  <c r="AI51" i="8"/>
  <c r="AL84" i="8"/>
  <c r="AL20" i="8"/>
  <c r="AD36" i="8"/>
  <c r="AI52" i="8"/>
  <c r="AI82" i="8"/>
  <c r="Z62" i="8"/>
  <c r="O10" i="10"/>
  <c r="N6" i="14"/>
  <c r="Z82" i="8"/>
  <c r="AD76" i="8"/>
  <c r="AL34" i="8"/>
  <c r="Y19" i="8"/>
  <c r="Y90" i="8"/>
  <c r="AC44" i="8"/>
  <c r="Y65" i="8"/>
  <c r="AC27" i="8"/>
  <c r="N8" i="14"/>
  <c r="AI27" i="8"/>
  <c r="Y91" i="8"/>
  <c r="Y9" i="8"/>
  <c r="Z67" i="8"/>
  <c r="AC12" i="8"/>
  <c r="N7" i="10"/>
  <c r="O16" i="10"/>
  <c r="Y73" i="8"/>
  <c r="Y58" i="8"/>
  <c r="AD13" i="8"/>
  <c r="Y42" i="8"/>
  <c r="AI80" i="8"/>
  <c r="AL12" i="8"/>
  <c r="Y75" i="8"/>
  <c r="AD14" i="8"/>
  <c r="AI91" i="8"/>
  <c r="Z63" i="8"/>
  <c r="Y74" i="8"/>
  <c r="AL54" i="8"/>
  <c r="AL40" i="8"/>
  <c r="AI26" i="8"/>
  <c r="AD69" i="8"/>
  <c r="AD58" i="8"/>
  <c r="AC31" i="8"/>
  <c r="AL62" i="8"/>
  <c r="AI83" i="8"/>
  <c r="AL42" i="8"/>
  <c r="AD18" i="8"/>
  <c r="Y15" i="8"/>
  <c r="AI13" i="8"/>
  <c r="Y60" i="8"/>
  <c r="Z35" i="8"/>
  <c r="AC33" i="8"/>
  <c r="AC58" i="8"/>
  <c r="N8" i="10"/>
  <c r="AD17" i="8"/>
  <c r="AD48" i="8"/>
  <c r="Y10" i="8"/>
  <c r="AC40" i="8"/>
  <c r="AL28" i="8"/>
  <c r="AI19" i="8"/>
  <c r="AL73" i="8"/>
  <c r="AL64" i="8"/>
  <c r="AL78" i="8"/>
  <c r="Z39" i="8"/>
  <c r="AC68" i="8"/>
  <c r="Y82" i="8"/>
  <c r="AI77" i="8"/>
  <c r="Y62" i="8"/>
  <c r="AL59" i="8"/>
  <c r="Y17" i="8"/>
  <c r="AC38" i="8"/>
  <c r="Y16" i="8"/>
  <c r="Y40" i="8"/>
  <c r="Z30" i="8"/>
  <c r="AL88" i="8"/>
  <c r="Z18" i="8"/>
  <c r="Y28" i="8"/>
  <c r="Z61" i="8"/>
  <c r="AI85" i="8"/>
  <c r="AL24" i="8"/>
  <c r="Y38" i="8"/>
  <c r="Z56" i="8"/>
  <c r="AI43" i="8"/>
  <c r="AC8" i="8"/>
  <c r="AC26" i="8"/>
  <c r="K6" i="14"/>
  <c r="AD77" i="8"/>
  <c r="Y47" i="8"/>
  <c r="AD22" i="8"/>
  <c r="AL38" i="8"/>
  <c r="N10" i="10"/>
  <c r="AL72" i="8"/>
  <c r="AC21" i="8"/>
  <c r="Y81" i="8"/>
  <c r="Z20" i="8"/>
  <c r="AD85" i="8"/>
  <c r="M8" i="10"/>
  <c r="M13" i="10"/>
  <c r="Z28" i="8"/>
  <c r="AC52" i="8"/>
  <c r="AI31" i="8"/>
  <c r="AC39" i="8"/>
  <c r="Y66" i="8"/>
  <c r="AL81" i="8"/>
  <c r="AD66" i="8"/>
  <c r="Z69" i="8"/>
  <c r="AI18" i="8"/>
  <c r="AC73" i="8"/>
  <c r="AC10" i="8"/>
  <c r="Z91" i="8"/>
  <c r="Z53" i="8"/>
  <c r="P8" i="10"/>
  <c r="AI34" i="8"/>
  <c r="Z44" i="8"/>
  <c r="Y64" i="8"/>
  <c r="AD90" i="8"/>
  <c r="AD31" i="8"/>
  <c r="AI88" i="8"/>
  <c r="AD83" i="8"/>
  <c r="Z17" i="8"/>
  <c r="AC36" i="8"/>
  <c r="Z27" i="8"/>
  <c r="Z58" i="8"/>
  <c r="N16" i="10"/>
  <c r="N15" i="10"/>
  <c r="AL23" i="8"/>
  <c r="Y31" i="8"/>
  <c r="O12" i="10"/>
  <c r="Y18" i="8"/>
  <c r="AD88" i="8"/>
  <c r="AD79" i="8"/>
  <c r="AC41" i="8"/>
  <c r="AC90" i="8"/>
  <c r="Y41" i="8"/>
  <c r="Z74" i="8"/>
  <c r="AC63" i="8"/>
  <c r="AL52" i="8"/>
  <c r="AD29" i="8"/>
  <c r="AC82" i="8"/>
  <c r="AC55" i="8"/>
  <c r="AL46" i="8"/>
  <c r="Y52" i="8"/>
  <c r="Z88" i="8"/>
  <c r="AI56" i="8"/>
  <c r="AC76" i="8"/>
  <c r="Z8" i="8"/>
  <c r="AI59" i="8"/>
  <c r="AD47" i="8"/>
  <c r="AI23" i="8"/>
  <c r="Y46" i="8"/>
  <c r="AL30" i="8"/>
  <c r="AD53" i="8"/>
  <c r="AL37" i="8"/>
  <c r="AI63" i="8"/>
  <c r="Z78" i="8"/>
  <c r="AI60" i="8"/>
  <c r="AC64" i="8"/>
  <c r="AL71" i="8"/>
  <c r="AD21" i="8"/>
  <c r="O9" i="10"/>
  <c r="Z34" i="8"/>
  <c r="AL41" i="8"/>
  <c r="Y13" i="8"/>
  <c r="AD9" i="8"/>
  <c r="O5" i="14"/>
  <c r="AD28" i="8"/>
  <c r="Y85" i="8"/>
  <c r="AI25" i="8"/>
  <c r="Z70" i="8"/>
  <c r="AC67" i="8"/>
  <c r="AL70" i="8"/>
  <c r="AI48" i="8"/>
  <c r="AC72" i="8"/>
  <c r="Z9" i="8"/>
  <c r="Z84" i="8"/>
  <c r="AC9" i="8"/>
  <c r="M17" i="10"/>
  <c r="L8" i="14"/>
  <c r="AI86" i="8"/>
  <c r="AI74" i="8"/>
  <c r="AC11" i="8"/>
  <c r="Z37" i="8"/>
  <c r="P6" i="14"/>
  <c r="AI30" i="8"/>
  <c r="AC46" i="8"/>
  <c r="AI58" i="8"/>
  <c r="AD8" i="8"/>
  <c r="Y77" i="8"/>
  <c r="AD73" i="8"/>
  <c r="AI78" i="8"/>
  <c r="AL85" i="8"/>
  <c r="Y48" i="8"/>
  <c r="Y83" i="8"/>
  <c r="AC79" i="8"/>
  <c r="AC84" i="8"/>
  <c r="AL69" i="8"/>
  <c r="K5" i="14"/>
  <c r="J8" i="14"/>
  <c r="AL65" i="8"/>
  <c r="Y76" i="8"/>
  <c r="P7" i="10"/>
  <c r="O9" i="14"/>
  <c r="AD67" i="8"/>
  <c r="Z42" i="8"/>
  <c r="AD74" i="8"/>
  <c r="AL76" i="8"/>
  <c r="AL90" i="8"/>
  <c r="AD52" i="8"/>
  <c r="AI35" i="8"/>
  <c r="AI37" i="8"/>
  <c r="AI39" i="8"/>
  <c r="Y67" i="8"/>
  <c r="AD23" i="8"/>
  <c r="Y43" i="8"/>
  <c r="P5" i="14"/>
  <c r="AC16" i="8"/>
  <c r="AC86" i="8"/>
  <c r="N6" i="10"/>
  <c r="AI90" i="8"/>
  <c r="AI75" i="8"/>
  <c r="AC60" i="8"/>
  <c r="AD40" i="8"/>
  <c r="Y33" i="8"/>
  <c r="Z38" i="8"/>
  <c r="AD30" i="8"/>
  <c r="AL48" i="8"/>
  <c r="AC87" i="8"/>
  <c r="Z57" i="8"/>
  <c r="M9" i="10"/>
  <c r="N17" i="10"/>
  <c r="AI12" i="8"/>
  <c r="Y24" i="8"/>
  <c r="Y89" i="8"/>
  <c r="AD43" i="8"/>
  <c r="AC77" i="8"/>
  <c r="O17" i="10"/>
  <c r="O13" i="10"/>
  <c r="AL60" i="8"/>
  <c r="AD27" i="8"/>
  <c r="AC75" i="8"/>
  <c r="AC51" i="8"/>
  <c r="AI15" i="8"/>
  <c r="Y37" i="8"/>
  <c r="Y54" i="8"/>
  <c r="M12" i="10"/>
  <c r="P17" i="10"/>
  <c r="P14" i="10"/>
  <c r="AC50" i="8"/>
  <c r="AC25" i="8"/>
  <c r="AI32" i="8"/>
  <c r="M6" i="10"/>
  <c r="AL17" i="8"/>
  <c r="AD24" i="8"/>
  <c r="J9" i="14"/>
  <c r="AI36" i="8"/>
  <c r="AD55" i="8"/>
  <c r="AC61" i="8"/>
  <c r="AD61" i="8"/>
  <c r="AC69" i="8"/>
  <c r="AI71" i="8"/>
  <c r="AD15" i="8"/>
  <c r="AD11" i="8"/>
  <c r="Z13" i="8"/>
  <c r="AD10" i="8"/>
  <c r="Z89" i="8"/>
  <c r="N11" i="10"/>
  <c r="AL10" i="8"/>
  <c r="AL36" i="8"/>
  <c r="AC34" i="8"/>
  <c r="Z47" i="8"/>
  <c r="Y70" i="8"/>
  <c r="AI14" i="8"/>
  <c r="Y22" i="8"/>
  <c r="AC59" i="8"/>
  <c r="AL11" i="8"/>
  <c r="AI46" i="8"/>
  <c r="AI44" i="8"/>
  <c r="Y36" i="8"/>
  <c r="AL82" i="8"/>
  <c r="AD56" i="8"/>
  <c r="Z21" i="8"/>
  <c r="AL9" i="8"/>
  <c r="AC30" i="8"/>
  <c r="Y72" i="8"/>
  <c r="Z25" i="8"/>
  <c r="P9" i="14"/>
  <c r="AD42" i="8"/>
  <c r="Z87" i="8"/>
  <c r="P11" i="10"/>
  <c r="K18" i="10"/>
  <c r="AI49" i="8"/>
  <c r="Z40" i="8"/>
  <c r="AI53" i="8"/>
  <c r="AD65" i="8"/>
  <c r="AC29" i="8"/>
  <c r="AL33" i="8"/>
  <c r="Z73" i="8"/>
  <c r="AD86" i="8"/>
  <c r="Z51" i="8"/>
  <c r="AD84" i="8"/>
  <c r="AC80" i="8"/>
  <c r="K7" i="14"/>
  <c r="Y26" i="8"/>
  <c r="Y45" i="8"/>
  <c r="Y23" i="8"/>
  <c r="AL83" i="8"/>
  <c r="P8" i="14"/>
  <c r="Y50" i="8"/>
  <c r="AI81" i="8"/>
  <c r="AI54" i="8"/>
  <c r="AL74" i="8"/>
  <c r="Y30" i="8"/>
  <c r="AI11" i="8"/>
  <c r="Z66" i="8"/>
  <c r="AD25" i="8"/>
  <c r="AL21" i="8"/>
  <c r="AI24" i="8"/>
  <c r="AC22" i="8"/>
  <c r="Z64" i="8"/>
  <c r="Z31" i="8"/>
  <c r="AL56" i="8"/>
  <c r="AD59" i="8"/>
  <c r="P16" i="10"/>
  <c r="P11" i="14"/>
  <c r="Z90" i="8"/>
  <c r="AL44" i="8"/>
  <c r="AI73" i="8"/>
  <c r="M14" i="10"/>
  <c r="Z49" i="8"/>
  <c r="O14" i="10"/>
  <c r="K8" i="14"/>
  <c r="AC70" i="8"/>
  <c r="AC49" i="8"/>
  <c r="AL58" i="8"/>
  <c r="AD50" i="8"/>
  <c r="Y84" i="8"/>
  <c r="Y49" i="8"/>
  <c r="AC74" i="8"/>
  <c r="AI28" i="8"/>
  <c r="AD81" i="8"/>
  <c r="AD49" i="8"/>
  <c r="AI16" i="8"/>
  <c r="Z52" i="8"/>
  <c r="Z24" i="8"/>
  <c r="N7" i="14"/>
  <c r="AI41" i="8"/>
  <c r="G18" i="10"/>
  <c r="Y78" i="8"/>
  <c r="AI70" i="8"/>
  <c r="AL91" i="8"/>
  <c r="AC42" i="8"/>
  <c r="P12" i="10"/>
  <c r="AD80" i="8"/>
  <c r="N9" i="10"/>
  <c r="AD82" i="8"/>
  <c r="AD41" i="8"/>
  <c r="AD32" i="8"/>
  <c r="K9" i="14"/>
  <c r="AI50" i="8"/>
  <c r="AI40" i="8"/>
  <c r="Z55" i="8"/>
  <c r="AD54" i="8"/>
  <c r="AL16" i="8"/>
  <c r="AL47" i="8"/>
  <c r="AD45" i="8"/>
  <c r="Y53" i="8"/>
  <c r="Z14" i="8"/>
  <c r="AD71" i="8"/>
  <c r="Y35" i="8"/>
  <c r="Z80" i="8"/>
  <c r="Z81" i="8"/>
  <c r="H18" i="10"/>
  <c r="Y29" i="8"/>
  <c r="Y63" i="8"/>
  <c r="AI42" i="8"/>
  <c r="N12" i="10"/>
  <c r="Y57" i="8"/>
  <c r="AL45" i="8"/>
  <c r="AL25" i="8"/>
  <c r="O7" i="10"/>
  <c r="Y14" i="8"/>
  <c r="AC17" i="8"/>
  <c r="Y11" i="8"/>
  <c r="N5" i="14"/>
  <c r="Z50" i="8"/>
  <c r="AD87" i="8"/>
  <c r="AC47" i="8"/>
  <c r="Y20" i="8"/>
  <c r="AL63" i="8"/>
  <c r="Z46" i="8"/>
  <c r="Z12" i="8"/>
  <c r="Z26" i="8"/>
  <c r="P7" i="14"/>
  <c r="Z15" i="8"/>
  <c r="AL68" i="8"/>
  <c r="Y51" i="8"/>
  <c r="AD60" i="8"/>
  <c r="Z45" i="8"/>
  <c r="Y12" i="8"/>
  <c r="AC53" i="8"/>
  <c r="Z48" i="8"/>
  <c r="L5" i="14"/>
  <c r="AI47" i="8"/>
  <c r="AC89" i="8"/>
  <c r="AD33" i="8"/>
  <c r="N14" i="10"/>
  <c r="AL66" i="8"/>
  <c r="Y8" i="8"/>
  <c r="M11" i="10"/>
  <c r="AL77" i="8"/>
  <c r="AL14" i="8"/>
  <c r="J6" i="14"/>
  <c r="AL39" i="8"/>
  <c r="AL19" i="8"/>
  <c r="AI69" i="8"/>
  <c r="AC78" i="8"/>
  <c r="L6" i="14"/>
  <c r="AD38" i="8"/>
  <c r="Z71" i="8"/>
  <c r="AL61" i="8"/>
  <c r="Y32" i="8"/>
  <c r="AL51" i="8"/>
  <c r="AL67" i="8"/>
  <c r="AI66" i="8"/>
  <c r="Z85" i="8"/>
  <c r="AI22" i="8"/>
  <c r="AC57" i="8"/>
  <c r="AI79" i="8"/>
  <c r="AD91" i="8"/>
  <c r="AI38" i="8"/>
  <c r="M15" i="10"/>
  <c r="AI55" i="8"/>
  <c r="O6" i="14"/>
  <c r="AI57" i="8"/>
  <c r="AD12" i="8"/>
  <c r="P9" i="10"/>
  <c r="AL31" i="8"/>
  <c r="M16" i="10"/>
  <c r="AC66" i="8"/>
  <c r="AL55" i="8"/>
  <c r="AI67" i="8"/>
  <c r="Z77" i="8"/>
  <c r="AL79" i="8"/>
  <c r="AI72" i="8"/>
  <c r="AI8" i="8"/>
  <c r="AD37" i="8"/>
  <c r="AC71" i="8"/>
  <c r="O8" i="14"/>
  <c r="AL89" i="8"/>
  <c r="AC28" i="8"/>
  <c r="S9" i="11" l="1"/>
  <c r="R9" i="11"/>
  <c r="T9" i="11"/>
  <c r="V9" i="11"/>
  <c r="W9" i="11"/>
  <c r="Q9" i="11"/>
  <c r="L9" i="11"/>
  <c r="P9" i="11"/>
  <c r="AK15" i="8"/>
  <c r="AK22" i="8"/>
  <c r="AK14" i="8"/>
  <c r="AK19" i="8"/>
  <c r="AK11" i="8"/>
  <c r="AK23" i="8"/>
  <c r="AK24" i="8"/>
  <c r="AK16" i="8"/>
  <c r="AK21" i="8"/>
  <c r="AK13" i="8"/>
  <c r="AK26" i="8"/>
  <c r="AK18" i="8"/>
  <c r="AK10" i="8"/>
  <c r="AK12" i="8"/>
  <c r="AK20" i="8"/>
  <c r="AK25" i="8"/>
  <c r="AK17" i="8"/>
  <c r="AK9" i="8"/>
  <c r="AL92" i="8"/>
  <c r="AI92" i="8"/>
  <c r="AK86" i="8"/>
  <c r="AK78" i="8"/>
  <c r="AK70" i="8"/>
  <c r="AK62" i="8"/>
  <c r="AK54" i="8"/>
  <c r="AK46" i="8"/>
  <c r="AK38" i="8"/>
  <c r="AK30" i="8"/>
  <c r="AK84" i="8"/>
  <c r="Z92" i="8"/>
  <c r="AK91" i="8"/>
  <c r="AK83" i="8"/>
  <c r="AK75" i="8"/>
  <c r="AK67" i="8"/>
  <c r="AK59" i="8"/>
  <c r="AK51" i="8"/>
  <c r="AK43" i="8"/>
  <c r="AK35" i="8"/>
  <c r="Y92" i="8"/>
  <c r="AK27" i="8"/>
  <c r="AK55" i="8"/>
  <c r="AK79" i="8"/>
  <c r="AK80" i="8"/>
  <c r="AK87" i="8"/>
  <c r="AK88" i="8"/>
  <c r="AK72" i="8"/>
  <c r="AK64" i="8"/>
  <c r="AK56" i="8"/>
  <c r="AK48" i="8"/>
  <c r="AK40" i="8"/>
  <c r="AK32" i="8"/>
  <c r="AK31" i="8"/>
  <c r="AK85" i="8"/>
  <c r="AK77" i="8"/>
  <c r="AK69" i="8"/>
  <c r="AK61" i="8"/>
  <c r="AK53" i="8"/>
  <c r="AK45" i="8"/>
  <c r="AK37" i="8"/>
  <c r="AK29" i="8"/>
  <c r="AK90" i="8"/>
  <c r="AK82" i="8"/>
  <c r="AK74" i="8"/>
  <c r="AK66" i="8"/>
  <c r="AK58" i="8"/>
  <c r="AK50" i="8"/>
  <c r="AK42" i="8"/>
  <c r="AK34" i="8"/>
  <c r="AK63" i="8"/>
  <c r="AK39" i="8"/>
  <c r="AK36" i="8"/>
  <c r="AK28" i="8"/>
  <c r="AK76" i="8"/>
  <c r="AK60" i="8"/>
  <c r="AK71" i="8"/>
  <c r="AK47" i="8"/>
  <c r="AK68" i="8"/>
  <c r="AK52" i="8"/>
  <c r="AK44" i="8"/>
  <c r="AD92" i="8"/>
  <c r="AK89" i="8"/>
  <c r="AK81" i="8"/>
  <c r="AK73" i="8"/>
  <c r="AK65" i="8"/>
  <c r="AK57" i="8"/>
  <c r="AK49" i="8"/>
  <c r="AK41" i="8"/>
  <c r="AK33" i="8"/>
  <c r="AC92" i="8"/>
  <c r="AJ42" i="8"/>
  <c r="AJ78" i="8"/>
  <c r="AJ54" i="8"/>
  <c r="AJ90" i="8"/>
  <c r="AJ58" i="8"/>
  <c r="AJ88" i="8"/>
  <c r="AJ84" i="8"/>
  <c r="AJ80" i="8"/>
  <c r="AJ76" i="8"/>
  <c r="AJ72" i="8"/>
  <c r="AJ68" i="8"/>
  <c r="AJ64" i="8"/>
  <c r="AJ60" i="8"/>
  <c r="AJ56" i="8"/>
  <c r="AJ52" i="8"/>
  <c r="AJ48" i="8"/>
  <c r="AJ44" i="8"/>
  <c r="AJ40" i="8"/>
  <c r="AJ36" i="8"/>
  <c r="AJ32" i="8"/>
  <c r="AJ28" i="8"/>
  <c r="AJ24" i="8"/>
  <c r="AJ20" i="8"/>
  <c r="AJ16" i="8"/>
  <c r="AJ12" i="8"/>
  <c r="AJ22" i="8"/>
  <c r="AJ86" i="8"/>
  <c r="AJ50" i="8"/>
  <c r="AJ34" i="8"/>
  <c r="AJ91" i="8"/>
  <c r="AJ87" i="8"/>
  <c r="AJ83" i="8"/>
  <c r="AJ79" i="8"/>
  <c r="AJ75" i="8"/>
  <c r="AJ71" i="8"/>
  <c r="AJ67" i="8"/>
  <c r="AJ63" i="8"/>
  <c r="AJ59" i="8"/>
  <c r="AJ55" i="8"/>
  <c r="AJ51" i="8"/>
  <c r="AJ47" i="8"/>
  <c r="AJ43" i="8"/>
  <c r="AJ39" i="8"/>
  <c r="AJ35" i="8"/>
  <c r="AJ31" i="8"/>
  <c r="AJ27" i="8"/>
  <c r="AJ23" i="8"/>
  <c r="AJ19" i="8"/>
  <c r="AJ15" i="8"/>
  <c r="AJ11" i="8"/>
  <c r="AJ38" i="8"/>
  <c r="AJ66" i="8"/>
  <c r="AJ74" i="8"/>
  <c r="AJ70" i="8"/>
  <c r="AJ62" i="8"/>
  <c r="AJ18" i="8"/>
  <c r="AJ14" i="8"/>
  <c r="AJ10" i="8"/>
  <c r="AJ26" i="8"/>
  <c r="AJ82" i="8"/>
  <c r="AJ46" i="8"/>
  <c r="AJ30" i="8"/>
  <c r="AJ89" i="8"/>
  <c r="AJ85" i="8"/>
  <c r="AJ81" i="8"/>
  <c r="AJ77" i="8"/>
  <c r="AJ73" i="8"/>
  <c r="AJ69" i="8"/>
  <c r="AJ65" i="8"/>
  <c r="AJ61" i="8"/>
  <c r="AJ57" i="8"/>
  <c r="AJ53" i="8"/>
  <c r="AJ49" i="8"/>
  <c r="AJ45" i="8"/>
  <c r="AJ41" i="8"/>
  <c r="AJ37" i="8"/>
  <c r="AJ33" i="8"/>
  <c r="AJ29" i="8"/>
  <c r="AJ25" i="8"/>
  <c r="AJ21" i="8"/>
  <c r="AJ17" i="8"/>
  <c r="AJ13" i="8"/>
  <c r="AJ9" i="8"/>
  <c r="AA86" i="8"/>
  <c r="AB86" i="8"/>
  <c r="AA78" i="8"/>
  <c r="AB78" i="8"/>
  <c r="AA70" i="8"/>
  <c r="AB70" i="8"/>
  <c r="AA62" i="8"/>
  <c r="AB62" i="8"/>
  <c r="AA54" i="8"/>
  <c r="AB54" i="8"/>
  <c r="AA46" i="8"/>
  <c r="AB46" i="8"/>
  <c r="AA38" i="8"/>
  <c r="AB38" i="8"/>
  <c r="AA30" i="8"/>
  <c r="AB30" i="8"/>
  <c r="AA22" i="8"/>
  <c r="AB22" i="8"/>
  <c r="AA84" i="8"/>
  <c r="AB84" i="8"/>
  <c r="AB91" i="8"/>
  <c r="AA91" i="8"/>
  <c r="AA83" i="8"/>
  <c r="AB83" i="8"/>
  <c r="AA75" i="8"/>
  <c r="AB75" i="8"/>
  <c r="AA67" i="8"/>
  <c r="AB67" i="8"/>
  <c r="AA59" i="8"/>
  <c r="AB59" i="8"/>
  <c r="AA51" i="8"/>
  <c r="AB51" i="8"/>
  <c r="AA43" i="8"/>
  <c r="AB43" i="8"/>
  <c r="AA35" i="8"/>
  <c r="AB35" i="8"/>
  <c r="AA27" i="8"/>
  <c r="AB27" i="8"/>
  <c r="AA55" i="8"/>
  <c r="AB55" i="8"/>
  <c r="AA79" i="8"/>
  <c r="AB79" i="8"/>
  <c r="AA23" i="8"/>
  <c r="AB23" i="8"/>
  <c r="AA80" i="8"/>
  <c r="AB80" i="8"/>
  <c r="AA87" i="8"/>
  <c r="AB87" i="8"/>
  <c r="AA88" i="8"/>
  <c r="AB88" i="8"/>
  <c r="AA72" i="8"/>
  <c r="AB72" i="8"/>
  <c r="AA64" i="8"/>
  <c r="AB64" i="8"/>
  <c r="AA56" i="8"/>
  <c r="AB56" i="8"/>
  <c r="AA48" i="8"/>
  <c r="AB48" i="8"/>
  <c r="AA40" i="8"/>
  <c r="AB40" i="8"/>
  <c r="AA32" i="8"/>
  <c r="AB32" i="8"/>
  <c r="AA24" i="8"/>
  <c r="AB24" i="8"/>
  <c r="AA31" i="8"/>
  <c r="AB31" i="8"/>
  <c r="AA85" i="8"/>
  <c r="AB85" i="8"/>
  <c r="AA77" i="8"/>
  <c r="AB77" i="8"/>
  <c r="AA69" i="8"/>
  <c r="AB69" i="8"/>
  <c r="AA61" i="8"/>
  <c r="AB61" i="8"/>
  <c r="AA53" i="8"/>
  <c r="AB53" i="8"/>
  <c r="AA45" i="8"/>
  <c r="AB45" i="8"/>
  <c r="AA37" i="8"/>
  <c r="AB37" i="8"/>
  <c r="AA29" i="8"/>
  <c r="AB29" i="8"/>
  <c r="AA21" i="8"/>
  <c r="AB21" i="8"/>
  <c r="AA90" i="8"/>
  <c r="AB90" i="8"/>
  <c r="AA82" i="8"/>
  <c r="AB82" i="8"/>
  <c r="AA74" i="8"/>
  <c r="AB74" i="8"/>
  <c r="AA66" i="8"/>
  <c r="AB66" i="8"/>
  <c r="AA58" i="8"/>
  <c r="AB58" i="8"/>
  <c r="AA50" i="8"/>
  <c r="AB50" i="8"/>
  <c r="AA42" i="8"/>
  <c r="AB42" i="8"/>
  <c r="AA34" i="8"/>
  <c r="AB34" i="8"/>
  <c r="AA26" i="8"/>
  <c r="AB26" i="8"/>
  <c r="AA63" i="8"/>
  <c r="AB63" i="8"/>
  <c r="AA39" i="8"/>
  <c r="AB39" i="8"/>
  <c r="AB36" i="8"/>
  <c r="AA36" i="8"/>
  <c r="AB28" i="8"/>
  <c r="AA28" i="8"/>
  <c r="AA76" i="8"/>
  <c r="AB76" i="8"/>
  <c r="AB60" i="8"/>
  <c r="AA60" i="8"/>
  <c r="AA71" i="8"/>
  <c r="AB71" i="8"/>
  <c r="AA47" i="8"/>
  <c r="AB47" i="8"/>
  <c r="AA68" i="8"/>
  <c r="AB68" i="8"/>
  <c r="AB52" i="8"/>
  <c r="AA52" i="8"/>
  <c r="AB44" i="8"/>
  <c r="AA44" i="8"/>
  <c r="AA20" i="8"/>
  <c r="AB20" i="8"/>
  <c r="AB89" i="8"/>
  <c r="AA89" i="8"/>
  <c r="AA81" i="8"/>
  <c r="AB81" i="8"/>
  <c r="AA73" i="8"/>
  <c r="AB73" i="8"/>
  <c r="AB65" i="8"/>
  <c r="AA65" i="8"/>
  <c r="AB57" i="8"/>
  <c r="AA57" i="8"/>
  <c r="AA49" i="8"/>
  <c r="AB49" i="8"/>
  <c r="AB41" i="8"/>
  <c r="AA41" i="8"/>
  <c r="AB33" i="8"/>
  <c r="AA33" i="8"/>
  <c r="AA25" i="8"/>
  <c r="AB25" i="8"/>
  <c r="AB17" i="8"/>
  <c r="AA17" i="8"/>
  <c r="W88" i="8"/>
  <c r="AE88" i="8" s="1"/>
  <c r="AG84" i="8"/>
  <c r="AM84" i="8" s="1"/>
  <c r="W80" i="8"/>
  <c r="AE80" i="8" s="1"/>
  <c r="AG76" i="8"/>
  <c r="AM76" i="8" s="1"/>
  <c r="W72" i="8"/>
  <c r="AE72" i="8" s="1"/>
  <c r="AG68" i="8"/>
  <c r="AM68" i="8" s="1"/>
  <c r="W64" i="8"/>
  <c r="AE64" i="8" s="1"/>
  <c r="AG60" i="8"/>
  <c r="AM60" i="8" s="1"/>
  <c r="W56" i="8"/>
  <c r="AE56" i="8" s="1"/>
  <c r="AG52" i="8"/>
  <c r="AM52" i="8" s="1"/>
  <c r="W48" i="8"/>
  <c r="AE48" i="8" s="1"/>
  <c r="AG44" i="8"/>
  <c r="AM44" i="8" s="1"/>
  <c r="W40" i="8"/>
  <c r="AE40" i="8" s="1"/>
  <c r="AG36" i="8"/>
  <c r="AM36" i="8" s="1"/>
  <c r="W32" i="8"/>
  <c r="AE32" i="8" s="1"/>
  <c r="AG28" i="8"/>
  <c r="AM28" i="8" s="1"/>
  <c r="W24" i="8"/>
  <c r="AE24" i="8" s="1"/>
  <c r="AG91" i="8"/>
  <c r="AM91" i="8" s="1"/>
  <c r="W79" i="8"/>
  <c r="AE79" i="8" s="1"/>
  <c r="AG43" i="8"/>
  <c r="AM43" i="8" s="1"/>
  <c r="W89" i="8"/>
  <c r="AE89" i="8" s="1"/>
  <c r="AG85" i="8"/>
  <c r="AM85" i="8" s="1"/>
  <c r="W81" i="8"/>
  <c r="AE81" i="8" s="1"/>
  <c r="AG77" i="8"/>
  <c r="AM77" i="8" s="1"/>
  <c r="W73" i="8"/>
  <c r="AE73" i="8" s="1"/>
  <c r="AG69" i="8"/>
  <c r="AM69" i="8" s="1"/>
  <c r="W65" i="8"/>
  <c r="AE65" i="8" s="1"/>
  <c r="AG61" i="8"/>
  <c r="AM61" i="8" s="1"/>
  <c r="W57" i="8"/>
  <c r="AE57" i="8" s="1"/>
  <c r="AG53" i="8"/>
  <c r="AM53" i="8" s="1"/>
  <c r="W49" i="8"/>
  <c r="AE49" i="8" s="1"/>
  <c r="AG45" i="8"/>
  <c r="AM45" i="8" s="1"/>
  <c r="W41" i="8"/>
  <c r="AE41" i="8" s="1"/>
  <c r="AG37" i="8"/>
  <c r="AM37" i="8" s="1"/>
  <c r="W33" i="8"/>
  <c r="AE33" i="8" s="1"/>
  <c r="AG29" i="8"/>
  <c r="AM29" i="8" s="1"/>
  <c r="W25" i="8"/>
  <c r="AE25" i="8" s="1"/>
  <c r="AG75" i="8"/>
  <c r="AM75" i="8" s="1"/>
  <c r="W55" i="8"/>
  <c r="AE55" i="8" s="1"/>
  <c r="W23" i="8"/>
  <c r="AE23" i="8" s="1"/>
  <c r="AG83" i="8"/>
  <c r="AM83" i="8" s="1"/>
  <c r="W31" i="8"/>
  <c r="AE31" i="8" s="1"/>
  <c r="W90" i="8"/>
  <c r="AE90" i="8" s="1"/>
  <c r="AG86" i="8"/>
  <c r="AM86" i="8" s="1"/>
  <c r="W82" i="8"/>
  <c r="AE82" i="8" s="1"/>
  <c r="AG78" i="8"/>
  <c r="AM78" i="8" s="1"/>
  <c r="W74" i="8"/>
  <c r="AE74" i="8" s="1"/>
  <c r="AG70" i="8"/>
  <c r="AM70" i="8" s="1"/>
  <c r="W66" i="8"/>
  <c r="AE66" i="8" s="1"/>
  <c r="AG62" i="8"/>
  <c r="AM62" i="8" s="1"/>
  <c r="W58" i="8"/>
  <c r="AE58" i="8" s="1"/>
  <c r="AG54" i="8"/>
  <c r="AM54" i="8" s="1"/>
  <c r="W50" i="8"/>
  <c r="AE50" i="8" s="1"/>
  <c r="AG46" i="8"/>
  <c r="AM46" i="8" s="1"/>
  <c r="W42" i="8"/>
  <c r="AE42" i="8" s="1"/>
  <c r="AG38" i="8"/>
  <c r="AM38" i="8" s="1"/>
  <c r="W34" i="8"/>
  <c r="AE34" i="8" s="1"/>
  <c r="AG30" i="8"/>
  <c r="AM30" i="8" s="1"/>
  <c r="W26" i="8"/>
  <c r="AE26" i="8" s="1"/>
  <c r="AG22" i="8"/>
  <c r="AM22" i="8" s="1"/>
  <c r="AG59" i="8"/>
  <c r="AM59" i="8" s="1"/>
  <c r="W71" i="8"/>
  <c r="AE71" i="8" s="1"/>
  <c r="AG27" i="8"/>
  <c r="AM27" i="8" s="1"/>
  <c r="W91" i="8"/>
  <c r="AE91" i="8" s="1"/>
  <c r="AG87" i="8"/>
  <c r="AM87" i="8" s="1"/>
  <c r="W83" i="8"/>
  <c r="AE83" i="8" s="1"/>
  <c r="AG79" i="8"/>
  <c r="AM79" i="8" s="1"/>
  <c r="W75" i="8"/>
  <c r="AE75" i="8" s="1"/>
  <c r="AG71" i="8"/>
  <c r="AM71" i="8" s="1"/>
  <c r="W67" i="8"/>
  <c r="AE67" i="8" s="1"/>
  <c r="AG63" i="8"/>
  <c r="AM63" i="8" s="1"/>
  <c r="W59" i="8"/>
  <c r="AE59" i="8" s="1"/>
  <c r="AG55" i="8"/>
  <c r="AM55" i="8" s="1"/>
  <c r="W51" i="8"/>
  <c r="AE51" i="8" s="1"/>
  <c r="AG47" i="8"/>
  <c r="AM47" i="8" s="1"/>
  <c r="W43" i="8"/>
  <c r="AE43" i="8" s="1"/>
  <c r="AG39" i="8"/>
  <c r="AM39" i="8" s="1"/>
  <c r="W35" i="8"/>
  <c r="AE35" i="8" s="1"/>
  <c r="AG31" i="8"/>
  <c r="AM31" i="8" s="1"/>
  <c r="W27" i="8"/>
  <c r="AE27" i="8" s="1"/>
  <c r="AG23" i="8"/>
  <c r="AM23" i="8" s="1"/>
  <c r="AG67" i="8"/>
  <c r="AM67" i="8" s="1"/>
  <c r="W47" i="8"/>
  <c r="AE47" i="8" s="1"/>
  <c r="AG88" i="8"/>
  <c r="AM88" i="8" s="1"/>
  <c r="W84" i="8"/>
  <c r="AE84" i="8" s="1"/>
  <c r="AG80" i="8"/>
  <c r="AM80" i="8" s="1"/>
  <c r="W76" i="8"/>
  <c r="AE76" i="8" s="1"/>
  <c r="AG72" i="8"/>
  <c r="AM72" i="8" s="1"/>
  <c r="W68" i="8"/>
  <c r="AE68" i="8" s="1"/>
  <c r="AG64" i="8"/>
  <c r="AM64" i="8" s="1"/>
  <c r="W60" i="8"/>
  <c r="AE60" i="8" s="1"/>
  <c r="AG56" i="8"/>
  <c r="AM56" i="8" s="1"/>
  <c r="W52" i="8"/>
  <c r="AE52" i="8" s="1"/>
  <c r="AG48" i="8"/>
  <c r="AM48" i="8" s="1"/>
  <c r="W44" i="8"/>
  <c r="AE44" i="8" s="1"/>
  <c r="AG40" i="8"/>
  <c r="AM40" i="8" s="1"/>
  <c r="W36" i="8"/>
  <c r="AE36" i="8" s="1"/>
  <c r="AG32" i="8"/>
  <c r="AM32" i="8" s="1"/>
  <c r="W28" i="8"/>
  <c r="AE28" i="8" s="1"/>
  <c r="AG24" i="8"/>
  <c r="AM24" i="8" s="1"/>
  <c r="W87" i="8"/>
  <c r="AE87" i="8" s="1"/>
  <c r="W63" i="8"/>
  <c r="AE63" i="8" s="1"/>
  <c r="AG89" i="8"/>
  <c r="AM89" i="8" s="1"/>
  <c r="W85" i="8"/>
  <c r="AE85" i="8" s="1"/>
  <c r="AG81" i="8"/>
  <c r="AM81" i="8" s="1"/>
  <c r="W77" i="8"/>
  <c r="AE77" i="8" s="1"/>
  <c r="AG73" i="8"/>
  <c r="AM73" i="8" s="1"/>
  <c r="W69" i="8"/>
  <c r="AE69" i="8" s="1"/>
  <c r="AG65" i="8"/>
  <c r="AM65" i="8" s="1"/>
  <c r="W61" i="8"/>
  <c r="AE61" i="8" s="1"/>
  <c r="AG57" i="8"/>
  <c r="AM57" i="8" s="1"/>
  <c r="W53" i="8"/>
  <c r="AE53" i="8" s="1"/>
  <c r="AG49" i="8"/>
  <c r="AM49" i="8" s="1"/>
  <c r="W45" i="8"/>
  <c r="AE45" i="8" s="1"/>
  <c r="AG41" i="8"/>
  <c r="AM41" i="8" s="1"/>
  <c r="W37" i="8"/>
  <c r="AE37" i="8" s="1"/>
  <c r="AG33" i="8"/>
  <c r="AM33" i="8" s="1"/>
  <c r="W29" i="8"/>
  <c r="AE29" i="8" s="1"/>
  <c r="AG25" i="8"/>
  <c r="AM25" i="8" s="1"/>
  <c r="AG51" i="8"/>
  <c r="AM51" i="8" s="1"/>
  <c r="AG35" i="8"/>
  <c r="AM35" i="8" s="1"/>
  <c r="AG90" i="8"/>
  <c r="AM90" i="8" s="1"/>
  <c r="W86" i="8"/>
  <c r="AE86" i="8" s="1"/>
  <c r="AG82" i="8"/>
  <c r="AM82" i="8" s="1"/>
  <c r="W78" i="8"/>
  <c r="AE78" i="8" s="1"/>
  <c r="AG74" i="8"/>
  <c r="AM74" i="8" s="1"/>
  <c r="W70" i="8"/>
  <c r="AE70" i="8" s="1"/>
  <c r="AG66" i="8"/>
  <c r="AM66" i="8" s="1"/>
  <c r="W62" i="8"/>
  <c r="AE62" i="8" s="1"/>
  <c r="AG58" i="8"/>
  <c r="AM58" i="8" s="1"/>
  <c r="W54" i="8"/>
  <c r="AE54" i="8" s="1"/>
  <c r="AG50" i="8"/>
  <c r="AM50" i="8" s="1"/>
  <c r="W46" i="8"/>
  <c r="AE46" i="8" s="1"/>
  <c r="AG42" i="8"/>
  <c r="AM42" i="8" s="1"/>
  <c r="W38" i="8"/>
  <c r="AE38" i="8" s="1"/>
  <c r="AG34" i="8"/>
  <c r="AM34" i="8" s="1"/>
  <c r="W30" i="8"/>
  <c r="AE30" i="8" s="1"/>
  <c r="AG26" i="8"/>
  <c r="AM26" i="8" s="1"/>
  <c r="W22" i="8"/>
  <c r="AE22" i="8" s="1"/>
  <c r="W39" i="8"/>
  <c r="AE39" i="8" s="1"/>
  <c r="I22" i="11"/>
  <c r="H22" i="11"/>
  <c r="Q28" i="9"/>
  <c r="H49" i="11"/>
  <c r="A89" i="14"/>
  <c r="A83" i="14"/>
  <c r="A86" i="14"/>
  <c r="L10" i="14"/>
  <c r="N10" i="14"/>
  <c r="Q6" i="14"/>
  <c r="O10" i="14"/>
  <c r="Q7" i="14"/>
  <c r="Q9" i="14"/>
  <c r="M7" i="14"/>
  <c r="Q8" i="14"/>
  <c r="K10" i="14"/>
  <c r="M5" i="14"/>
  <c r="J10" i="14"/>
  <c r="M9" i="14"/>
  <c r="M6" i="14"/>
  <c r="M8" i="14"/>
  <c r="AA40" i="11" a="1"/>
  <c r="AA40" i="11" s="1"/>
  <c r="AB40" i="11" s="1" a="1"/>
  <c r="AB40" i="11" s="1"/>
  <c r="N9" i="11"/>
  <c r="AA45" i="11" a="1"/>
  <c r="AA45" i="11" s="1"/>
  <c r="AB45" i="11" s="1" a="1"/>
  <c r="AB45" i="11" s="1"/>
  <c r="AA39" i="11" a="1"/>
  <c r="AA39" i="11" s="1"/>
  <c r="AB39" i="11" s="1" a="1"/>
  <c r="AB39" i="11" s="1"/>
  <c r="L36" i="11"/>
  <c r="AA44" i="11" a="1"/>
  <c r="AA44" i="11" s="1"/>
  <c r="AB44" i="11" s="1" a="1"/>
  <c r="AB44" i="11" s="1"/>
  <c r="M36" i="11"/>
  <c r="N36" i="11"/>
  <c r="AA38" i="11" a="1"/>
  <c r="AA38" i="11" s="1"/>
  <c r="AB38" i="11" s="1" a="1"/>
  <c r="AB38" i="11" s="1"/>
  <c r="O36" i="11"/>
  <c r="AA43" i="11" a="1"/>
  <c r="AA43" i="11" s="1"/>
  <c r="AB43" i="11" s="1" a="1"/>
  <c r="AB43" i="11" s="1"/>
  <c r="P36" i="11"/>
  <c r="AA48" i="11" a="1"/>
  <c r="AA48" i="11" s="1"/>
  <c r="AB48" i="11" s="1" a="1"/>
  <c r="AB48" i="11" s="1"/>
  <c r="AA37" i="11" a="1"/>
  <c r="AA37" i="11" s="1"/>
  <c r="Q36" i="11"/>
  <c r="M9" i="11"/>
  <c r="R36" i="11"/>
  <c r="AA42" i="11" a="1"/>
  <c r="AA42" i="11" s="1"/>
  <c r="AB42" i="11" s="1" a="1"/>
  <c r="AB42" i="11" s="1"/>
  <c r="AA47" i="11" a="1"/>
  <c r="AA47" i="11" s="1"/>
  <c r="AB47" i="11" s="1" a="1"/>
  <c r="AB47" i="11" s="1"/>
  <c r="S36" i="11"/>
  <c r="O9" i="11"/>
  <c r="T36" i="11"/>
  <c r="U36" i="11"/>
  <c r="AA41" i="11" a="1"/>
  <c r="AA41" i="11" s="1"/>
  <c r="AB41" i="11" s="1" a="1"/>
  <c r="AB41" i="11" s="1"/>
  <c r="V36" i="11"/>
  <c r="AA46" i="11" a="1"/>
  <c r="AA46" i="11" s="1"/>
  <c r="AB46" i="11" s="1" a="1"/>
  <c r="AB46" i="11" s="1"/>
  <c r="W36" i="11"/>
  <c r="J12" i="10"/>
  <c r="I12" i="10"/>
  <c r="J9" i="10"/>
  <c r="I9" i="10"/>
  <c r="I6" i="10"/>
  <c r="J6" i="10"/>
  <c r="J14" i="10"/>
  <c r="I14" i="10"/>
  <c r="I11" i="10"/>
  <c r="J11" i="10"/>
  <c r="J8" i="10"/>
  <c r="I8" i="10"/>
  <c r="J16" i="10"/>
  <c r="I16" i="10"/>
  <c r="J13" i="10"/>
  <c r="I13" i="10"/>
  <c r="J10" i="10"/>
  <c r="I10" i="10"/>
  <c r="J7" i="10"/>
  <c r="I7" i="10"/>
  <c r="J15" i="10"/>
  <c r="I15" i="10"/>
  <c r="N18" i="10"/>
  <c r="S13" i="10"/>
  <c r="R13" i="10"/>
  <c r="Q13" i="10"/>
  <c r="S8" i="10"/>
  <c r="Q8" i="10"/>
  <c r="R8" i="10"/>
  <c r="R7" i="10"/>
  <c r="S7" i="10"/>
  <c r="Q7" i="10"/>
  <c r="S18" i="10"/>
  <c r="Q12" i="10"/>
  <c r="S12" i="10"/>
  <c r="R12" i="10"/>
  <c r="S17" i="10"/>
  <c r="R17" i="10"/>
  <c r="Q17" i="10"/>
  <c r="P18" i="10"/>
  <c r="R18" i="10" s="1"/>
  <c r="S6" i="10"/>
  <c r="Q6" i="10"/>
  <c r="R6" i="10"/>
  <c r="R11" i="10"/>
  <c r="S11" i="10"/>
  <c r="Q11" i="10"/>
  <c r="S16" i="10"/>
  <c r="R16" i="10"/>
  <c r="Q16" i="10"/>
  <c r="S10" i="10"/>
  <c r="R10" i="10"/>
  <c r="Q10" i="10"/>
  <c r="S15" i="10"/>
  <c r="R15" i="10"/>
  <c r="Q15" i="10"/>
  <c r="M18" i="10"/>
  <c r="S9" i="10"/>
  <c r="R9" i="10"/>
  <c r="Q9" i="10"/>
  <c r="O18" i="10"/>
  <c r="Q18" i="10" s="1"/>
  <c r="S14" i="10"/>
  <c r="R14" i="10"/>
  <c r="Q14" i="10"/>
  <c r="O28" i="9"/>
  <c r="P28" i="9"/>
  <c r="P10" i="14" l="1"/>
  <c r="C81" i="14" s="1"/>
  <c r="N31" i="14" s="1"/>
  <c r="Q5" i="14"/>
  <c r="Q10" i="14" s="1"/>
  <c r="M10" i="14"/>
  <c r="B81" i="14"/>
  <c r="J31" i="14" s="1"/>
  <c r="A81" i="14"/>
  <c r="C31" i="14" s="1"/>
  <c r="AA49" i="11"/>
  <c r="AB37" i="11" a="1"/>
  <c r="AB37" i="11" s="1"/>
  <c r="AB49" i="11" s="1"/>
  <c r="I18" i="10"/>
  <c r="J18" i="10"/>
  <c r="A85" i="14" l="1"/>
  <c r="A88" i="14"/>
  <c r="A82" i="14"/>
  <c r="L22" i="8"/>
  <c r="K22" i="8"/>
  <c r="J22" i="8"/>
  <c r="M8" i="8"/>
  <c r="AC5" i="8"/>
  <c r="O23" i="8"/>
  <c r="G23" i="8"/>
  <c r="H23" i="8"/>
  <c r="M23" i="8"/>
  <c r="I23" i="8"/>
  <c r="N23" i="8"/>
  <c r="T20" i="8" l="1"/>
  <c r="T14" i="8"/>
  <c r="T12" i="8"/>
  <c r="T17" i="8"/>
  <c r="T13" i="8"/>
  <c r="T21" i="8"/>
  <c r="P21" i="8"/>
  <c r="R21" i="8"/>
  <c r="T22" i="8"/>
  <c r="T15" i="8"/>
  <c r="R15" i="8"/>
  <c r="P15" i="8"/>
  <c r="R11" i="8"/>
  <c r="T11" i="8"/>
  <c r="P11" i="8"/>
  <c r="R19" i="8"/>
  <c r="P19" i="8"/>
  <c r="R16" i="8"/>
  <c r="P16" i="8"/>
  <c r="Q19" i="8"/>
  <c r="S19" i="8"/>
  <c r="K19" i="8"/>
  <c r="U19" i="8"/>
  <c r="L19" i="8"/>
  <c r="J19" i="8"/>
  <c r="Q11" i="8"/>
  <c r="S11" i="8"/>
  <c r="L11" i="8"/>
  <c r="U11" i="8"/>
  <c r="K11" i="8"/>
  <c r="J11" i="8"/>
  <c r="L13" i="8"/>
  <c r="J13" i="8"/>
  <c r="P13" i="8" s="1"/>
  <c r="K13" i="8"/>
  <c r="R13" i="8" s="1"/>
  <c r="AJ8" i="8"/>
  <c r="Q15" i="8"/>
  <c r="L15" i="8"/>
  <c r="U15" i="8"/>
  <c r="S15" i="8"/>
  <c r="K15" i="8"/>
  <c r="J15" i="8"/>
  <c r="J12" i="8"/>
  <c r="P12" i="8" s="1"/>
  <c r="K12" i="8"/>
  <c r="R12" i="8" s="1"/>
  <c r="L12" i="8"/>
  <c r="L17" i="8"/>
  <c r="K17" i="8"/>
  <c r="R17" i="8" s="1"/>
  <c r="J17" i="8"/>
  <c r="P17" i="8" s="1"/>
  <c r="L21" i="8"/>
  <c r="J21" i="8"/>
  <c r="K21" i="8"/>
  <c r="U21" i="8"/>
  <c r="S21" i="8"/>
  <c r="Q21" i="8"/>
  <c r="AK8" i="8"/>
  <c r="L14" i="8"/>
  <c r="J14" i="8"/>
  <c r="P14" i="8" s="1"/>
  <c r="K14" i="8"/>
  <c r="R14" i="8" s="1"/>
  <c r="J20" i="8"/>
  <c r="P20" i="8" s="1"/>
  <c r="K20" i="8"/>
  <c r="R20" i="8" s="1"/>
  <c r="L20" i="8"/>
  <c r="U22" i="8"/>
  <c r="Q22" i="8"/>
  <c r="S22" i="8"/>
  <c r="L18" i="8"/>
  <c r="T18" i="8" s="1"/>
  <c r="K18" i="8"/>
  <c r="R18" i="8" s="1"/>
  <c r="J18" i="8"/>
  <c r="P18" i="8" s="1"/>
  <c r="U16" i="8"/>
  <c r="S16" i="8"/>
  <c r="J16" i="8"/>
  <c r="L16" i="8"/>
  <c r="K16" i="8"/>
  <c r="Q16" i="8"/>
  <c r="T19" i="8"/>
  <c r="W10" i="8"/>
  <c r="AE10" i="8" s="1"/>
  <c r="AG16" i="8"/>
  <c r="AM16" i="8" s="1"/>
  <c r="W17" i="8"/>
  <c r="AE17" i="8" s="1"/>
  <c r="AG11" i="8"/>
  <c r="AM11" i="8" s="1"/>
  <c r="W19" i="8"/>
  <c r="AE19" i="8" s="1"/>
  <c r="W15" i="8"/>
  <c r="AE15" i="8" s="1"/>
  <c r="R22" i="8"/>
  <c r="P22" i="8"/>
  <c r="AG15" i="8"/>
  <c r="AM15" i="8" s="1"/>
  <c r="AG14" i="8"/>
  <c r="AM14" i="8" s="1"/>
  <c r="AG8" i="8"/>
  <c r="AM8" i="8" s="1"/>
  <c r="AG18" i="8"/>
  <c r="AM18" i="8" s="1"/>
  <c r="AG13" i="8"/>
  <c r="AM13" i="8" s="1"/>
  <c r="W21" i="8"/>
  <c r="AE21" i="8" s="1"/>
  <c r="W9" i="8"/>
  <c r="AE9" i="8" s="1"/>
  <c r="AG12" i="8"/>
  <c r="AM12" i="8" s="1"/>
  <c r="W20" i="8"/>
  <c r="AE20" i="8" s="1"/>
  <c r="AG17" i="8"/>
  <c r="AM17" i="8" s="1"/>
  <c r="W8" i="8"/>
  <c r="AE8" i="8" s="1"/>
  <c r="W14" i="8"/>
  <c r="AE14" i="8" s="1"/>
  <c r="W13" i="8"/>
  <c r="AE13" i="8" s="1"/>
  <c r="AG21" i="8"/>
  <c r="AM21" i="8" s="1"/>
  <c r="AG10" i="8"/>
  <c r="AM10" i="8" s="1"/>
  <c r="W18" i="8"/>
  <c r="AE18" i="8" s="1"/>
  <c r="AG9" i="8"/>
  <c r="AM9" i="8" s="1"/>
  <c r="W12" i="8"/>
  <c r="AE12" i="8" s="1"/>
  <c r="AG20" i="8"/>
  <c r="AM20" i="8" s="1"/>
  <c r="W11" i="8"/>
  <c r="AE11" i="8" s="1"/>
  <c r="AG19" i="8"/>
  <c r="AM19" i="8" s="1"/>
  <c r="T16" i="8"/>
  <c r="W16" i="8"/>
  <c r="AE16" i="8" s="1"/>
  <c r="AJ92" i="8" l="1"/>
  <c r="AK92" i="8"/>
  <c r="T23" i="8"/>
  <c r="J23" i="8"/>
  <c r="B50" i="8" s="1"/>
  <c r="B51" i="8" s="1"/>
  <c r="K23" i="8"/>
  <c r="C50" i="8" s="1"/>
  <c r="C51" i="8" s="1"/>
  <c r="P23" i="8"/>
  <c r="L23" i="8"/>
  <c r="D50" i="8" s="1"/>
  <c r="D51" i="8" s="1"/>
  <c r="R23" i="8"/>
  <c r="A25" i="3" l="1"/>
  <c r="A24" i="3"/>
  <c r="A23" i="3"/>
  <c r="A22" i="3"/>
  <c r="A21" i="3"/>
  <c r="A20" i="3"/>
  <c r="A19" i="3"/>
  <c r="A18" i="3"/>
  <c r="A17" i="3"/>
  <c r="A16" i="3"/>
  <c r="A15" i="3"/>
  <c r="A14" i="3"/>
  <c r="A13" i="3"/>
  <c r="A12" i="3"/>
  <c r="A11" i="3"/>
  <c r="A10" i="3"/>
  <c r="A9" i="3"/>
  <c r="A8" i="3"/>
  <c r="A7" i="3"/>
  <c r="A6" i="3"/>
  <c r="A5" i="3"/>
  <c r="A4" i="3"/>
  <c r="A3" i="3"/>
  <c r="A2" i="3"/>
  <c r="D11" i="3" l="1"/>
  <c r="B21" i="3"/>
  <c r="B9" i="3"/>
  <c r="C3" i="3"/>
  <c r="B25" i="3"/>
  <c r="B13" i="3"/>
  <c r="D3" i="3"/>
  <c r="D4" i="3"/>
  <c r="B17" i="3"/>
  <c r="C7" i="3"/>
  <c r="B5" i="3"/>
  <c r="D7" i="3"/>
  <c r="C5" i="3"/>
  <c r="B2" i="3"/>
  <c r="B10" i="3"/>
  <c r="C6" i="3"/>
  <c r="C14" i="3"/>
  <c r="C22" i="3"/>
  <c r="D2" i="3"/>
  <c r="D6" i="3"/>
  <c r="D10" i="3"/>
  <c r="D14" i="3"/>
  <c r="D18" i="3"/>
  <c r="D22" i="3"/>
  <c r="B3" i="3"/>
  <c r="B7" i="3"/>
  <c r="B11" i="3"/>
  <c r="B15" i="3"/>
  <c r="B19" i="3"/>
  <c r="B23" i="3"/>
  <c r="C11" i="3"/>
  <c r="C15" i="3"/>
  <c r="C19" i="3"/>
  <c r="C23" i="3"/>
  <c r="D15" i="3"/>
  <c r="D19" i="3"/>
  <c r="D23" i="3"/>
  <c r="AD19" i="1"/>
  <c r="AC19" i="1"/>
  <c r="AH23" i="1"/>
  <c r="AC52" i="1"/>
  <c r="B8" i="3"/>
  <c r="B16" i="3"/>
  <c r="AD22" i="1"/>
  <c r="B4" i="3"/>
  <c r="B12" i="3"/>
  <c r="B20" i="3"/>
  <c r="B24" i="3"/>
  <c r="C4" i="3"/>
  <c r="C8" i="3"/>
  <c r="C12" i="3"/>
  <c r="C16" i="3"/>
  <c r="C20" i="3"/>
  <c r="C24" i="3"/>
  <c r="D8" i="3"/>
  <c r="D16" i="3"/>
  <c r="D20" i="3"/>
  <c r="D24" i="3"/>
  <c r="D12" i="3"/>
  <c r="AC23" i="1"/>
  <c r="C13" i="3"/>
  <c r="C17" i="3"/>
  <c r="D5" i="3"/>
  <c r="D13" i="3"/>
  <c r="D21" i="3"/>
  <c r="C9" i="3"/>
  <c r="D9" i="3"/>
  <c r="D17" i="3"/>
  <c r="D25" i="3"/>
  <c r="C25" i="3"/>
  <c r="B14" i="3"/>
  <c r="B18" i="3"/>
  <c r="B22" i="3"/>
  <c r="AC28" i="1"/>
  <c r="C21" i="3"/>
  <c r="B6" i="3"/>
  <c r="C2" i="3"/>
  <c r="C10" i="3"/>
  <c r="C18" i="3"/>
  <c r="AH40" i="1"/>
  <c r="AD23" i="1"/>
  <c r="AH141" i="1"/>
  <c r="AH32" i="1"/>
  <c r="AD41" i="1"/>
  <c r="AC21" i="1"/>
  <c r="AD29" i="1"/>
  <c r="AH26" i="1"/>
  <c r="AC38" i="1"/>
  <c r="AD189" i="1"/>
  <c r="AC24" i="1"/>
  <c r="AD24" i="1"/>
  <c r="AH30" i="1"/>
  <c r="AD28" i="1"/>
  <c r="AC56" i="1"/>
  <c r="AC44" i="1"/>
  <c r="AC20" i="1"/>
  <c r="AH29" i="1"/>
  <c r="AH21" i="1" l="1"/>
  <c r="AC36" i="1"/>
  <c r="AD44" i="1"/>
  <c r="AC31" i="1"/>
  <c r="AH27" i="1"/>
  <c r="AH43" i="1"/>
  <c r="AD20" i="1"/>
  <c r="AH31" i="1"/>
  <c r="AH33" i="1"/>
  <c r="AD36" i="1"/>
  <c r="AC51" i="1"/>
  <c r="AD182" i="1"/>
  <c r="AD96" i="1"/>
  <c r="AD226" i="1"/>
  <c r="AD116" i="1"/>
  <c r="AD132" i="1"/>
  <c r="AC22" i="1"/>
  <c r="AD21" i="1"/>
  <c r="AD32" i="1"/>
  <c r="AC32" i="1"/>
  <c r="AD26" i="1"/>
  <c r="AC29" i="1"/>
  <c r="AC26" i="1"/>
  <c r="AD33" i="1"/>
  <c r="AH22" i="1"/>
  <c r="AC30" i="1"/>
  <c r="AH24" i="1"/>
  <c r="AC27" i="1"/>
  <c r="AD30" i="1"/>
  <c r="AD31" i="1"/>
  <c r="AH25" i="1"/>
  <c r="AD25" i="1"/>
  <c r="AC25" i="1"/>
  <c r="AH28" i="1"/>
  <c r="AD27" i="1"/>
  <c r="AC33" i="1"/>
  <c r="AH19" i="1"/>
  <c r="AD100" i="1"/>
  <c r="AC76" i="1"/>
  <c r="AC116" i="1"/>
  <c r="AC148" i="1"/>
  <c r="AC156" i="1"/>
  <c r="AC172" i="1"/>
  <c r="AC196" i="1"/>
  <c r="AC204" i="1"/>
  <c r="AC84" i="1"/>
  <c r="AC68" i="1"/>
  <c r="AC212" i="1"/>
  <c r="AC220" i="1"/>
  <c r="AC92" i="1"/>
  <c r="AC164" i="1"/>
  <c r="AD108" i="1"/>
  <c r="AD124" i="1"/>
  <c r="AD156" i="1"/>
  <c r="AD164" i="1"/>
  <c r="AD61" i="1"/>
  <c r="AD172" i="1"/>
  <c r="AD69" i="1"/>
  <c r="AH124" i="1"/>
  <c r="AD114" i="1"/>
  <c r="AD196" i="1"/>
  <c r="AD77" i="1"/>
  <c r="AD54" i="1"/>
  <c r="AD151" i="1"/>
  <c r="AH20" i="1"/>
  <c r="AD125" i="1"/>
  <c r="AD62" i="1"/>
  <c r="AD159" i="1"/>
  <c r="AD197" i="1"/>
  <c r="AD190" i="1"/>
  <c r="AD224" i="1"/>
  <c r="AD169" i="1"/>
  <c r="AD205" i="1"/>
  <c r="AD52" i="1"/>
  <c r="AD68" i="1"/>
  <c r="AC100" i="1"/>
  <c r="AC108" i="1"/>
  <c r="AC124" i="1"/>
  <c r="AC132" i="1"/>
  <c r="AC140" i="1"/>
  <c r="AC180" i="1"/>
  <c r="AH213" i="1"/>
  <c r="AC77" i="1"/>
  <c r="AH160" i="1"/>
  <c r="AC157" i="1"/>
  <c r="AC213" i="1"/>
  <c r="AH135" i="1"/>
  <c r="AH121" i="1"/>
  <c r="AH127" i="1"/>
  <c r="AH54" i="1"/>
  <c r="AH132" i="1"/>
  <c r="AH67" i="1"/>
  <c r="AH128" i="1"/>
  <c r="AC205" i="1"/>
  <c r="AC64" i="1"/>
  <c r="AC184" i="1"/>
  <c r="AC192" i="1"/>
  <c r="AC163" i="1"/>
  <c r="AC98" i="1"/>
  <c r="AC226" i="1"/>
  <c r="AC179" i="1"/>
  <c r="AC102" i="1"/>
  <c r="AC105" i="1"/>
  <c r="AC110" i="1"/>
  <c r="AC85" i="1"/>
  <c r="AC118" i="1"/>
  <c r="AC109" i="1"/>
  <c r="AC166" i="1"/>
  <c r="AC95" i="1"/>
  <c r="AC141" i="1"/>
  <c r="AC103" i="1"/>
  <c r="AC149" i="1"/>
  <c r="AC223" i="1"/>
  <c r="AH51" i="1"/>
  <c r="AC60" i="1"/>
  <c r="AC188" i="1"/>
  <c r="AH116" i="1"/>
  <c r="AD92" i="1"/>
  <c r="AD220" i="1"/>
  <c r="AH197" i="1"/>
  <c r="AC133" i="1"/>
  <c r="AH38" i="1"/>
  <c r="AD53" i="1"/>
  <c r="AD181" i="1"/>
  <c r="AH119" i="1"/>
  <c r="AC94" i="1"/>
  <c r="AC222" i="1"/>
  <c r="AD46" i="1"/>
  <c r="AD174" i="1"/>
  <c r="AH105" i="1"/>
  <c r="AC87" i="1"/>
  <c r="AC215" i="1"/>
  <c r="AH218" i="1"/>
  <c r="AD143" i="1"/>
  <c r="AC48" i="1"/>
  <c r="AC176" i="1"/>
  <c r="AH108" i="1"/>
  <c r="AD88" i="1"/>
  <c r="AD216" i="1"/>
  <c r="AH125" i="1"/>
  <c r="AC97" i="1"/>
  <c r="AC225" i="1"/>
  <c r="AD161" i="1"/>
  <c r="AH111" i="1"/>
  <c r="AC90" i="1"/>
  <c r="AC218" i="1"/>
  <c r="AH144" i="1"/>
  <c r="AD106" i="1"/>
  <c r="AC43" i="1"/>
  <c r="AC171" i="1"/>
  <c r="AH83" i="1"/>
  <c r="AH148" i="1"/>
  <c r="AH70" i="1"/>
  <c r="AH151" i="1"/>
  <c r="AH56" i="1"/>
  <c r="AH137" i="1"/>
  <c r="AH59" i="1"/>
  <c r="AH140" i="1"/>
  <c r="AD104" i="1"/>
  <c r="AH157" i="1"/>
  <c r="AC113" i="1"/>
  <c r="AD49" i="1"/>
  <c r="AD177" i="1"/>
  <c r="AH143" i="1"/>
  <c r="AC106" i="1"/>
  <c r="AH176" i="1"/>
  <c r="AD122" i="1"/>
  <c r="AH49" i="1"/>
  <c r="AC59" i="1"/>
  <c r="AC187" i="1"/>
  <c r="AH99" i="1"/>
  <c r="AH164" i="1"/>
  <c r="AH86" i="1"/>
  <c r="AH167" i="1"/>
  <c r="AH72" i="1"/>
  <c r="AD70" i="1"/>
  <c r="AD198" i="1"/>
  <c r="AH153" i="1"/>
  <c r="AC111" i="1"/>
  <c r="AD39" i="1"/>
  <c r="AD167" i="1"/>
  <c r="AH75" i="1"/>
  <c r="AC72" i="1"/>
  <c r="AC200" i="1"/>
  <c r="AH156" i="1"/>
  <c r="AD112" i="1"/>
  <c r="AH173" i="1"/>
  <c r="AC121" i="1"/>
  <c r="AH46" i="1"/>
  <c r="AD57" i="1"/>
  <c r="AD185" i="1"/>
  <c r="AH159" i="1"/>
  <c r="AC114" i="1"/>
  <c r="AH192" i="1"/>
  <c r="AD130" i="1"/>
  <c r="AH65" i="1"/>
  <c r="AC67" i="1"/>
  <c r="AC195" i="1"/>
  <c r="AH115" i="1"/>
  <c r="AH180" i="1"/>
  <c r="AC37" i="1"/>
  <c r="AC165" i="1"/>
  <c r="AH102" i="1"/>
  <c r="AD85" i="1"/>
  <c r="AD213" i="1"/>
  <c r="AH183" i="1"/>
  <c r="AC126" i="1"/>
  <c r="AH88" i="1"/>
  <c r="AD78" i="1"/>
  <c r="AD206" i="1"/>
  <c r="AH169" i="1"/>
  <c r="AC119" i="1"/>
  <c r="AD47" i="1"/>
  <c r="AD175" i="1"/>
  <c r="AH91" i="1"/>
  <c r="AC80" i="1"/>
  <c r="AC208" i="1"/>
  <c r="AH172" i="1"/>
  <c r="AD120" i="1"/>
  <c r="AH189" i="1"/>
  <c r="AC129" i="1"/>
  <c r="AH62" i="1"/>
  <c r="AD65" i="1"/>
  <c r="AD193" i="1"/>
  <c r="AH175" i="1"/>
  <c r="AC122" i="1"/>
  <c r="AH208" i="1"/>
  <c r="AD138" i="1"/>
  <c r="AH81" i="1"/>
  <c r="AC75" i="1"/>
  <c r="AC203" i="1"/>
  <c r="AH131" i="1"/>
  <c r="AH196" i="1"/>
  <c r="AC45" i="1"/>
  <c r="AC173" i="1"/>
  <c r="AH118" i="1"/>
  <c r="AD93" i="1"/>
  <c r="AD221" i="1"/>
  <c r="AH199" i="1"/>
  <c r="AC134" i="1"/>
  <c r="AH104" i="1"/>
  <c r="AD86" i="1"/>
  <c r="AD214" i="1"/>
  <c r="AH185" i="1"/>
  <c r="AC127" i="1"/>
  <c r="AH42" i="1"/>
  <c r="AD55" i="1"/>
  <c r="AD183" i="1"/>
  <c r="AH107" i="1"/>
  <c r="AC88" i="1"/>
  <c r="AC216" i="1"/>
  <c r="AH188" i="1"/>
  <c r="AD128" i="1"/>
  <c r="AH205" i="1"/>
  <c r="AC137" i="1"/>
  <c r="AH78" i="1"/>
  <c r="AD73" i="1"/>
  <c r="AD201" i="1"/>
  <c r="AH191" i="1"/>
  <c r="AC130" i="1"/>
  <c r="AH224" i="1"/>
  <c r="AD146" i="1"/>
  <c r="AH97" i="1"/>
  <c r="AC83" i="1"/>
  <c r="AC211" i="1"/>
  <c r="AH147" i="1"/>
  <c r="AH212" i="1"/>
  <c r="AD140" i="1"/>
  <c r="AH37" i="1"/>
  <c r="AC53" i="1"/>
  <c r="AC181" i="1"/>
  <c r="AH134" i="1"/>
  <c r="AD101" i="1"/>
  <c r="AH215" i="1"/>
  <c r="AC142" i="1"/>
  <c r="AH120" i="1"/>
  <c r="AD94" i="1"/>
  <c r="AD222" i="1"/>
  <c r="AH201" i="1"/>
  <c r="AC135" i="1"/>
  <c r="AH58" i="1"/>
  <c r="AD63" i="1"/>
  <c r="AD191" i="1"/>
  <c r="AH123" i="1"/>
  <c r="AC96" i="1"/>
  <c r="AC224" i="1"/>
  <c r="AH204" i="1"/>
  <c r="AD136" i="1"/>
  <c r="AH221" i="1"/>
  <c r="AC145" i="1"/>
  <c r="AH94" i="1"/>
  <c r="AD81" i="1"/>
  <c r="AD209" i="1"/>
  <c r="AH207" i="1"/>
  <c r="AC138" i="1"/>
  <c r="AD154" i="1"/>
  <c r="AH113" i="1"/>
  <c r="AC91" i="1"/>
  <c r="AC219" i="1"/>
  <c r="AH163" i="1"/>
  <c r="AD148" i="1"/>
  <c r="AH53" i="1"/>
  <c r="AC61" i="1"/>
  <c r="AC189" i="1"/>
  <c r="AH150" i="1"/>
  <c r="AD109" i="1"/>
  <c r="AC150" i="1"/>
  <c r="AH136" i="1"/>
  <c r="AD102" i="1"/>
  <c r="AH217" i="1"/>
  <c r="AC143" i="1"/>
  <c r="AH74" i="1"/>
  <c r="AD71" i="1"/>
  <c r="AD199" i="1"/>
  <c r="AH139" i="1"/>
  <c r="AC104" i="1"/>
  <c r="AH220" i="1"/>
  <c r="AD144" i="1"/>
  <c r="AC153" i="1"/>
  <c r="AH110" i="1"/>
  <c r="AD89" i="1"/>
  <c r="AD217" i="1"/>
  <c r="AH223" i="1"/>
  <c r="AC146" i="1"/>
  <c r="AD34" i="1"/>
  <c r="AD162" i="1"/>
  <c r="AH129" i="1"/>
  <c r="AC99" i="1"/>
  <c r="AH179" i="1"/>
  <c r="AH69" i="1"/>
  <c r="AC69" i="1"/>
  <c r="AC197" i="1"/>
  <c r="AH166" i="1"/>
  <c r="AD117" i="1"/>
  <c r="AC158" i="1"/>
  <c r="AH152" i="1"/>
  <c r="AD110" i="1"/>
  <c r="AC151" i="1"/>
  <c r="AH90" i="1"/>
  <c r="AD79" i="1"/>
  <c r="AD207" i="1"/>
  <c r="AH155" i="1"/>
  <c r="AC112" i="1"/>
  <c r="AD152" i="1"/>
  <c r="AC161" i="1"/>
  <c r="AH126" i="1"/>
  <c r="AD97" i="1"/>
  <c r="AD225" i="1"/>
  <c r="AC154" i="1"/>
  <c r="AD42" i="1"/>
  <c r="AD170" i="1"/>
  <c r="AH145" i="1"/>
  <c r="AC107" i="1"/>
  <c r="AH195" i="1"/>
  <c r="AH85" i="1"/>
  <c r="AH182" i="1"/>
  <c r="AH168" i="1"/>
  <c r="AD118" i="1"/>
  <c r="AC159" i="1"/>
  <c r="AH106" i="1"/>
  <c r="AD87" i="1"/>
  <c r="AD215" i="1"/>
  <c r="AH171" i="1"/>
  <c r="AC120" i="1"/>
  <c r="AD160" i="1"/>
  <c r="AC41" i="1"/>
  <c r="AC169" i="1"/>
  <c r="AH142" i="1"/>
  <c r="AD105" i="1"/>
  <c r="AC34" i="1"/>
  <c r="AC162" i="1"/>
  <c r="AD50" i="1"/>
  <c r="AD178" i="1"/>
  <c r="AH161" i="1"/>
  <c r="AC115" i="1"/>
  <c r="AH211" i="1"/>
  <c r="AH101" i="1"/>
  <c r="AH198" i="1"/>
  <c r="AD133" i="1"/>
  <c r="AC46" i="1"/>
  <c r="AC174" i="1"/>
  <c r="AH184" i="1"/>
  <c r="AD126" i="1"/>
  <c r="AC39" i="1"/>
  <c r="AC167" i="1"/>
  <c r="AH122" i="1"/>
  <c r="AD95" i="1"/>
  <c r="AD223" i="1"/>
  <c r="AH187" i="1"/>
  <c r="AC128" i="1"/>
  <c r="AD40" i="1"/>
  <c r="AD168" i="1"/>
  <c r="AC49" i="1"/>
  <c r="AC177" i="1"/>
  <c r="AH158" i="1"/>
  <c r="AD113" i="1"/>
  <c r="AC42" i="1"/>
  <c r="AC170" i="1"/>
  <c r="AH48" i="1"/>
  <c r="AD58" i="1"/>
  <c r="AD186" i="1"/>
  <c r="AH177" i="1"/>
  <c r="AC123" i="1"/>
  <c r="AH36" i="1"/>
  <c r="AD180" i="1"/>
  <c r="AH117" i="1"/>
  <c r="AC93" i="1"/>
  <c r="AC221" i="1"/>
  <c r="AH214" i="1"/>
  <c r="AD141" i="1"/>
  <c r="AH39" i="1"/>
  <c r="AC54" i="1"/>
  <c r="AC182" i="1"/>
  <c r="AH200" i="1"/>
  <c r="AD134" i="1"/>
  <c r="AC47" i="1"/>
  <c r="AC175" i="1"/>
  <c r="AH138" i="1"/>
  <c r="AD103" i="1"/>
  <c r="AH203" i="1"/>
  <c r="AC136" i="1"/>
  <c r="AD48" i="1"/>
  <c r="AD176" i="1"/>
  <c r="AH45" i="1"/>
  <c r="AC57" i="1"/>
  <c r="AC185" i="1"/>
  <c r="AH174" i="1"/>
  <c r="AD121" i="1"/>
  <c r="AC50" i="1"/>
  <c r="AC178" i="1"/>
  <c r="AH64" i="1"/>
  <c r="AD66" i="1"/>
  <c r="AD194" i="1"/>
  <c r="AH193" i="1"/>
  <c r="AC131" i="1"/>
  <c r="AH52" i="1"/>
  <c r="AD60" i="1"/>
  <c r="AD188" i="1"/>
  <c r="AH133" i="1"/>
  <c r="AC101" i="1"/>
  <c r="AD149" i="1"/>
  <c r="AH55" i="1"/>
  <c r="AC62" i="1"/>
  <c r="AC190" i="1"/>
  <c r="AH216" i="1"/>
  <c r="AD142" i="1"/>
  <c r="AH41" i="1"/>
  <c r="AC55" i="1"/>
  <c r="AC183" i="1"/>
  <c r="AH154" i="1"/>
  <c r="AD111" i="1"/>
  <c r="AH219" i="1"/>
  <c r="AC144" i="1"/>
  <c r="AH44" i="1"/>
  <c r="AD56" i="1"/>
  <c r="AD184" i="1"/>
  <c r="AH61" i="1"/>
  <c r="AC65" i="1"/>
  <c r="AC193" i="1"/>
  <c r="AH190" i="1"/>
  <c r="AD129" i="1"/>
  <c r="AH47" i="1"/>
  <c r="AC58" i="1"/>
  <c r="AC186" i="1"/>
  <c r="AH80" i="1"/>
  <c r="AD74" i="1"/>
  <c r="AD202" i="1"/>
  <c r="AH209" i="1"/>
  <c r="AC139" i="1"/>
  <c r="AH68" i="1"/>
  <c r="AH149" i="1"/>
  <c r="AD157" i="1"/>
  <c r="AH71" i="1"/>
  <c r="AC70" i="1"/>
  <c r="AC198" i="1"/>
  <c r="AD150" i="1"/>
  <c r="AH57" i="1"/>
  <c r="AC63" i="1"/>
  <c r="AC191" i="1"/>
  <c r="AH170" i="1"/>
  <c r="AD119" i="1"/>
  <c r="AC152" i="1"/>
  <c r="AH60" i="1"/>
  <c r="AD64" i="1"/>
  <c r="AD192" i="1"/>
  <c r="AH77" i="1"/>
  <c r="AC73" i="1"/>
  <c r="AC201" i="1"/>
  <c r="AH206" i="1"/>
  <c r="AD137" i="1"/>
  <c r="AH63" i="1"/>
  <c r="AC66" i="1"/>
  <c r="AC194" i="1"/>
  <c r="AH96" i="1"/>
  <c r="AD82" i="1"/>
  <c r="AD210" i="1"/>
  <c r="AH225" i="1"/>
  <c r="AC147" i="1"/>
  <c r="AH84" i="1"/>
  <c r="AD76" i="1"/>
  <c r="AD204" i="1"/>
  <c r="AH165" i="1"/>
  <c r="AC117" i="1"/>
  <c r="AD37" i="1"/>
  <c r="AD165" i="1"/>
  <c r="AH87" i="1"/>
  <c r="AC78" i="1"/>
  <c r="AC206" i="1"/>
  <c r="AD158" i="1"/>
  <c r="AH73" i="1"/>
  <c r="AC71" i="1"/>
  <c r="AC199" i="1"/>
  <c r="AH186" i="1"/>
  <c r="AD127" i="1"/>
  <c r="AC160" i="1"/>
  <c r="AH76" i="1"/>
  <c r="AD72" i="1"/>
  <c r="AD200" i="1"/>
  <c r="AH93" i="1"/>
  <c r="AC81" i="1"/>
  <c r="AC209" i="1"/>
  <c r="AH222" i="1"/>
  <c r="AD145" i="1"/>
  <c r="AH79" i="1"/>
  <c r="AC74" i="1"/>
  <c r="AC202" i="1"/>
  <c r="AH112" i="1"/>
  <c r="AD90" i="1"/>
  <c r="AD218" i="1"/>
  <c r="AC155" i="1"/>
  <c r="AH35" i="1"/>
  <c r="AH100" i="1"/>
  <c r="AD84" i="1"/>
  <c r="AD212" i="1"/>
  <c r="AH181" i="1"/>
  <c r="AC125" i="1"/>
  <c r="AD45" i="1"/>
  <c r="AD173" i="1"/>
  <c r="AH103" i="1"/>
  <c r="AC86" i="1"/>
  <c r="AC214" i="1"/>
  <c r="AD38" i="1"/>
  <c r="AD166" i="1"/>
  <c r="AH89" i="1"/>
  <c r="AC79" i="1"/>
  <c r="AC207" i="1"/>
  <c r="AH202" i="1"/>
  <c r="AD135" i="1"/>
  <c r="AC40" i="1"/>
  <c r="AC168" i="1"/>
  <c r="AH92" i="1"/>
  <c r="AD80" i="1"/>
  <c r="AD208" i="1"/>
  <c r="AH109" i="1"/>
  <c r="AC89" i="1"/>
  <c r="AC217" i="1"/>
  <c r="AD153" i="1"/>
  <c r="AH95" i="1"/>
  <c r="AC82" i="1"/>
  <c r="AC210" i="1"/>
  <c r="AD98" i="1"/>
  <c r="AC35" i="1"/>
  <c r="AH34" i="1"/>
  <c r="AH50" i="1"/>
  <c r="AH66" i="1"/>
  <c r="AH82" i="1"/>
  <c r="AH98" i="1"/>
  <c r="AH114" i="1"/>
  <c r="AH130" i="1"/>
  <c r="AH146" i="1"/>
  <c r="AH162" i="1"/>
  <c r="AH178" i="1"/>
  <c r="AH194" i="1"/>
  <c r="AH210" i="1"/>
  <c r="AH226" i="1"/>
  <c r="AD147" i="1"/>
  <c r="AD155" i="1"/>
  <c r="AD35" i="1"/>
  <c r="AD163" i="1"/>
  <c r="AD43" i="1"/>
  <c r="AD171" i="1"/>
  <c r="AD51" i="1"/>
  <c r="AD179" i="1"/>
  <c r="AD59" i="1"/>
  <c r="AD187" i="1"/>
  <c r="AD67" i="1"/>
  <c r="AD195" i="1"/>
  <c r="AD75" i="1"/>
  <c r="AD203" i="1"/>
  <c r="AD83" i="1"/>
  <c r="AD211" i="1"/>
  <c r="AD91" i="1"/>
  <c r="AD219" i="1"/>
  <c r="AD99" i="1"/>
  <c r="AD107" i="1"/>
  <c r="AD115" i="1"/>
  <c r="AD123" i="1"/>
  <c r="AD131" i="1"/>
  <c r="AD139" i="1"/>
  <c r="E5" i="6" l="1"/>
  <c r="AB9" i="8" s="1"/>
  <c r="F5" i="6"/>
  <c r="AA9" i="8" s="1"/>
  <c r="E6" i="6"/>
  <c r="AB10" i="8" s="1"/>
  <c r="F6" i="6"/>
  <c r="AA10" i="8" s="1"/>
  <c r="E7" i="6"/>
  <c r="AB11" i="8" s="1"/>
  <c r="F7" i="6"/>
  <c r="AA11" i="8" s="1"/>
  <c r="E8" i="6"/>
  <c r="AB12" i="8" s="1"/>
  <c r="F8" i="6"/>
  <c r="AA12" i="8" s="1"/>
  <c r="E9" i="6"/>
  <c r="AB13" i="8" s="1"/>
  <c r="F9" i="6"/>
  <c r="AA13" i="8" s="1"/>
  <c r="E10" i="6"/>
  <c r="AB14" i="8" s="1"/>
  <c r="F10" i="6"/>
  <c r="AA14" i="8" s="1"/>
  <c r="E11" i="6"/>
  <c r="AB15" i="8" s="1"/>
  <c r="F11" i="6"/>
  <c r="AA15" i="8" s="1"/>
  <c r="E12" i="6"/>
  <c r="AB16" i="8" s="1"/>
  <c r="F12" i="6"/>
  <c r="AA16" i="8" s="1"/>
  <c r="E13" i="6"/>
  <c r="F13" i="6"/>
  <c r="E14" i="6"/>
  <c r="AB18" i="8" s="1"/>
  <c r="F14" i="6"/>
  <c r="AA18" i="8" s="1"/>
  <c r="E15" i="6"/>
  <c r="AB19" i="8" s="1"/>
  <c r="F15" i="6"/>
  <c r="AA19" i="8" s="1"/>
  <c r="E16" i="6"/>
  <c r="F16" i="6"/>
  <c r="E17" i="6"/>
  <c r="F17" i="6"/>
  <c r="F4" i="6"/>
  <c r="AA8" i="8" s="1"/>
  <c r="E4" i="6"/>
  <c r="AB8" i="8" s="1"/>
  <c r="Q18" i="5"/>
  <c r="P18" i="5"/>
  <c r="O18" i="5"/>
  <c r="N18" i="5"/>
  <c r="M18" i="5"/>
  <c r="L18" i="5"/>
  <c r="K18" i="5"/>
  <c r="J18" i="5"/>
  <c r="I18" i="5"/>
  <c r="G18" i="5"/>
  <c r="F18" i="5"/>
  <c r="E18" i="5"/>
  <c r="R18" i="5" s="1"/>
  <c r="D18" i="5"/>
  <c r="AA92" i="8" l="1"/>
  <c r="AB92" i="8"/>
  <c r="AJ19" i="1"/>
  <c r="Q12" i="8" s="1"/>
  <c r="X20" i="1"/>
  <c r="Y20" i="1"/>
  <c r="AB20" i="1"/>
  <c r="AE20" i="1"/>
  <c r="AJ20" i="1"/>
  <c r="AL20" i="1"/>
  <c r="AM20" i="1"/>
  <c r="AO20" i="1"/>
  <c r="X21" i="1"/>
  <c r="Y21" i="1"/>
  <c r="AB21" i="1"/>
  <c r="AE21" i="1"/>
  <c r="AJ21" i="1"/>
  <c r="AL21" i="1"/>
  <c r="AM21" i="1"/>
  <c r="AO21" i="1"/>
  <c r="X22" i="1"/>
  <c r="Y22" i="1"/>
  <c r="AB22" i="1"/>
  <c r="AE22" i="1"/>
  <c r="AJ22" i="1"/>
  <c r="AL22" i="1"/>
  <c r="AM22" i="1"/>
  <c r="AO22" i="1"/>
  <c r="X23" i="1"/>
  <c r="Y23" i="1"/>
  <c r="AB23" i="1"/>
  <c r="AE23" i="1"/>
  <c r="AJ23" i="1"/>
  <c r="AL23" i="1"/>
  <c r="AM23" i="1"/>
  <c r="AO23" i="1"/>
  <c r="X24" i="1"/>
  <c r="Y24" i="1"/>
  <c r="AB24" i="1"/>
  <c r="AE24" i="1"/>
  <c r="AJ24" i="1"/>
  <c r="AL24" i="1"/>
  <c r="AM24" i="1"/>
  <c r="AO24" i="1"/>
  <c r="X25" i="1"/>
  <c r="Y25" i="1"/>
  <c r="AB25" i="1"/>
  <c r="AE25" i="1"/>
  <c r="AJ25" i="1"/>
  <c r="AL25" i="1"/>
  <c r="AM25" i="1"/>
  <c r="AO25" i="1"/>
  <c r="X26" i="1"/>
  <c r="Y26" i="1"/>
  <c r="AB26" i="1"/>
  <c r="AE26" i="1"/>
  <c r="AJ26" i="1"/>
  <c r="AL26" i="1"/>
  <c r="AM26" i="1"/>
  <c r="AO26" i="1"/>
  <c r="X27" i="1"/>
  <c r="Y27" i="1"/>
  <c r="AB27" i="1"/>
  <c r="AE27" i="1"/>
  <c r="AJ27" i="1"/>
  <c r="AL27" i="1"/>
  <c r="AM27" i="1"/>
  <c r="AO27" i="1"/>
  <c r="X28" i="1"/>
  <c r="Y28" i="1"/>
  <c r="AB28" i="1"/>
  <c r="AE28" i="1"/>
  <c r="AJ28" i="1"/>
  <c r="AL28" i="1"/>
  <c r="AM28" i="1"/>
  <c r="AO28" i="1"/>
  <c r="X29" i="1"/>
  <c r="Y29" i="1"/>
  <c r="AB29" i="1"/>
  <c r="AE29" i="1"/>
  <c r="AJ29" i="1"/>
  <c r="AL29" i="1"/>
  <c r="AM29" i="1"/>
  <c r="AO29" i="1"/>
  <c r="X30" i="1"/>
  <c r="Y30" i="1"/>
  <c r="AB30" i="1"/>
  <c r="AE30" i="1"/>
  <c r="AJ30" i="1"/>
  <c r="AL30" i="1"/>
  <c r="AM30" i="1"/>
  <c r="AO30" i="1"/>
  <c r="X31" i="1"/>
  <c r="Y31" i="1"/>
  <c r="AB31" i="1"/>
  <c r="AE31" i="1"/>
  <c r="AJ31" i="1"/>
  <c r="AL31" i="1"/>
  <c r="AM31" i="1"/>
  <c r="AO31" i="1"/>
  <c r="X32" i="1"/>
  <c r="Y32" i="1"/>
  <c r="AB32" i="1"/>
  <c r="AE32" i="1"/>
  <c r="AJ32" i="1"/>
  <c r="AL32" i="1"/>
  <c r="AM32" i="1"/>
  <c r="AO32" i="1"/>
  <c r="X33" i="1"/>
  <c r="Y33" i="1"/>
  <c r="AB33" i="1"/>
  <c r="AE33" i="1"/>
  <c r="AJ33" i="1"/>
  <c r="AL33" i="1"/>
  <c r="AM33" i="1"/>
  <c r="AO33" i="1"/>
  <c r="X34" i="1"/>
  <c r="Y34" i="1"/>
  <c r="AB34" i="1"/>
  <c r="AE34" i="1"/>
  <c r="AJ34" i="1"/>
  <c r="AL34" i="1"/>
  <c r="AM34" i="1"/>
  <c r="AO34" i="1"/>
  <c r="X35" i="1"/>
  <c r="Y35" i="1"/>
  <c r="AB35" i="1"/>
  <c r="AE35" i="1"/>
  <c r="AJ35" i="1"/>
  <c r="AL35" i="1"/>
  <c r="AM35" i="1"/>
  <c r="AO35" i="1"/>
  <c r="X36" i="1"/>
  <c r="Y36" i="1"/>
  <c r="AB36" i="1"/>
  <c r="AE36" i="1"/>
  <c r="AJ36" i="1"/>
  <c r="AL36" i="1"/>
  <c r="AM36" i="1"/>
  <c r="AO36" i="1"/>
  <c r="X37" i="1"/>
  <c r="Y37" i="1"/>
  <c r="AB37" i="1"/>
  <c r="AE37" i="1"/>
  <c r="AJ37" i="1"/>
  <c r="AL37" i="1"/>
  <c r="AM37" i="1"/>
  <c r="AO37" i="1"/>
  <c r="X38" i="1"/>
  <c r="Y38" i="1"/>
  <c r="AB38" i="1"/>
  <c r="AE38" i="1"/>
  <c r="AJ38" i="1"/>
  <c r="AL38" i="1"/>
  <c r="AM38" i="1"/>
  <c r="AO38" i="1"/>
  <c r="X39" i="1"/>
  <c r="Y39" i="1"/>
  <c r="AB39" i="1"/>
  <c r="AE39" i="1"/>
  <c r="AJ39" i="1"/>
  <c r="AL39" i="1"/>
  <c r="AM39" i="1"/>
  <c r="AO39" i="1"/>
  <c r="X40" i="1"/>
  <c r="Y40" i="1"/>
  <c r="AB40" i="1"/>
  <c r="AE40" i="1"/>
  <c r="AJ40" i="1"/>
  <c r="AL40" i="1"/>
  <c r="AM40" i="1"/>
  <c r="AO40" i="1"/>
  <c r="X41" i="1"/>
  <c r="Y41" i="1"/>
  <c r="AB41" i="1"/>
  <c r="AE41" i="1"/>
  <c r="AJ41" i="1"/>
  <c r="AL41" i="1"/>
  <c r="AM41" i="1"/>
  <c r="AO41" i="1"/>
  <c r="X42" i="1"/>
  <c r="Y42" i="1"/>
  <c r="AB42" i="1"/>
  <c r="AE42" i="1"/>
  <c r="AJ42" i="1"/>
  <c r="AL42" i="1"/>
  <c r="AM42" i="1"/>
  <c r="AO42" i="1"/>
  <c r="X43" i="1"/>
  <c r="Y43" i="1"/>
  <c r="AB43" i="1"/>
  <c r="AE43" i="1"/>
  <c r="AJ43" i="1"/>
  <c r="AL43" i="1"/>
  <c r="AM43" i="1"/>
  <c r="AO43" i="1"/>
  <c r="X44" i="1"/>
  <c r="Y44" i="1"/>
  <c r="AB44" i="1"/>
  <c r="AE44" i="1"/>
  <c r="AJ44" i="1"/>
  <c r="AL44" i="1"/>
  <c r="AM44" i="1"/>
  <c r="AO44" i="1"/>
  <c r="X45" i="1"/>
  <c r="Y45" i="1"/>
  <c r="AB45" i="1"/>
  <c r="AE45" i="1"/>
  <c r="AJ45" i="1"/>
  <c r="AL45" i="1"/>
  <c r="AM45" i="1"/>
  <c r="AO45" i="1"/>
  <c r="X46" i="1"/>
  <c r="Y46" i="1"/>
  <c r="AB46" i="1"/>
  <c r="AE46" i="1"/>
  <c r="AJ46" i="1"/>
  <c r="AL46" i="1"/>
  <c r="AM46" i="1"/>
  <c r="AO46" i="1"/>
  <c r="X47" i="1"/>
  <c r="Y47" i="1"/>
  <c r="AB47" i="1"/>
  <c r="AE47" i="1"/>
  <c r="AJ47" i="1"/>
  <c r="AL47" i="1"/>
  <c r="AM47" i="1"/>
  <c r="AO47" i="1"/>
  <c r="X48" i="1"/>
  <c r="Y48" i="1"/>
  <c r="AB48" i="1"/>
  <c r="AE48" i="1"/>
  <c r="AJ48" i="1"/>
  <c r="AL48" i="1"/>
  <c r="AM48" i="1"/>
  <c r="AO48" i="1"/>
  <c r="X49" i="1"/>
  <c r="Y49" i="1"/>
  <c r="AB49" i="1"/>
  <c r="AE49" i="1"/>
  <c r="AJ49" i="1"/>
  <c r="AL49" i="1"/>
  <c r="AM49" i="1"/>
  <c r="AO49" i="1"/>
  <c r="X50" i="1"/>
  <c r="Y50" i="1"/>
  <c r="AB50" i="1"/>
  <c r="AE50" i="1"/>
  <c r="AJ50" i="1"/>
  <c r="AL50" i="1"/>
  <c r="AM50" i="1"/>
  <c r="AO50" i="1"/>
  <c r="X51" i="1"/>
  <c r="Y51" i="1"/>
  <c r="AB51" i="1"/>
  <c r="AE51" i="1"/>
  <c r="AJ51" i="1"/>
  <c r="AL51" i="1"/>
  <c r="AM51" i="1"/>
  <c r="AO51" i="1"/>
  <c r="X52" i="1"/>
  <c r="Y52" i="1"/>
  <c r="AB52" i="1"/>
  <c r="AE52" i="1"/>
  <c r="AJ52" i="1"/>
  <c r="AL52" i="1"/>
  <c r="AM52" i="1"/>
  <c r="AO52" i="1"/>
  <c r="X53" i="1"/>
  <c r="Y53" i="1"/>
  <c r="AB53" i="1"/>
  <c r="AE53" i="1"/>
  <c r="AJ53" i="1"/>
  <c r="AL53" i="1"/>
  <c r="AM53" i="1"/>
  <c r="AO53" i="1"/>
  <c r="X54" i="1"/>
  <c r="Y54" i="1"/>
  <c r="AB54" i="1"/>
  <c r="AE54" i="1"/>
  <c r="AJ54" i="1"/>
  <c r="AL54" i="1"/>
  <c r="AM54" i="1"/>
  <c r="AO54" i="1"/>
  <c r="X55" i="1"/>
  <c r="Y55" i="1"/>
  <c r="AB55" i="1"/>
  <c r="AE55" i="1"/>
  <c r="AJ55" i="1"/>
  <c r="AL55" i="1"/>
  <c r="AM55" i="1"/>
  <c r="AO55" i="1"/>
  <c r="X56" i="1"/>
  <c r="Y56" i="1"/>
  <c r="AB56" i="1"/>
  <c r="AE56" i="1"/>
  <c r="AJ56" i="1"/>
  <c r="AL56" i="1"/>
  <c r="AM56" i="1"/>
  <c r="AO56" i="1"/>
  <c r="X57" i="1"/>
  <c r="Y57" i="1"/>
  <c r="AB57" i="1"/>
  <c r="AE57" i="1"/>
  <c r="AJ57" i="1"/>
  <c r="AL57" i="1"/>
  <c r="AM57" i="1"/>
  <c r="AO57" i="1"/>
  <c r="X58" i="1"/>
  <c r="Y58" i="1"/>
  <c r="AB58" i="1"/>
  <c r="AE58" i="1"/>
  <c r="AJ58" i="1"/>
  <c r="AL58" i="1"/>
  <c r="AM58" i="1"/>
  <c r="AO58" i="1"/>
  <c r="X59" i="1"/>
  <c r="Y59" i="1"/>
  <c r="AB59" i="1"/>
  <c r="AE59" i="1"/>
  <c r="AJ59" i="1"/>
  <c r="AL59" i="1"/>
  <c r="AM59" i="1"/>
  <c r="AO59" i="1"/>
  <c r="X60" i="1"/>
  <c r="Y60" i="1"/>
  <c r="AB60" i="1"/>
  <c r="AE60" i="1"/>
  <c r="AJ60" i="1"/>
  <c r="AL60" i="1"/>
  <c r="AM60" i="1"/>
  <c r="AO60" i="1"/>
  <c r="X61" i="1"/>
  <c r="Y61" i="1"/>
  <c r="AB61" i="1"/>
  <c r="AE61" i="1"/>
  <c r="AJ61" i="1"/>
  <c r="AL61" i="1"/>
  <c r="AM61" i="1"/>
  <c r="AO61" i="1"/>
  <c r="X62" i="1"/>
  <c r="Y62" i="1"/>
  <c r="AB62" i="1"/>
  <c r="AE62" i="1"/>
  <c r="AJ62" i="1"/>
  <c r="AL62" i="1"/>
  <c r="AM62" i="1"/>
  <c r="AO62" i="1"/>
  <c r="X63" i="1"/>
  <c r="Y63" i="1"/>
  <c r="AB63" i="1"/>
  <c r="AE63" i="1"/>
  <c r="AJ63" i="1"/>
  <c r="AL63" i="1"/>
  <c r="AM63" i="1"/>
  <c r="AO63" i="1"/>
  <c r="X64" i="1"/>
  <c r="Y64" i="1"/>
  <c r="AB64" i="1"/>
  <c r="AE64" i="1"/>
  <c r="AJ64" i="1"/>
  <c r="AL64" i="1"/>
  <c r="AM64" i="1"/>
  <c r="AO64" i="1"/>
  <c r="X65" i="1"/>
  <c r="Y65" i="1"/>
  <c r="AB65" i="1"/>
  <c r="AE65" i="1"/>
  <c r="AJ65" i="1"/>
  <c r="AL65" i="1"/>
  <c r="AM65" i="1"/>
  <c r="AO65" i="1"/>
  <c r="X66" i="1"/>
  <c r="Y66" i="1"/>
  <c r="AB66" i="1"/>
  <c r="AE66" i="1"/>
  <c r="AJ66" i="1"/>
  <c r="AL66" i="1"/>
  <c r="AM66" i="1"/>
  <c r="AO66" i="1"/>
  <c r="X67" i="1"/>
  <c r="Y67" i="1"/>
  <c r="AB67" i="1"/>
  <c r="AE67" i="1"/>
  <c r="AJ67" i="1"/>
  <c r="AL67" i="1"/>
  <c r="AM67" i="1"/>
  <c r="AO67" i="1"/>
  <c r="X68" i="1"/>
  <c r="Y68" i="1"/>
  <c r="AB68" i="1"/>
  <c r="AE68" i="1"/>
  <c r="AJ68" i="1"/>
  <c r="AL68" i="1"/>
  <c r="AM68" i="1"/>
  <c r="AO68" i="1"/>
  <c r="X69" i="1"/>
  <c r="Y69" i="1"/>
  <c r="AB69" i="1"/>
  <c r="AE69" i="1"/>
  <c r="AJ69" i="1"/>
  <c r="AL69" i="1"/>
  <c r="AM69" i="1"/>
  <c r="AO69" i="1"/>
  <c r="X70" i="1"/>
  <c r="Y70" i="1"/>
  <c r="AB70" i="1"/>
  <c r="AE70" i="1"/>
  <c r="AJ70" i="1"/>
  <c r="AL70" i="1"/>
  <c r="AM70" i="1"/>
  <c r="AO70" i="1"/>
  <c r="X71" i="1"/>
  <c r="Y71" i="1"/>
  <c r="AB71" i="1"/>
  <c r="AE71" i="1"/>
  <c r="AJ71" i="1"/>
  <c r="AL71" i="1"/>
  <c r="AM71" i="1"/>
  <c r="AO71" i="1"/>
  <c r="X72" i="1"/>
  <c r="Y72" i="1"/>
  <c r="AB72" i="1"/>
  <c r="AE72" i="1"/>
  <c r="AJ72" i="1"/>
  <c r="AL72" i="1"/>
  <c r="AM72" i="1"/>
  <c r="AO72" i="1"/>
  <c r="X73" i="1"/>
  <c r="Y73" i="1"/>
  <c r="AB73" i="1"/>
  <c r="AE73" i="1"/>
  <c r="AJ73" i="1"/>
  <c r="AL73" i="1"/>
  <c r="AM73" i="1"/>
  <c r="AO73" i="1"/>
  <c r="X74" i="1"/>
  <c r="Y74" i="1"/>
  <c r="AB74" i="1"/>
  <c r="AE74" i="1"/>
  <c r="AJ74" i="1"/>
  <c r="AL74" i="1"/>
  <c r="AM74" i="1"/>
  <c r="AO74" i="1"/>
  <c r="X75" i="1"/>
  <c r="Y75" i="1"/>
  <c r="AB75" i="1"/>
  <c r="AE75" i="1"/>
  <c r="AJ75" i="1"/>
  <c r="AL75" i="1"/>
  <c r="AM75" i="1"/>
  <c r="AO75" i="1"/>
  <c r="X76" i="1"/>
  <c r="Y76" i="1"/>
  <c r="AB76" i="1"/>
  <c r="AE76" i="1"/>
  <c r="AJ76" i="1"/>
  <c r="AL76" i="1"/>
  <c r="AM76" i="1"/>
  <c r="AO76" i="1"/>
  <c r="X77" i="1"/>
  <c r="Y77" i="1"/>
  <c r="AB77" i="1"/>
  <c r="AE77" i="1"/>
  <c r="AJ77" i="1"/>
  <c r="AL77" i="1"/>
  <c r="AM77" i="1"/>
  <c r="AO77" i="1"/>
  <c r="X78" i="1"/>
  <c r="Y78" i="1"/>
  <c r="AB78" i="1"/>
  <c r="AE78" i="1"/>
  <c r="AJ78" i="1"/>
  <c r="AL78" i="1"/>
  <c r="AM78" i="1"/>
  <c r="AO78" i="1"/>
  <c r="X79" i="1"/>
  <c r="Y79" i="1"/>
  <c r="AB79" i="1"/>
  <c r="AE79" i="1"/>
  <c r="AJ79" i="1"/>
  <c r="AL79" i="1"/>
  <c r="AM79" i="1"/>
  <c r="AO79" i="1"/>
  <c r="X80" i="1"/>
  <c r="Y80" i="1"/>
  <c r="AB80" i="1"/>
  <c r="AE80" i="1"/>
  <c r="AJ80" i="1"/>
  <c r="AL80" i="1"/>
  <c r="AM80" i="1"/>
  <c r="AO80" i="1"/>
  <c r="X81" i="1"/>
  <c r="Y81" i="1"/>
  <c r="AB81" i="1"/>
  <c r="AE81" i="1"/>
  <c r="AJ81" i="1"/>
  <c r="AL81" i="1"/>
  <c r="AM81" i="1"/>
  <c r="AO81" i="1"/>
  <c r="X82" i="1"/>
  <c r="Y82" i="1"/>
  <c r="AB82" i="1"/>
  <c r="AE82" i="1"/>
  <c r="AJ82" i="1"/>
  <c r="AL82" i="1"/>
  <c r="AM82" i="1"/>
  <c r="AO82" i="1"/>
  <c r="X83" i="1"/>
  <c r="Y83" i="1"/>
  <c r="AB83" i="1"/>
  <c r="AE83" i="1"/>
  <c r="AJ83" i="1"/>
  <c r="AL83" i="1"/>
  <c r="AM83" i="1"/>
  <c r="AO83" i="1"/>
  <c r="X84" i="1"/>
  <c r="Y84" i="1"/>
  <c r="AB84" i="1"/>
  <c r="AE84" i="1"/>
  <c r="AJ84" i="1"/>
  <c r="AL84" i="1"/>
  <c r="AM84" i="1"/>
  <c r="AO84" i="1"/>
  <c r="X85" i="1"/>
  <c r="Y85" i="1"/>
  <c r="AB85" i="1"/>
  <c r="AE85" i="1"/>
  <c r="AJ85" i="1"/>
  <c r="AL85" i="1"/>
  <c r="AM85" i="1"/>
  <c r="AO85" i="1"/>
  <c r="X86" i="1"/>
  <c r="Y86" i="1"/>
  <c r="AB86" i="1"/>
  <c r="AE86" i="1"/>
  <c r="AJ86" i="1"/>
  <c r="AL86" i="1"/>
  <c r="AM86" i="1"/>
  <c r="AO86" i="1"/>
  <c r="X87" i="1"/>
  <c r="Y87" i="1"/>
  <c r="AB87" i="1"/>
  <c r="AE87" i="1"/>
  <c r="AJ87" i="1"/>
  <c r="AL87" i="1"/>
  <c r="AM87" i="1"/>
  <c r="AO87" i="1"/>
  <c r="X88" i="1"/>
  <c r="Y88" i="1"/>
  <c r="AB88" i="1"/>
  <c r="AE88" i="1"/>
  <c r="AJ88" i="1"/>
  <c r="AL88" i="1"/>
  <c r="AM88" i="1"/>
  <c r="AO88" i="1"/>
  <c r="X89" i="1"/>
  <c r="Y89" i="1"/>
  <c r="AB89" i="1"/>
  <c r="AE89" i="1"/>
  <c r="AJ89" i="1"/>
  <c r="AL89" i="1"/>
  <c r="AM89" i="1"/>
  <c r="AO89" i="1"/>
  <c r="X90" i="1"/>
  <c r="Y90" i="1"/>
  <c r="AB90" i="1"/>
  <c r="AE90" i="1"/>
  <c r="AJ90" i="1"/>
  <c r="AL90" i="1"/>
  <c r="AM90" i="1"/>
  <c r="AO90" i="1"/>
  <c r="X91" i="1"/>
  <c r="Y91" i="1"/>
  <c r="AB91" i="1"/>
  <c r="AE91" i="1"/>
  <c r="AJ91" i="1"/>
  <c r="AL91" i="1"/>
  <c r="AM91" i="1"/>
  <c r="AO91" i="1"/>
  <c r="X92" i="1"/>
  <c r="Y92" i="1"/>
  <c r="AB92" i="1"/>
  <c r="AE92" i="1"/>
  <c r="AJ92" i="1"/>
  <c r="AL92" i="1"/>
  <c r="AM92" i="1"/>
  <c r="AO92" i="1"/>
  <c r="X93" i="1"/>
  <c r="Y93" i="1"/>
  <c r="AB93" i="1"/>
  <c r="AE93" i="1"/>
  <c r="AJ93" i="1"/>
  <c r="AL93" i="1"/>
  <c r="AM93" i="1"/>
  <c r="AO93" i="1"/>
  <c r="X94" i="1"/>
  <c r="Y94" i="1"/>
  <c r="AB94" i="1"/>
  <c r="AE94" i="1"/>
  <c r="AJ94" i="1"/>
  <c r="AL94" i="1"/>
  <c r="AM94" i="1"/>
  <c r="AO94" i="1"/>
  <c r="X95" i="1"/>
  <c r="Y95" i="1"/>
  <c r="AB95" i="1"/>
  <c r="AE95" i="1"/>
  <c r="AJ95" i="1"/>
  <c r="AL95" i="1"/>
  <c r="AM95" i="1"/>
  <c r="AO95" i="1"/>
  <c r="X96" i="1"/>
  <c r="Y96" i="1"/>
  <c r="AB96" i="1"/>
  <c r="AE96" i="1"/>
  <c r="AJ96" i="1"/>
  <c r="AL96" i="1"/>
  <c r="AM96" i="1"/>
  <c r="AO96" i="1"/>
  <c r="X97" i="1"/>
  <c r="Y97" i="1"/>
  <c r="AB97" i="1"/>
  <c r="AE97" i="1"/>
  <c r="AJ97" i="1"/>
  <c r="AL97" i="1"/>
  <c r="AM97" i="1"/>
  <c r="AO97" i="1"/>
  <c r="X98" i="1"/>
  <c r="Y98" i="1"/>
  <c r="AB98" i="1"/>
  <c r="AE98" i="1"/>
  <c r="AJ98" i="1"/>
  <c r="AL98" i="1"/>
  <c r="AM98" i="1"/>
  <c r="AO98" i="1"/>
  <c r="X99" i="1"/>
  <c r="Y99" i="1"/>
  <c r="AB99" i="1"/>
  <c r="AE99" i="1"/>
  <c r="AJ99" i="1"/>
  <c r="AL99" i="1"/>
  <c r="AM99" i="1"/>
  <c r="AO99" i="1"/>
  <c r="X100" i="1"/>
  <c r="Y100" i="1"/>
  <c r="AB100" i="1"/>
  <c r="AE100" i="1"/>
  <c r="AJ100" i="1"/>
  <c r="AL100" i="1"/>
  <c r="AM100" i="1"/>
  <c r="AO100" i="1"/>
  <c r="X101" i="1"/>
  <c r="Y101" i="1"/>
  <c r="AB101" i="1"/>
  <c r="AE101" i="1"/>
  <c r="AJ101" i="1"/>
  <c r="AL101" i="1"/>
  <c r="AM101" i="1"/>
  <c r="AO101" i="1"/>
  <c r="X102" i="1"/>
  <c r="Y102" i="1"/>
  <c r="AB102" i="1"/>
  <c r="AE102" i="1"/>
  <c r="AJ102" i="1"/>
  <c r="AL102" i="1"/>
  <c r="AM102" i="1"/>
  <c r="AO102" i="1"/>
  <c r="X103" i="1"/>
  <c r="Y103" i="1"/>
  <c r="AB103" i="1"/>
  <c r="AE103" i="1"/>
  <c r="AJ103" i="1"/>
  <c r="AL103" i="1"/>
  <c r="AM103" i="1"/>
  <c r="AO103" i="1"/>
  <c r="X104" i="1"/>
  <c r="Y104" i="1"/>
  <c r="AB104" i="1"/>
  <c r="AE104" i="1"/>
  <c r="AJ104" i="1"/>
  <c r="AL104" i="1"/>
  <c r="AM104" i="1"/>
  <c r="AO104" i="1"/>
  <c r="X105" i="1"/>
  <c r="Y105" i="1"/>
  <c r="AB105" i="1"/>
  <c r="AE105" i="1"/>
  <c r="AJ105" i="1"/>
  <c r="AL105" i="1"/>
  <c r="AM105" i="1"/>
  <c r="AO105" i="1"/>
  <c r="X106" i="1"/>
  <c r="Y106" i="1"/>
  <c r="AB106" i="1"/>
  <c r="AE106" i="1"/>
  <c r="AJ106" i="1"/>
  <c r="AL106" i="1"/>
  <c r="AM106" i="1"/>
  <c r="AO106" i="1"/>
  <c r="X107" i="1"/>
  <c r="Y107" i="1"/>
  <c r="AB107" i="1"/>
  <c r="AE107" i="1"/>
  <c r="AJ107" i="1"/>
  <c r="AL107" i="1"/>
  <c r="AM107" i="1"/>
  <c r="AO107" i="1"/>
  <c r="X108" i="1"/>
  <c r="Y108" i="1"/>
  <c r="AB108" i="1"/>
  <c r="AE108" i="1"/>
  <c r="AJ108" i="1"/>
  <c r="AL108" i="1"/>
  <c r="AM108" i="1"/>
  <c r="AO108" i="1"/>
  <c r="X109" i="1"/>
  <c r="Y109" i="1"/>
  <c r="AB109" i="1"/>
  <c r="AE109" i="1"/>
  <c r="AJ109" i="1"/>
  <c r="AL109" i="1"/>
  <c r="AM109" i="1"/>
  <c r="AO109" i="1"/>
  <c r="X110" i="1"/>
  <c r="Y110" i="1"/>
  <c r="AB110" i="1"/>
  <c r="AE110" i="1"/>
  <c r="AJ110" i="1"/>
  <c r="AL110" i="1"/>
  <c r="AM110" i="1"/>
  <c r="AO110" i="1"/>
  <c r="X111" i="1"/>
  <c r="Y111" i="1"/>
  <c r="AB111" i="1"/>
  <c r="AE111" i="1"/>
  <c r="AJ111" i="1"/>
  <c r="AL111" i="1"/>
  <c r="AM111" i="1"/>
  <c r="AO111" i="1"/>
  <c r="X112" i="1"/>
  <c r="Y112" i="1"/>
  <c r="AB112" i="1"/>
  <c r="AE112" i="1"/>
  <c r="AJ112" i="1"/>
  <c r="AL112" i="1"/>
  <c r="AM112" i="1"/>
  <c r="AO112" i="1"/>
  <c r="X113" i="1"/>
  <c r="Y113" i="1"/>
  <c r="AB113" i="1"/>
  <c r="AE113" i="1"/>
  <c r="AJ113" i="1"/>
  <c r="AL113" i="1"/>
  <c r="AM113" i="1"/>
  <c r="AO113" i="1"/>
  <c r="X114" i="1"/>
  <c r="Y114" i="1"/>
  <c r="AB114" i="1"/>
  <c r="AE114" i="1"/>
  <c r="AJ114" i="1"/>
  <c r="AL114" i="1"/>
  <c r="AM114" i="1"/>
  <c r="AO114" i="1"/>
  <c r="X115" i="1"/>
  <c r="Y115" i="1"/>
  <c r="AB115" i="1"/>
  <c r="AE115" i="1"/>
  <c r="AJ115" i="1"/>
  <c r="AL115" i="1"/>
  <c r="AM115" i="1"/>
  <c r="AO115" i="1"/>
  <c r="X116" i="1"/>
  <c r="Y116" i="1"/>
  <c r="AB116" i="1"/>
  <c r="AE116" i="1"/>
  <c r="AJ116" i="1"/>
  <c r="AL116" i="1"/>
  <c r="AM116" i="1"/>
  <c r="AO116" i="1"/>
  <c r="X117" i="1"/>
  <c r="Y117" i="1"/>
  <c r="AB117" i="1"/>
  <c r="AE117" i="1"/>
  <c r="AJ117" i="1"/>
  <c r="AL117" i="1"/>
  <c r="AM117" i="1"/>
  <c r="AO117" i="1"/>
  <c r="X118" i="1"/>
  <c r="Y118" i="1"/>
  <c r="AB118" i="1"/>
  <c r="AE118" i="1"/>
  <c r="AJ118" i="1"/>
  <c r="AL118" i="1"/>
  <c r="AM118" i="1"/>
  <c r="AO118" i="1"/>
  <c r="X119" i="1"/>
  <c r="Y119" i="1"/>
  <c r="AB119" i="1"/>
  <c r="AE119" i="1"/>
  <c r="AJ119" i="1"/>
  <c r="AL119" i="1"/>
  <c r="AM119" i="1"/>
  <c r="AO119" i="1"/>
  <c r="X120" i="1"/>
  <c r="Y120" i="1"/>
  <c r="AB120" i="1"/>
  <c r="AE120" i="1"/>
  <c r="AJ120" i="1"/>
  <c r="AL120" i="1"/>
  <c r="AM120" i="1"/>
  <c r="AO120" i="1"/>
  <c r="X121" i="1"/>
  <c r="Y121" i="1"/>
  <c r="AB121" i="1"/>
  <c r="AE121" i="1"/>
  <c r="AJ121" i="1"/>
  <c r="AL121" i="1"/>
  <c r="AM121" i="1"/>
  <c r="AO121" i="1"/>
  <c r="X122" i="1"/>
  <c r="Y122" i="1"/>
  <c r="AB122" i="1"/>
  <c r="AE122" i="1"/>
  <c r="AJ122" i="1"/>
  <c r="AL122" i="1"/>
  <c r="AM122" i="1"/>
  <c r="AO122" i="1"/>
  <c r="X123" i="1"/>
  <c r="Y123" i="1"/>
  <c r="AB123" i="1"/>
  <c r="AE123" i="1"/>
  <c r="AJ123" i="1"/>
  <c r="AL123" i="1"/>
  <c r="AM123" i="1"/>
  <c r="AO123" i="1"/>
  <c r="X124" i="1"/>
  <c r="Y124" i="1"/>
  <c r="AB124" i="1"/>
  <c r="AE124" i="1"/>
  <c r="AJ124" i="1"/>
  <c r="AL124" i="1"/>
  <c r="AM124" i="1"/>
  <c r="AO124" i="1"/>
  <c r="X125" i="1"/>
  <c r="Y125" i="1"/>
  <c r="AB125" i="1"/>
  <c r="AE125" i="1"/>
  <c r="AJ125" i="1"/>
  <c r="AL125" i="1"/>
  <c r="AM125" i="1"/>
  <c r="AO125" i="1"/>
  <c r="X126" i="1"/>
  <c r="Y126" i="1"/>
  <c r="AB126" i="1"/>
  <c r="AE126" i="1"/>
  <c r="AJ126" i="1"/>
  <c r="AL126" i="1"/>
  <c r="AM126" i="1"/>
  <c r="AO126" i="1"/>
  <c r="X127" i="1"/>
  <c r="Y127" i="1"/>
  <c r="AB127" i="1"/>
  <c r="AE127" i="1"/>
  <c r="AJ127" i="1"/>
  <c r="AL127" i="1"/>
  <c r="AM127" i="1"/>
  <c r="AO127" i="1"/>
  <c r="X128" i="1"/>
  <c r="Y128" i="1"/>
  <c r="AB128" i="1"/>
  <c r="AE128" i="1"/>
  <c r="AJ128" i="1"/>
  <c r="AL128" i="1"/>
  <c r="AM128" i="1"/>
  <c r="AO128" i="1"/>
  <c r="X129" i="1"/>
  <c r="Y129" i="1"/>
  <c r="AB129" i="1"/>
  <c r="AE129" i="1"/>
  <c r="AJ129" i="1"/>
  <c r="AL129" i="1"/>
  <c r="AM129" i="1"/>
  <c r="AO129" i="1"/>
  <c r="X130" i="1"/>
  <c r="Y130" i="1"/>
  <c r="AB130" i="1"/>
  <c r="AE130" i="1"/>
  <c r="AJ130" i="1"/>
  <c r="AL130" i="1"/>
  <c r="AM130" i="1"/>
  <c r="AO130" i="1"/>
  <c r="X131" i="1"/>
  <c r="Y131" i="1"/>
  <c r="AB131" i="1"/>
  <c r="AE131" i="1"/>
  <c r="AJ131" i="1"/>
  <c r="AL131" i="1"/>
  <c r="AM131" i="1"/>
  <c r="AO131" i="1"/>
  <c r="X132" i="1"/>
  <c r="Y132" i="1"/>
  <c r="AB132" i="1"/>
  <c r="AE132" i="1"/>
  <c r="AJ132" i="1"/>
  <c r="AL132" i="1"/>
  <c r="AM132" i="1"/>
  <c r="AO132" i="1"/>
  <c r="X133" i="1"/>
  <c r="Y133" i="1"/>
  <c r="AB133" i="1"/>
  <c r="AE133" i="1"/>
  <c r="AJ133" i="1"/>
  <c r="AL133" i="1"/>
  <c r="AM133" i="1"/>
  <c r="AO133" i="1"/>
  <c r="X134" i="1"/>
  <c r="Y134" i="1"/>
  <c r="AB134" i="1"/>
  <c r="AE134" i="1"/>
  <c r="AJ134" i="1"/>
  <c r="AL134" i="1"/>
  <c r="AM134" i="1"/>
  <c r="AO134" i="1"/>
  <c r="X135" i="1"/>
  <c r="Y135" i="1"/>
  <c r="AB135" i="1"/>
  <c r="AE135" i="1"/>
  <c r="AJ135" i="1"/>
  <c r="AL135" i="1"/>
  <c r="AM135" i="1"/>
  <c r="AO135" i="1"/>
  <c r="X136" i="1"/>
  <c r="Y136" i="1"/>
  <c r="AB136" i="1"/>
  <c r="AE136" i="1"/>
  <c r="AJ136" i="1"/>
  <c r="AL136" i="1"/>
  <c r="AM136" i="1"/>
  <c r="AO136" i="1"/>
  <c r="X137" i="1"/>
  <c r="Y137" i="1"/>
  <c r="AB137" i="1"/>
  <c r="AE137" i="1"/>
  <c r="AJ137" i="1"/>
  <c r="AL137" i="1"/>
  <c r="AM137" i="1"/>
  <c r="AO137" i="1"/>
  <c r="X138" i="1"/>
  <c r="Y138" i="1"/>
  <c r="AB138" i="1"/>
  <c r="AE138" i="1"/>
  <c r="AJ138" i="1"/>
  <c r="AL138" i="1"/>
  <c r="AM138" i="1"/>
  <c r="AO138" i="1"/>
  <c r="X139" i="1"/>
  <c r="Y139" i="1"/>
  <c r="AB139" i="1"/>
  <c r="AE139" i="1"/>
  <c r="AJ139" i="1"/>
  <c r="AL139" i="1"/>
  <c r="AM139" i="1"/>
  <c r="AO139" i="1"/>
  <c r="X140" i="1"/>
  <c r="Y140" i="1"/>
  <c r="AB140" i="1"/>
  <c r="AE140" i="1"/>
  <c r="AJ140" i="1"/>
  <c r="AL140" i="1"/>
  <c r="AM140" i="1"/>
  <c r="AO140" i="1"/>
  <c r="X141" i="1"/>
  <c r="Y141" i="1"/>
  <c r="AB141" i="1"/>
  <c r="AE141" i="1"/>
  <c r="AJ141" i="1"/>
  <c r="AL141" i="1"/>
  <c r="AM141" i="1"/>
  <c r="AO141" i="1"/>
  <c r="X142" i="1"/>
  <c r="Y142" i="1"/>
  <c r="AB142" i="1"/>
  <c r="AE142" i="1"/>
  <c r="AJ142" i="1"/>
  <c r="AL142" i="1"/>
  <c r="AM142" i="1"/>
  <c r="AO142" i="1"/>
  <c r="X143" i="1"/>
  <c r="Y143" i="1"/>
  <c r="AB143" i="1"/>
  <c r="AE143" i="1"/>
  <c r="AJ143" i="1"/>
  <c r="AL143" i="1"/>
  <c r="AM143" i="1"/>
  <c r="AO143" i="1"/>
  <c r="X144" i="1"/>
  <c r="Y144" i="1"/>
  <c r="AB144" i="1"/>
  <c r="AE144" i="1"/>
  <c r="AJ144" i="1"/>
  <c r="AL144" i="1"/>
  <c r="AM144" i="1"/>
  <c r="AO144" i="1"/>
  <c r="X145" i="1"/>
  <c r="Y145" i="1"/>
  <c r="AB145" i="1"/>
  <c r="AE145" i="1"/>
  <c r="AJ145" i="1"/>
  <c r="AL145" i="1"/>
  <c r="AM145" i="1"/>
  <c r="AO145" i="1"/>
  <c r="X146" i="1"/>
  <c r="Y146" i="1"/>
  <c r="AB146" i="1"/>
  <c r="AE146" i="1"/>
  <c r="AJ146" i="1"/>
  <c r="AL146" i="1"/>
  <c r="AM146" i="1"/>
  <c r="AO146" i="1"/>
  <c r="X147" i="1"/>
  <c r="Y147" i="1"/>
  <c r="AB147" i="1"/>
  <c r="AE147" i="1"/>
  <c r="AJ147" i="1"/>
  <c r="AL147" i="1"/>
  <c r="AM147" i="1"/>
  <c r="AO147" i="1"/>
  <c r="X148" i="1"/>
  <c r="Y148" i="1"/>
  <c r="AB148" i="1"/>
  <c r="AE148" i="1"/>
  <c r="AJ148" i="1"/>
  <c r="AL148" i="1"/>
  <c r="AM148" i="1"/>
  <c r="AO148" i="1"/>
  <c r="X149" i="1"/>
  <c r="Y149" i="1"/>
  <c r="AB149" i="1"/>
  <c r="AE149" i="1"/>
  <c r="AJ149" i="1"/>
  <c r="AL149" i="1"/>
  <c r="AM149" i="1"/>
  <c r="AO149" i="1"/>
  <c r="X150" i="1"/>
  <c r="Y150" i="1"/>
  <c r="AB150" i="1"/>
  <c r="AE150" i="1"/>
  <c r="AJ150" i="1"/>
  <c r="AL150" i="1"/>
  <c r="AM150" i="1"/>
  <c r="AO150" i="1"/>
  <c r="X151" i="1"/>
  <c r="Y151" i="1"/>
  <c r="AB151" i="1"/>
  <c r="AE151" i="1"/>
  <c r="AJ151" i="1"/>
  <c r="AL151" i="1"/>
  <c r="AM151" i="1"/>
  <c r="AO151" i="1"/>
  <c r="X152" i="1"/>
  <c r="Y152" i="1"/>
  <c r="AB152" i="1"/>
  <c r="AE152" i="1"/>
  <c r="AJ152" i="1"/>
  <c r="AL152" i="1"/>
  <c r="AM152" i="1"/>
  <c r="AO152" i="1"/>
  <c r="X153" i="1"/>
  <c r="Y153" i="1"/>
  <c r="AB153" i="1"/>
  <c r="AE153" i="1"/>
  <c r="AJ153" i="1"/>
  <c r="AL153" i="1"/>
  <c r="AM153" i="1"/>
  <c r="AO153" i="1"/>
  <c r="X154" i="1"/>
  <c r="Y154" i="1"/>
  <c r="AB154" i="1"/>
  <c r="AE154" i="1"/>
  <c r="AJ154" i="1"/>
  <c r="AL154" i="1"/>
  <c r="AM154" i="1"/>
  <c r="AO154" i="1"/>
  <c r="X155" i="1"/>
  <c r="Y155" i="1"/>
  <c r="AB155" i="1"/>
  <c r="AE155" i="1"/>
  <c r="AJ155" i="1"/>
  <c r="AL155" i="1"/>
  <c r="AM155" i="1"/>
  <c r="AO155" i="1"/>
  <c r="X156" i="1"/>
  <c r="Y156" i="1"/>
  <c r="AB156" i="1"/>
  <c r="AE156" i="1"/>
  <c r="AJ156" i="1"/>
  <c r="AL156" i="1"/>
  <c r="AM156" i="1"/>
  <c r="AO156" i="1"/>
  <c r="X157" i="1"/>
  <c r="Y157" i="1"/>
  <c r="AB157" i="1"/>
  <c r="AE157" i="1"/>
  <c r="AJ157" i="1"/>
  <c r="AL157" i="1"/>
  <c r="AM157" i="1"/>
  <c r="AO157" i="1"/>
  <c r="X158" i="1"/>
  <c r="Y158" i="1"/>
  <c r="AB158" i="1"/>
  <c r="AE158" i="1"/>
  <c r="AJ158" i="1"/>
  <c r="AL158" i="1"/>
  <c r="AM158" i="1"/>
  <c r="AO158" i="1"/>
  <c r="X159" i="1"/>
  <c r="Y159" i="1"/>
  <c r="AB159" i="1"/>
  <c r="AE159" i="1"/>
  <c r="AJ159" i="1"/>
  <c r="AL159" i="1"/>
  <c r="AM159" i="1"/>
  <c r="AO159" i="1"/>
  <c r="X160" i="1"/>
  <c r="Y160" i="1"/>
  <c r="AB160" i="1"/>
  <c r="AE160" i="1"/>
  <c r="AJ160" i="1"/>
  <c r="AL160" i="1"/>
  <c r="AM160" i="1"/>
  <c r="AO160" i="1"/>
  <c r="X161" i="1"/>
  <c r="Y161" i="1"/>
  <c r="AB161" i="1"/>
  <c r="AE161" i="1"/>
  <c r="AJ161" i="1"/>
  <c r="AL161" i="1"/>
  <c r="AM161" i="1"/>
  <c r="AO161" i="1"/>
  <c r="X162" i="1"/>
  <c r="Y162" i="1"/>
  <c r="AB162" i="1"/>
  <c r="AE162" i="1"/>
  <c r="AJ162" i="1"/>
  <c r="AL162" i="1"/>
  <c r="AM162" i="1"/>
  <c r="AO162" i="1"/>
  <c r="X163" i="1"/>
  <c r="Y163" i="1"/>
  <c r="AB163" i="1"/>
  <c r="AE163" i="1"/>
  <c r="AJ163" i="1"/>
  <c r="AL163" i="1"/>
  <c r="AM163" i="1"/>
  <c r="AO163" i="1"/>
  <c r="X164" i="1"/>
  <c r="Y164" i="1"/>
  <c r="AB164" i="1"/>
  <c r="AE164" i="1"/>
  <c r="AJ164" i="1"/>
  <c r="AL164" i="1"/>
  <c r="AM164" i="1"/>
  <c r="AO164" i="1"/>
  <c r="X165" i="1"/>
  <c r="Y165" i="1"/>
  <c r="AB165" i="1"/>
  <c r="AE165" i="1"/>
  <c r="AJ165" i="1"/>
  <c r="AL165" i="1"/>
  <c r="AM165" i="1"/>
  <c r="AO165" i="1"/>
  <c r="X166" i="1"/>
  <c r="Y166" i="1"/>
  <c r="AB166" i="1"/>
  <c r="AE166" i="1"/>
  <c r="AJ166" i="1"/>
  <c r="AL166" i="1"/>
  <c r="AM166" i="1"/>
  <c r="AO166" i="1"/>
  <c r="X167" i="1"/>
  <c r="Y167" i="1"/>
  <c r="AB167" i="1"/>
  <c r="AE167" i="1"/>
  <c r="AJ167" i="1"/>
  <c r="AL167" i="1"/>
  <c r="AM167" i="1"/>
  <c r="AO167" i="1"/>
  <c r="X168" i="1"/>
  <c r="Y168" i="1"/>
  <c r="AB168" i="1"/>
  <c r="AE168" i="1"/>
  <c r="AJ168" i="1"/>
  <c r="AL168" i="1"/>
  <c r="AM168" i="1"/>
  <c r="AO168" i="1"/>
  <c r="X169" i="1"/>
  <c r="Y169" i="1"/>
  <c r="AB169" i="1"/>
  <c r="AE169" i="1"/>
  <c r="AJ169" i="1"/>
  <c r="AL169" i="1"/>
  <c r="AM169" i="1"/>
  <c r="AO169" i="1"/>
  <c r="X170" i="1"/>
  <c r="Y170" i="1"/>
  <c r="AB170" i="1"/>
  <c r="AE170" i="1"/>
  <c r="AJ170" i="1"/>
  <c r="AL170" i="1"/>
  <c r="AM170" i="1"/>
  <c r="AO170" i="1"/>
  <c r="X171" i="1"/>
  <c r="Y171" i="1"/>
  <c r="AB171" i="1"/>
  <c r="AE171" i="1"/>
  <c r="AJ171" i="1"/>
  <c r="AL171" i="1"/>
  <c r="AM171" i="1"/>
  <c r="AO171" i="1"/>
  <c r="X172" i="1"/>
  <c r="Y172" i="1"/>
  <c r="AB172" i="1"/>
  <c r="AE172" i="1"/>
  <c r="AJ172" i="1"/>
  <c r="AL172" i="1"/>
  <c r="AM172" i="1"/>
  <c r="AO172" i="1"/>
  <c r="X173" i="1"/>
  <c r="Y173" i="1"/>
  <c r="AB173" i="1"/>
  <c r="AE173" i="1"/>
  <c r="AJ173" i="1"/>
  <c r="AL173" i="1"/>
  <c r="AM173" i="1"/>
  <c r="AO173" i="1"/>
  <c r="X174" i="1"/>
  <c r="Y174" i="1"/>
  <c r="AB174" i="1"/>
  <c r="AE174" i="1"/>
  <c r="AJ174" i="1"/>
  <c r="AL174" i="1"/>
  <c r="AM174" i="1"/>
  <c r="AO174" i="1"/>
  <c r="X175" i="1"/>
  <c r="Y175" i="1"/>
  <c r="AB175" i="1"/>
  <c r="AE175" i="1"/>
  <c r="AJ175" i="1"/>
  <c r="AL175" i="1"/>
  <c r="AM175" i="1"/>
  <c r="AO175" i="1"/>
  <c r="X176" i="1"/>
  <c r="Y176" i="1"/>
  <c r="AB176" i="1"/>
  <c r="AE176" i="1"/>
  <c r="AJ176" i="1"/>
  <c r="AL176" i="1"/>
  <c r="AM176" i="1"/>
  <c r="AO176" i="1"/>
  <c r="X177" i="1"/>
  <c r="Y177" i="1"/>
  <c r="AB177" i="1"/>
  <c r="AE177" i="1"/>
  <c r="AJ177" i="1"/>
  <c r="AL177" i="1"/>
  <c r="AM177" i="1"/>
  <c r="AO177" i="1"/>
  <c r="X178" i="1"/>
  <c r="Y178" i="1"/>
  <c r="AB178" i="1"/>
  <c r="AE178" i="1"/>
  <c r="AJ178" i="1"/>
  <c r="AL178" i="1"/>
  <c r="AM178" i="1"/>
  <c r="AO178" i="1"/>
  <c r="X179" i="1"/>
  <c r="Y179" i="1"/>
  <c r="AB179" i="1"/>
  <c r="AE179" i="1"/>
  <c r="AJ179" i="1"/>
  <c r="AL179" i="1"/>
  <c r="AM179" i="1"/>
  <c r="AO179" i="1"/>
  <c r="X180" i="1"/>
  <c r="Y180" i="1"/>
  <c r="AB180" i="1"/>
  <c r="AE180" i="1"/>
  <c r="AJ180" i="1"/>
  <c r="AL180" i="1"/>
  <c r="AM180" i="1"/>
  <c r="AO180" i="1"/>
  <c r="X181" i="1"/>
  <c r="Y181" i="1"/>
  <c r="AB181" i="1"/>
  <c r="AE181" i="1"/>
  <c r="AJ181" i="1"/>
  <c r="AL181" i="1"/>
  <c r="AM181" i="1"/>
  <c r="AO181" i="1"/>
  <c r="X182" i="1"/>
  <c r="Y182" i="1"/>
  <c r="AB182" i="1"/>
  <c r="AE182" i="1"/>
  <c r="AJ182" i="1"/>
  <c r="AL182" i="1"/>
  <c r="AM182" i="1"/>
  <c r="AO182" i="1"/>
  <c r="X183" i="1"/>
  <c r="Y183" i="1"/>
  <c r="AB183" i="1"/>
  <c r="AE183" i="1"/>
  <c r="AJ183" i="1"/>
  <c r="AL183" i="1"/>
  <c r="AM183" i="1"/>
  <c r="AO183" i="1"/>
  <c r="X184" i="1"/>
  <c r="Y184" i="1"/>
  <c r="AB184" i="1"/>
  <c r="AE184" i="1"/>
  <c r="AJ184" i="1"/>
  <c r="AL184" i="1"/>
  <c r="AM184" i="1"/>
  <c r="AO184" i="1"/>
  <c r="X185" i="1"/>
  <c r="Y185" i="1"/>
  <c r="AB185" i="1"/>
  <c r="AE185" i="1"/>
  <c r="AJ185" i="1"/>
  <c r="AL185" i="1"/>
  <c r="AM185" i="1"/>
  <c r="AO185" i="1"/>
  <c r="X186" i="1"/>
  <c r="Y186" i="1"/>
  <c r="AB186" i="1"/>
  <c r="AE186" i="1"/>
  <c r="AJ186" i="1"/>
  <c r="AL186" i="1"/>
  <c r="AM186" i="1"/>
  <c r="AO186" i="1"/>
  <c r="X187" i="1"/>
  <c r="Y187" i="1"/>
  <c r="AB187" i="1"/>
  <c r="AE187" i="1"/>
  <c r="AJ187" i="1"/>
  <c r="AL187" i="1"/>
  <c r="AM187" i="1"/>
  <c r="AO187" i="1"/>
  <c r="X188" i="1"/>
  <c r="Y188" i="1"/>
  <c r="AB188" i="1"/>
  <c r="AE188" i="1"/>
  <c r="AJ188" i="1"/>
  <c r="AL188" i="1"/>
  <c r="AM188" i="1"/>
  <c r="AO188" i="1"/>
  <c r="X189" i="1"/>
  <c r="Y189" i="1"/>
  <c r="AB189" i="1"/>
  <c r="AE189" i="1"/>
  <c r="AJ189" i="1"/>
  <c r="AL189" i="1"/>
  <c r="AM189" i="1"/>
  <c r="AO189" i="1"/>
  <c r="X190" i="1"/>
  <c r="Y190" i="1"/>
  <c r="AB190" i="1"/>
  <c r="AE190" i="1"/>
  <c r="AJ190" i="1"/>
  <c r="AL190" i="1"/>
  <c r="AM190" i="1"/>
  <c r="AO190" i="1"/>
  <c r="X191" i="1"/>
  <c r="Y191" i="1"/>
  <c r="AB191" i="1"/>
  <c r="AE191" i="1"/>
  <c r="AJ191" i="1"/>
  <c r="AL191" i="1"/>
  <c r="AM191" i="1"/>
  <c r="AO191" i="1"/>
  <c r="X192" i="1"/>
  <c r="Y192" i="1"/>
  <c r="AB192" i="1"/>
  <c r="AE192" i="1"/>
  <c r="AJ192" i="1"/>
  <c r="AL192" i="1"/>
  <c r="AM192" i="1"/>
  <c r="AO192" i="1"/>
  <c r="X193" i="1"/>
  <c r="Y193" i="1"/>
  <c r="AB193" i="1"/>
  <c r="AE193" i="1"/>
  <c r="AJ193" i="1"/>
  <c r="AL193" i="1"/>
  <c r="AM193" i="1"/>
  <c r="AO193" i="1"/>
  <c r="X194" i="1"/>
  <c r="Y194" i="1"/>
  <c r="AB194" i="1"/>
  <c r="AE194" i="1"/>
  <c r="AJ194" i="1"/>
  <c r="AL194" i="1"/>
  <c r="AM194" i="1"/>
  <c r="AO194" i="1"/>
  <c r="X195" i="1"/>
  <c r="Y195" i="1"/>
  <c r="AB195" i="1"/>
  <c r="AE195" i="1"/>
  <c r="AJ195" i="1"/>
  <c r="AL195" i="1"/>
  <c r="AM195" i="1"/>
  <c r="AO195" i="1"/>
  <c r="X196" i="1"/>
  <c r="Y196" i="1"/>
  <c r="AB196" i="1"/>
  <c r="AE196" i="1"/>
  <c r="AJ196" i="1"/>
  <c r="AL196" i="1"/>
  <c r="AM196" i="1"/>
  <c r="AO196" i="1"/>
  <c r="X197" i="1"/>
  <c r="Y197" i="1"/>
  <c r="AB197" i="1"/>
  <c r="AE197" i="1"/>
  <c r="AJ197" i="1"/>
  <c r="AL197" i="1"/>
  <c r="AM197" i="1"/>
  <c r="AO197" i="1"/>
  <c r="X198" i="1"/>
  <c r="Y198" i="1"/>
  <c r="AB198" i="1"/>
  <c r="AE198" i="1"/>
  <c r="AJ198" i="1"/>
  <c r="AL198" i="1"/>
  <c r="AM198" i="1"/>
  <c r="AO198" i="1"/>
  <c r="X199" i="1"/>
  <c r="Y199" i="1"/>
  <c r="AB199" i="1"/>
  <c r="AE199" i="1"/>
  <c r="AJ199" i="1"/>
  <c r="AL199" i="1"/>
  <c r="AM199" i="1"/>
  <c r="AO199" i="1"/>
  <c r="X200" i="1"/>
  <c r="Y200" i="1"/>
  <c r="AB200" i="1"/>
  <c r="AE200" i="1"/>
  <c r="AJ200" i="1"/>
  <c r="AL200" i="1"/>
  <c r="AM200" i="1"/>
  <c r="AO200" i="1"/>
  <c r="X201" i="1"/>
  <c r="Y201" i="1"/>
  <c r="AB201" i="1"/>
  <c r="AE201" i="1"/>
  <c r="AJ201" i="1"/>
  <c r="AL201" i="1"/>
  <c r="AM201" i="1"/>
  <c r="AO201" i="1"/>
  <c r="X202" i="1"/>
  <c r="Y202" i="1"/>
  <c r="AB202" i="1"/>
  <c r="AE202" i="1"/>
  <c r="AJ202" i="1"/>
  <c r="AL202" i="1"/>
  <c r="AM202" i="1"/>
  <c r="AO202" i="1"/>
  <c r="X203" i="1"/>
  <c r="Y203" i="1"/>
  <c r="AB203" i="1"/>
  <c r="AE203" i="1"/>
  <c r="AJ203" i="1"/>
  <c r="AL203" i="1"/>
  <c r="AM203" i="1"/>
  <c r="AO203" i="1"/>
  <c r="X204" i="1"/>
  <c r="Y204" i="1"/>
  <c r="AB204" i="1"/>
  <c r="AE204" i="1"/>
  <c r="AJ204" i="1"/>
  <c r="AL204" i="1"/>
  <c r="AM204" i="1"/>
  <c r="AO204" i="1"/>
  <c r="X205" i="1"/>
  <c r="Y205" i="1"/>
  <c r="AB205" i="1"/>
  <c r="AE205" i="1"/>
  <c r="AJ205" i="1"/>
  <c r="AL205" i="1"/>
  <c r="AM205" i="1"/>
  <c r="AO205" i="1"/>
  <c r="X206" i="1"/>
  <c r="Y206" i="1"/>
  <c r="AB206" i="1"/>
  <c r="AE206" i="1"/>
  <c r="AJ206" i="1"/>
  <c r="AL206" i="1"/>
  <c r="AM206" i="1"/>
  <c r="AO206" i="1"/>
  <c r="X207" i="1"/>
  <c r="Y207" i="1"/>
  <c r="AB207" i="1"/>
  <c r="AE207" i="1"/>
  <c r="AJ207" i="1"/>
  <c r="AL207" i="1"/>
  <c r="AM207" i="1"/>
  <c r="AO207" i="1"/>
  <c r="X208" i="1"/>
  <c r="Y208" i="1"/>
  <c r="AB208" i="1"/>
  <c r="AE208" i="1"/>
  <c r="AJ208" i="1"/>
  <c r="AL208" i="1"/>
  <c r="AM208" i="1"/>
  <c r="AO208" i="1"/>
  <c r="X209" i="1"/>
  <c r="Y209" i="1"/>
  <c r="AB209" i="1"/>
  <c r="AE209" i="1"/>
  <c r="AJ209" i="1"/>
  <c r="AL209" i="1"/>
  <c r="AM209" i="1"/>
  <c r="AO209" i="1"/>
  <c r="X210" i="1"/>
  <c r="Y210" i="1"/>
  <c r="AB210" i="1"/>
  <c r="AE210" i="1"/>
  <c r="AJ210" i="1"/>
  <c r="AL210" i="1"/>
  <c r="AM210" i="1"/>
  <c r="AO210" i="1"/>
  <c r="X211" i="1"/>
  <c r="Y211" i="1"/>
  <c r="AB211" i="1"/>
  <c r="AE211" i="1"/>
  <c r="AJ211" i="1"/>
  <c r="AL211" i="1"/>
  <c r="AM211" i="1"/>
  <c r="AO211" i="1"/>
  <c r="X212" i="1"/>
  <c r="Y212" i="1"/>
  <c r="AB212" i="1"/>
  <c r="AE212" i="1"/>
  <c r="AJ212" i="1"/>
  <c r="AL212" i="1"/>
  <c r="AM212" i="1"/>
  <c r="AO212" i="1"/>
  <c r="X213" i="1"/>
  <c r="Y213" i="1"/>
  <c r="AB213" i="1"/>
  <c r="AE213" i="1"/>
  <c r="AJ213" i="1"/>
  <c r="AL213" i="1"/>
  <c r="AM213" i="1"/>
  <c r="AO213" i="1"/>
  <c r="X214" i="1"/>
  <c r="Y214" i="1"/>
  <c r="AB214" i="1"/>
  <c r="AE214" i="1"/>
  <c r="AJ214" i="1"/>
  <c r="AL214" i="1"/>
  <c r="AM214" i="1"/>
  <c r="AO214" i="1"/>
  <c r="X215" i="1"/>
  <c r="Y215" i="1"/>
  <c r="AB215" i="1"/>
  <c r="AE215" i="1"/>
  <c r="AJ215" i="1"/>
  <c r="AL215" i="1"/>
  <c r="AM215" i="1"/>
  <c r="AO215" i="1"/>
  <c r="X216" i="1"/>
  <c r="Y216" i="1"/>
  <c r="AB216" i="1"/>
  <c r="AE216" i="1"/>
  <c r="AJ216" i="1"/>
  <c r="AL216" i="1"/>
  <c r="AM216" i="1"/>
  <c r="AO216" i="1"/>
  <c r="X217" i="1"/>
  <c r="Y217" i="1"/>
  <c r="AB217" i="1"/>
  <c r="AE217" i="1"/>
  <c r="AJ217" i="1"/>
  <c r="AL217" i="1"/>
  <c r="AM217" i="1"/>
  <c r="AO217" i="1"/>
  <c r="X218" i="1"/>
  <c r="Y218" i="1"/>
  <c r="AB218" i="1"/>
  <c r="AE218" i="1"/>
  <c r="AJ218" i="1"/>
  <c r="AL218" i="1"/>
  <c r="AM218" i="1"/>
  <c r="AO218" i="1"/>
  <c r="X219" i="1"/>
  <c r="Y219" i="1"/>
  <c r="AB219" i="1"/>
  <c r="AE219" i="1"/>
  <c r="AJ219" i="1"/>
  <c r="AL219" i="1"/>
  <c r="AM219" i="1"/>
  <c r="AO219" i="1"/>
  <c r="X220" i="1"/>
  <c r="Y220" i="1"/>
  <c r="AB220" i="1"/>
  <c r="AE220" i="1"/>
  <c r="AJ220" i="1"/>
  <c r="AL220" i="1"/>
  <c r="AM220" i="1"/>
  <c r="AO220" i="1"/>
  <c r="X221" i="1"/>
  <c r="Y221" i="1"/>
  <c r="AB221" i="1"/>
  <c r="AE221" i="1"/>
  <c r="AJ221" i="1"/>
  <c r="AL221" i="1"/>
  <c r="AM221" i="1"/>
  <c r="AO221" i="1"/>
  <c r="X222" i="1"/>
  <c r="Y222" i="1"/>
  <c r="AB222" i="1"/>
  <c r="AE222" i="1"/>
  <c r="AJ222" i="1"/>
  <c r="AL222" i="1"/>
  <c r="AM222" i="1"/>
  <c r="AO222" i="1"/>
  <c r="X223" i="1"/>
  <c r="Y223" i="1"/>
  <c r="AB223" i="1"/>
  <c r="AE223" i="1"/>
  <c r="AJ223" i="1"/>
  <c r="AL223" i="1"/>
  <c r="AM223" i="1"/>
  <c r="AO223" i="1"/>
  <c r="X224" i="1"/>
  <c r="Y224" i="1"/>
  <c r="AB224" i="1"/>
  <c r="AE224" i="1"/>
  <c r="AJ224" i="1"/>
  <c r="AL224" i="1"/>
  <c r="AM224" i="1"/>
  <c r="AO224" i="1"/>
  <c r="X225" i="1"/>
  <c r="Y225" i="1"/>
  <c r="AB225" i="1"/>
  <c r="AE225" i="1"/>
  <c r="AJ225" i="1"/>
  <c r="AL225" i="1"/>
  <c r="AM225" i="1"/>
  <c r="AO225" i="1"/>
  <c r="X226" i="1"/>
  <c r="Y226" i="1"/>
  <c r="AB226" i="1"/>
  <c r="AE226" i="1"/>
  <c r="AJ226" i="1"/>
  <c r="AL226" i="1"/>
  <c r="AM226" i="1"/>
  <c r="AO226" i="1"/>
  <c r="B20" i="1"/>
  <c r="C20" i="1"/>
  <c r="B21" i="1"/>
  <c r="C21" i="1"/>
  <c r="B22" i="1"/>
  <c r="C22" i="1"/>
  <c r="B23" i="1"/>
  <c r="C23" i="1"/>
  <c r="B24" i="1"/>
  <c r="C24" i="1"/>
  <c r="B25" i="1"/>
  <c r="C25" i="1"/>
  <c r="B26" i="1"/>
  <c r="C26" i="1"/>
  <c r="B27" i="1"/>
  <c r="C27" i="1"/>
  <c r="B28" i="1"/>
  <c r="C28" i="1"/>
  <c r="B29" i="1"/>
  <c r="C29" i="1"/>
  <c r="B30" i="1"/>
  <c r="C30" i="1"/>
  <c r="B31" i="1"/>
  <c r="C31" i="1"/>
  <c r="B32" i="1"/>
  <c r="C32" i="1"/>
  <c r="B33" i="1"/>
  <c r="C33" i="1"/>
  <c r="B34" i="1"/>
  <c r="C34" i="1"/>
  <c r="B35" i="1"/>
  <c r="C35" i="1"/>
  <c r="B36" i="1"/>
  <c r="C36" i="1"/>
  <c r="B37" i="1"/>
  <c r="C37" i="1"/>
  <c r="B38" i="1"/>
  <c r="C38" i="1"/>
  <c r="B39" i="1"/>
  <c r="C39" i="1"/>
  <c r="B40" i="1"/>
  <c r="C40" i="1"/>
  <c r="B41" i="1"/>
  <c r="C41" i="1"/>
  <c r="B42" i="1"/>
  <c r="C42" i="1"/>
  <c r="B43" i="1"/>
  <c r="C43" i="1"/>
  <c r="B44" i="1"/>
  <c r="C44" i="1"/>
  <c r="B45" i="1"/>
  <c r="C45" i="1"/>
  <c r="B46" i="1"/>
  <c r="C46" i="1"/>
  <c r="B47" i="1"/>
  <c r="C47" i="1"/>
  <c r="B48" i="1"/>
  <c r="C48" i="1"/>
  <c r="B49" i="1"/>
  <c r="C49" i="1"/>
  <c r="B50" i="1"/>
  <c r="C50" i="1"/>
  <c r="B51" i="1"/>
  <c r="C51" i="1"/>
  <c r="B52" i="1"/>
  <c r="C52" i="1"/>
  <c r="B53" i="1"/>
  <c r="C53" i="1"/>
  <c r="B54" i="1"/>
  <c r="C54" i="1"/>
  <c r="B55" i="1"/>
  <c r="C55" i="1"/>
  <c r="B56" i="1"/>
  <c r="C56" i="1"/>
  <c r="B57" i="1"/>
  <c r="C57" i="1"/>
  <c r="B58" i="1"/>
  <c r="AK58" i="1" s="1"/>
  <c r="C58" i="1"/>
  <c r="B59" i="1"/>
  <c r="C59" i="1"/>
  <c r="B60" i="1"/>
  <c r="C60" i="1"/>
  <c r="B61" i="1"/>
  <c r="C61" i="1"/>
  <c r="B62" i="1"/>
  <c r="C62" i="1"/>
  <c r="B63" i="1"/>
  <c r="C63" i="1"/>
  <c r="B64" i="1"/>
  <c r="C64" i="1"/>
  <c r="B65" i="1"/>
  <c r="C65" i="1"/>
  <c r="B66" i="1"/>
  <c r="C66" i="1"/>
  <c r="B67" i="1"/>
  <c r="C67" i="1"/>
  <c r="B68" i="1"/>
  <c r="C68" i="1"/>
  <c r="B69" i="1"/>
  <c r="C69" i="1"/>
  <c r="B70" i="1"/>
  <c r="C70" i="1"/>
  <c r="B71" i="1"/>
  <c r="C71" i="1"/>
  <c r="B72" i="1"/>
  <c r="C72" i="1"/>
  <c r="B73" i="1"/>
  <c r="C73" i="1"/>
  <c r="B74" i="1"/>
  <c r="C74" i="1"/>
  <c r="B75" i="1"/>
  <c r="C75" i="1"/>
  <c r="B76" i="1"/>
  <c r="C76" i="1"/>
  <c r="B77" i="1"/>
  <c r="C77" i="1"/>
  <c r="B78" i="1"/>
  <c r="C78" i="1"/>
  <c r="B79" i="1"/>
  <c r="C79" i="1"/>
  <c r="B80" i="1"/>
  <c r="C80" i="1"/>
  <c r="B81" i="1"/>
  <c r="C81" i="1"/>
  <c r="B82" i="1"/>
  <c r="C82" i="1"/>
  <c r="B83" i="1"/>
  <c r="C83" i="1"/>
  <c r="B84" i="1"/>
  <c r="C84" i="1"/>
  <c r="B85" i="1"/>
  <c r="C85" i="1"/>
  <c r="B86" i="1"/>
  <c r="C86" i="1"/>
  <c r="B87" i="1"/>
  <c r="C87" i="1"/>
  <c r="B88" i="1"/>
  <c r="C88" i="1"/>
  <c r="B89" i="1"/>
  <c r="C89" i="1"/>
  <c r="B90" i="1"/>
  <c r="C90" i="1"/>
  <c r="B91" i="1"/>
  <c r="C91" i="1"/>
  <c r="B92" i="1"/>
  <c r="C92" i="1"/>
  <c r="B93" i="1"/>
  <c r="C93" i="1"/>
  <c r="B94" i="1"/>
  <c r="C94" i="1"/>
  <c r="B95" i="1"/>
  <c r="C95" i="1"/>
  <c r="B96" i="1"/>
  <c r="C96" i="1"/>
  <c r="B97" i="1"/>
  <c r="C97" i="1"/>
  <c r="B98" i="1"/>
  <c r="C98" i="1"/>
  <c r="B99" i="1"/>
  <c r="C99" i="1"/>
  <c r="B100" i="1"/>
  <c r="C100" i="1"/>
  <c r="B101" i="1"/>
  <c r="C101" i="1"/>
  <c r="B102" i="1"/>
  <c r="C102" i="1"/>
  <c r="B103" i="1"/>
  <c r="C103" i="1"/>
  <c r="B104" i="1"/>
  <c r="C104" i="1"/>
  <c r="B105" i="1"/>
  <c r="C105" i="1"/>
  <c r="B106" i="1"/>
  <c r="C106" i="1"/>
  <c r="B107" i="1"/>
  <c r="C107" i="1"/>
  <c r="B108" i="1"/>
  <c r="C108" i="1"/>
  <c r="B109" i="1"/>
  <c r="C109" i="1"/>
  <c r="B110" i="1"/>
  <c r="C110" i="1"/>
  <c r="B111" i="1"/>
  <c r="C111" i="1"/>
  <c r="B112" i="1"/>
  <c r="C112" i="1"/>
  <c r="B113" i="1"/>
  <c r="C113" i="1"/>
  <c r="B114" i="1"/>
  <c r="C114" i="1"/>
  <c r="B115" i="1"/>
  <c r="C115" i="1"/>
  <c r="B116" i="1"/>
  <c r="C116" i="1"/>
  <c r="B117" i="1"/>
  <c r="C117" i="1"/>
  <c r="B118" i="1"/>
  <c r="C118" i="1"/>
  <c r="B119" i="1"/>
  <c r="C119" i="1"/>
  <c r="B120" i="1"/>
  <c r="C120" i="1"/>
  <c r="B121" i="1"/>
  <c r="C121" i="1"/>
  <c r="B122" i="1"/>
  <c r="C122" i="1"/>
  <c r="B123" i="1"/>
  <c r="C123" i="1"/>
  <c r="B124" i="1"/>
  <c r="C124" i="1"/>
  <c r="B125" i="1"/>
  <c r="C125" i="1"/>
  <c r="B126" i="1"/>
  <c r="C126" i="1"/>
  <c r="B127" i="1"/>
  <c r="C127" i="1"/>
  <c r="B128" i="1"/>
  <c r="C128" i="1"/>
  <c r="B129" i="1"/>
  <c r="C129" i="1"/>
  <c r="B130" i="1"/>
  <c r="C130" i="1"/>
  <c r="B131" i="1"/>
  <c r="C131" i="1"/>
  <c r="B132" i="1"/>
  <c r="C132" i="1"/>
  <c r="B133" i="1"/>
  <c r="C133" i="1"/>
  <c r="B134" i="1"/>
  <c r="C134" i="1"/>
  <c r="B135" i="1"/>
  <c r="C135" i="1"/>
  <c r="B136" i="1"/>
  <c r="C136" i="1"/>
  <c r="B137" i="1"/>
  <c r="C137" i="1"/>
  <c r="B138" i="1"/>
  <c r="AK138" i="1" s="1"/>
  <c r="C138" i="1"/>
  <c r="B139" i="1"/>
  <c r="C139" i="1"/>
  <c r="B140" i="1"/>
  <c r="C140" i="1"/>
  <c r="B141" i="1"/>
  <c r="C141" i="1"/>
  <c r="B142" i="1"/>
  <c r="C142" i="1"/>
  <c r="B143" i="1"/>
  <c r="C143" i="1"/>
  <c r="B144" i="1"/>
  <c r="C144" i="1"/>
  <c r="B145" i="1"/>
  <c r="C145" i="1"/>
  <c r="B146" i="1"/>
  <c r="C146" i="1"/>
  <c r="B147" i="1"/>
  <c r="C147" i="1"/>
  <c r="B148" i="1"/>
  <c r="C148" i="1"/>
  <c r="B149" i="1"/>
  <c r="C149" i="1"/>
  <c r="B150" i="1"/>
  <c r="C150" i="1"/>
  <c r="B151" i="1"/>
  <c r="C151" i="1"/>
  <c r="B152" i="1"/>
  <c r="C152" i="1"/>
  <c r="B153" i="1"/>
  <c r="C153" i="1"/>
  <c r="B154" i="1"/>
  <c r="C154" i="1"/>
  <c r="B155" i="1"/>
  <c r="C155" i="1"/>
  <c r="B156" i="1"/>
  <c r="C156" i="1"/>
  <c r="B157" i="1"/>
  <c r="C157" i="1"/>
  <c r="B158" i="1"/>
  <c r="C158" i="1"/>
  <c r="B159" i="1"/>
  <c r="C159" i="1"/>
  <c r="B160" i="1"/>
  <c r="C160" i="1"/>
  <c r="B161" i="1"/>
  <c r="C161" i="1"/>
  <c r="B162" i="1"/>
  <c r="C162" i="1"/>
  <c r="B163" i="1"/>
  <c r="C163" i="1"/>
  <c r="B164" i="1"/>
  <c r="C164" i="1"/>
  <c r="B165" i="1"/>
  <c r="C165" i="1"/>
  <c r="B166" i="1"/>
  <c r="C166" i="1"/>
  <c r="B167" i="1"/>
  <c r="C167" i="1"/>
  <c r="B168" i="1"/>
  <c r="C168" i="1"/>
  <c r="B169" i="1"/>
  <c r="C169" i="1"/>
  <c r="B170" i="1"/>
  <c r="C170" i="1"/>
  <c r="B171" i="1"/>
  <c r="C171" i="1"/>
  <c r="B172" i="1"/>
  <c r="C172" i="1"/>
  <c r="B173" i="1"/>
  <c r="C173" i="1"/>
  <c r="B174" i="1"/>
  <c r="C174" i="1"/>
  <c r="B175" i="1"/>
  <c r="C175" i="1"/>
  <c r="B176" i="1"/>
  <c r="C176" i="1"/>
  <c r="B177" i="1"/>
  <c r="C177" i="1"/>
  <c r="B178" i="1"/>
  <c r="C178" i="1"/>
  <c r="B179" i="1"/>
  <c r="C179" i="1"/>
  <c r="B180" i="1"/>
  <c r="C180" i="1"/>
  <c r="B181" i="1"/>
  <c r="C181" i="1"/>
  <c r="B182" i="1"/>
  <c r="C182" i="1"/>
  <c r="B183" i="1"/>
  <c r="C183" i="1"/>
  <c r="B184" i="1"/>
  <c r="C184" i="1"/>
  <c r="B185" i="1"/>
  <c r="C185" i="1"/>
  <c r="B186" i="1"/>
  <c r="C186" i="1"/>
  <c r="B187" i="1"/>
  <c r="C187" i="1"/>
  <c r="B188" i="1"/>
  <c r="C188" i="1"/>
  <c r="B189" i="1"/>
  <c r="C189" i="1"/>
  <c r="B190" i="1"/>
  <c r="C190" i="1"/>
  <c r="B191" i="1"/>
  <c r="C191" i="1"/>
  <c r="B192" i="1"/>
  <c r="C192" i="1"/>
  <c r="B193" i="1"/>
  <c r="C193" i="1"/>
  <c r="B194" i="1"/>
  <c r="C194" i="1"/>
  <c r="B195" i="1"/>
  <c r="C195" i="1"/>
  <c r="B196" i="1"/>
  <c r="C196" i="1"/>
  <c r="B197" i="1"/>
  <c r="C197" i="1"/>
  <c r="B198" i="1"/>
  <c r="C198" i="1"/>
  <c r="B199" i="1"/>
  <c r="C199" i="1"/>
  <c r="B200" i="1"/>
  <c r="C200" i="1"/>
  <c r="B201" i="1"/>
  <c r="C201" i="1"/>
  <c r="B202" i="1"/>
  <c r="C202" i="1"/>
  <c r="B203" i="1"/>
  <c r="C203" i="1"/>
  <c r="B204" i="1"/>
  <c r="C204" i="1"/>
  <c r="B205" i="1"/>
  <c r="C205" i="1"/>
  <c r="B206" i="1"/>
  <c r="C206" i="1"/>
  <c r="B207" i="1"/>
  <c r="C207" i="1"/>
  <c r="B208" i="1"/>
  <c r="C208" i="1"/>
  <c r="B209" i="1"/>
  <c r="C209" i="1"/>
  <c r="B210" i="1"/>
  <c r="C210" i="1"/>
  <c r="B211" i="1"/>
  <c r="C211" i="1"/>
  <c r="B212" i="1"/>
  <c r="C212" i="1"/>
  <c r="B213" i="1"/>
  <c r="C213" i="1"/>
  <c r="B214" i="1"/>
  <c r="C214" i="1"/>
  <c r="B215" i="1"/>
  <c r="C215" i="1"/>
  <c r="B216" i="1"/>
  <c r="C216" i="1"/>
  <c r="B217" i="1"/>
  <c r="C217" i="1"/>
  <c r="B218" i="1"/>
  <c r="C218" i="1"/>
  <c r="B219" i="1"/>
  <c r="C219" i="1"/>
  <c r="B220" i="1"/>
  <c r="C220" i="1"/>
  <c r="B221" i="1"/>
  <c r="C221" i="1"/>
  <c r="B222" i="1"/>
  <c r="C222" i="1"/>
  <c r="B223" i="1"/>
  <c r="C223" i="1"/>
  <c r="B224" i="1"/>
  <c r="C224" i="1"/>
  <c r="B225" i="1"/>
  <c r="C225" i="1"/>
  <c r="B226" i="1"/>
  <c r="C226" i="1"/>
  <c r="C19" i="1"/>
  <c r="B19" i="1"/>
  <c r="AK140" i="1" l="1"/>
  <c r="AK124" i="1"/>
  <c r="AK92" i="1"/>
  <c r="AK84" i="1"/>
  <c r="AK68" i="1"/>
  <c r="AK164" i="1"/>
  <c r="AK132" i="1"/>
  <c r="AK116" i="1"/>
  <c r="AK76" i="1"/>
  <c r="AA168" i="1"/>
  <c r="AA144" i="1"/>
  <c r="AA216" i="1"/>
  <c r="AA176" i="1"/>
  <c r="AA160" i="1"/>
  <c r="AA224" i="1"/>
  <c r="AK206" i="1"/>
  <c r="AK198" i="1"/>
  <c r="AK182" i="1"/>
  <c r="AK174" i="1"/>
  <c r="AK166" i="1"/>
  <c r="AK150" i="1"/>
  <c r="AK118" i="1"/>
  <c r="AK70" i="1"/>
  <c r="AK62" i="1"/>
  <c r="AK54" i="1"/>
  <c r="AK30" i="1"/>
  <c r="AK52" i="1"/>
  <c r="AK28" i="1"/>
  <c r="AK20" i="1"/>
  <c r="AK220" i="1"/>
  <c r="AN139" i="1"/>
  <c r="AN107" i="1"/>
  <c r="AN91" i="1"/>
  <c r="AN75" i="1"/>
  <c r="AN59" i="1"/>
  <c r="AN193" i="1"/>
  <c r="AN169" i="1"/>
  <c r="AN137" i="1"/>
  <c r="AN113" i="1"/>
  <c r="AN105" i="1"/>
  <c r="AN65" i="1"/>
  <c r="AN49" i="1"/>
  <c r="AN25" i="1"/>
  <c r="AN89" i="1"/>
  <c r="AA222" i="1"/>
  <c r="AA190" i="1"/>
  <c r="AA158" i="1"/>
  <c r="AA142" i="1"/>
  <c r="AA134" i="1"/>
  <c r="AA110" i="1"/>
  <c r="AA102" i="1"/>
  <c r="Q18" i="8"/>
  <c r="Q17" i="8"/>
  <c r="AA181" i="1"/>
  <c r="AA165" i="1"/>
  <c r="AA149" i="1"/>
  <c r="AA101" i="1"/>
  <c r="AA93" i="1"/>
  <c r="AA61" i="1"/>
  <c r="AN218" i="1"/>
  <c r="AN202" i="1"/>
  <c r="AN200" i="1"/>
  <c r="AN184" i="1"/>
  <c r="AA86" i="1"/>
  <c r="AN186" i="1"/>
  <c r="AN170" i="1"/>
  <c r="AN162" i="1"/>
  <c r="AN154" i="1"/>
  <c r="AN146" i="1"/>
  <c r="AN130" i="1"/>
  <c r="AN122" i="1"/>
  <c r="AN114" i="1"/>
  <c r="AN106" i="1"/>
  <c r="AN98" i="1"/>
  <c r="AN90" i="1"/>
  <c r="AN82" i="1"/>
  <c r="AN74" i="1"/>
  <c r="AN66" i="1"/>
  <c r="AN42" i="1"/>
  <c r="AA128" i="1"/>
  <c r="AA120" i="1"/>
  <c r="AA112" i="1"/>
  <c r="AN104" i="1"/>
  <c r="AN96" i="1"/>
  <c r="AA80" i="1"/>
  <c r="AA72" i="1"/>
  <c r="AA56" i="1"/>
  <c r="AN32" i="1"/>
  <c r="AA195" i="1"/>
  <c r="AA163" i="1"/>
  <c r="AA209" i="1"/>
  <c r="AA177" i="1"/>
  <c r="AA129" i="1"/>
  <c r="AA121" i="1"/>
  <c r="AA81" i="1"/>
  <c r="AA73" i="1"/>
  <c r="AA57" i="1"/>
  <c r="AA183" i="1"/>
  <c r="AA135" i="1"/>
  <c r="AA127" i="1"/>
  <c r="AA119" i="1"/>
  <c r="AA95" i="1"/>
  <c r="AA87" i="1"/>
  <c r="AA71" i="1"/>
  <c r="AA47" i="1"/>
  <c r="AA143" i="1"/>
  <c r="AN78" i="1"/>
  <c r="AN148" i="1"/>
  <c r="AN108" i="1"/>
  <c r="AN100" i="1"/>
  <c r="AN60" i="1"/>
  <c r="AN44" i="1"/>
  <c r="AN156" i="1"/>
  <c r="AN34" i="1"/>
  <c r="AN26" i="1"/>
  <c r="AK197" i="1"/>
  <c r="AK141" i="1"/>
  <c r="AK133" i="1"/>
  <c r="AK125" i="1"/>
  <c r="AK117" i="1"/>
  <c r="AK85" i="1"/>
  <c r="AK69" i="1"/>
  <c r="AK45" i="1"/>
  <c r="AK37" i="1"/>
  <c r="AK205" i="1"/>
  <c r="AK189" i="1"/>
  <c r="AK173" i="1"/>
  <c r="AK157" i="1"/>
  <c r="AK99" i="1"/>
  <c r="AK83" i="1"/>
  <c r="AK51" i="1"/>
  <c r="AK35" i="1"/>
  <c r="AK27" i="1"/>
  <c r="AK221" i="1"/>
  <c r="U20" i="8"/>
  <c r="U14" i="8"/>
  <c r="U13" i="8"/>
  <c r="Q20" i="8"/>
  <c r="Q14" i="8"/>
  <c r="Q13" i="8"/>
  <c r="AK161" i="1"/>
  <c r="AK145" i="1"/>
  <c r="AK97" i="1"/>
  <c r="AK199" i="1"/>
  <c r="AK159" i="1"/>
  <c r="AK151" i="1"/>
  <c r="AK111" i="1"/>
  <c r="AK103" i="1"/>
  <c r="AK63" i="1"/>
  <c r="AK55" i="1"/>
  <c r="AK31" i="1"/>
  <c r="AK23" i="1"/>
  <c r="AK167" i="1"/>
  <c r="U17" i="8"/>
  <c r="N21" i="11" a="1"/>
  <c r="N21" i="11" s="1"/>
  <c r="M20" i="11" a="1"/>
  <c r="M20" i="11" s="1"/>
  <c r="W17" i="11" a="1"/>
  <c r="W17" i="11" s="1"/>
  <c r="U16" i="11" a="1"/>
  <c r="U16" i="11" s="1"/>
  <c r="S15" i="11" a="1"/>
  <c r="S15" i="11" s="1"/>
  <c r="Q14" i="11" a="1"/>
  <c r="Q14" i="11" s="1"/>
  <c r="O13" i="11" a="1"/>
  <c r="O13" i="11" s="1"/>
  <c r="M12" i="11" a="1"/>
  <c r="M12" i="11" s="1"/>
  <c r="W10" i="11" a="1"/>
  <c r="W10" i="11" s="1"/>
  <c r="M10" i="11" a="1"/>
  <c r="M10" i="11" s="1"/>
  <c r="T15" i="11" a="1"/>
  <c r="T15" i="11" s="1"/>
  <c r="M21" i="11" a="1"/>
  <c r="M21" i="11" s="1"/>
  <c r="L20" i="11" a="1"/>
  <c r="L20" i="11" s="1"/>
  <c r="V17" i="11" a="1"/>
  <c r="V17" i="11" s="1"/>
  <c r="T16" i="11" a="1"/>
  <c r="T16" i="11" s="1"/>
  <c r="R15" i="11" a="1"/>
  <c r="R15" i="11" s="1"/>
  <c r="P14" i="11" a="1"/>
  <c r="P14" i="11" s="1"/>
  <c r="N13" i="11" a="1"/>
  <c r="N13" i="11" s="1"/>
  <c r="L12" i="11" a="1"/>
  <c r="L12" i="11" s="1"/>
  <c r="V10" i="11" a="1"/>
  <c r="V10" i="11" s="1"/>
  <c r="M19" i="11" a="1"/>
  <c r="M19" i="11" s="1"/>
  <c r="N12" i="11" a="1"/>
  <c r="N12" i="11" s="1"/>
  <c r="L21" i="11" a="1"/>
  <c r="L21" i="11" s="1"/>
  <c r="W18" i="11" a="1"/>
  <c r="W18" i="11" s="1"/>
  <c r="U17" i="11" a="1"/>
  <c r="U17" i="11" s="1"/>
  <c r="S16" i="11" a="1"/>
  <c r="S16" i="11" s="1"/>
  <c r="Q15" i="11" a="1"/>
  <c r="Q15" i="11" s="1"/>
  <c r="O14" i="11" a="1"/>
  <c r="O14" i="11" s="1"/>
  <c r="M13" i="11" a="1"/>
  <c r="M13" i="11" s="1"/>
  <c r="T10" i="11" a="1"/>
  <c r="T10" i="11" s="1"/>
  <c r="Q13" i="11" a="1"/>
  <c r="Q13" i="11" s="1"/>
  <c r="V18" i="11" a="1"/>
  <c r="V18" i="11" s="1"/>
  <c r="T17" i="11" a="1"/>
  <c r="T17" i="11" s="1"/>
  <c r="R16" i="11" a="1"/>
  <c r="R16" i="11" s="1"/>
  <c r="P15" i="11" a="1"/>
  <c r="P15" i="11" s="1"/>
  <c r="N14" i="11" a="1"/>
  <c r="N14" i="11" s="1"/>
  <c r="L13" i="11" a="1"/>
  <c r="L13" i="11" s="1"/>
  <c r="R10" i="11" a="1"/>
  <c r="R10" i="11" s="1"/>
  <c r="O21" i="11" a="1"/>
  <c r="O21" i="11" s="1"/>
  <c r="W19" i="11" a="1"/>
  <c r="W19" i="11" s="1"/>
  <c r="U18" i="11" a="1"/>
  <c r="U18" i="11" s="1"/>
  <c r="S17" i="11" a="1"/>
  <c r="S17" i="11" s="1"/>
  <c r="Q16" i="11" a="1"/>
  <c r="Q16" i="11" s="1"/>
  <c r="O15" i="11" a="1"/>
  <c r="O15" i="11" s="1"/>
  <c r="M14" i="11" a="1"/>
  <c r="M14" i="11" s="1"/>
  <c r="W11" i="11" a="1"/>
  <c r="W11" i="11" s="1"/>
  <c r="U10" i="11" a="1"/>
  <c r="U10" i="11" s="1"/>
  <c r="V11" i="11" a="1"/>
  <c r="V11" i="11" s="1"/>
  <c r="P21" i="11" a="1"/>
  <c r="P21" i="11" s="1"/>
  <c r="P13" i="11" a="1"/>
  <c r="P13" i="11" s="1"/>
  <c r="V19" i="11" a="1"/>
  <c r="V19" i="11" s="1"/>
  <c r="T18" i="11" a="1"/>
  <c r="T18" i="11" s="1"/>
  <c r="R17" i="11" a="1"/>
  <c r="R17" i="11" s="1"/>
  <c r="P16" i="11" a="1"/>
  <c r="P16" i="11" s="1"/>
  <c r="N15" i="11" a="1"/>
  <c r="N15" i="11" s="1"/>
  <c r="L14" i="11" a="1"/>
  <c r="L14" i="11" s="1"/>
  <c r="Q10" i="11" a="1"/>
  <c r="Q10" i="11" s="1"/>
  <c r="N20" i="11" a="1"/>
  <c r="N20" i="11" s="1"/>
  <c r="W20" i="11" a="1"/>
  <c r="W20" i="11" s="1"/>
  <c r="U19" i="11" a="1"/>
  <c r="U19" i="11" s="1"/>
  <c r="S18" i="11" a="1"/>
  <c r="S18" i="11" s="1"/>
  <c r="Q17" i="11" a="1"/>
  <c r="Q17" i="11" s="1"/>
  <c r="O16" i="11" a="1"/>
  <c r="O16" i="11" s="1"/>
  <c r="M15" i="11" a="1"/>
  <c r="M15" i="11" s="1"/>
  <c r="W12" i="11" a="1"/>
  <c r="W12" i="11" s="1"/>
  <c r="U11" i="11" a="1"/>
  <c r="U11" i="11" s="1"/>
  <c r="S10" i="11" a="1"/>
  <c r="S10" i="11" s="1"/>
  <c r="W16" i="11" a="1"/>
  <c r="W16" i="11" s="1"/>
  <c r="R14" i="11" a="1"/>
  <c r="R14" i="11" s="1"/>
  <c r="W21" i="11" a="1"/>
  <c r="W21" i="11" s="1"/>
  <c r="V20" i="11" a="1"/>
  <c r="V20" i="11" s="1"/>
  <c r="T19" i="11" a="1"/>
  <c r="T19" i="11" s="1"/>
  <c r="R18" i="11" a="1"/>
  <c r="R18" i="11" s="1"/>
  <c r="P17" i="11" a="1"/>
  <c r="P17" i="11" s="1"/>
  <c r="N16" i="11" a="1"/>
  <c r="N16" i="11" s="1"/>
  <c r="L15" i="11" a="1"/>
  <c r="L15" i="11" s="1"/>
  <c r="V12" i="11" a="1"/>
  <c r="V12" i="11" s="1"/>
  <c r="T11" i="11" a="1"/>
  <c r="T11" i="11" s="1"/>
  <c r="P10" i="11" a="1"/>
  <c r="P10" i="11" s="1"/>
  <c r="O12" i="11" a="1"/>
  <c r="O12" i="11" s="1"/>
  <c r="V21" i="11" a="1"/>
  <c r="V21" i="11" s="1"/>
  <c r="U20" i="11" a="1"/>
  <c r="U20" i="11" s="1"/>
  <c r="S19" i="11" a="1"/>
  <c r="S19" i="11" s="1"/>
  <c r="Q18" i="11" a="1"/>
  <c r="Q18" i="11" s="1"/>
  <c r="O17" i="11" a="1"/>
  <c r="O17" i="11" s="1"/>
  <c r="M16" i="11" a="1"/>
  <c r="M16" i="11" s="1"/>
  <c r="W13" i="11" a="1"/>
  <c r="W13" i="11" s="1"/>
  <c r="U12" i="11" a="1"/>
  <c r="U12" i="11" s="1"/>
  <c r="S11" i="11" a="1"/>
  <c r="S11" i="11" s="1"/>
  <c r="O11" i="11" a="1"/>
  <c r="O11" i="11" s="1"/>
  <c r="V16" i="11" a="1"/>
  <c r="V16" i="11" s="1"/>
  <c r="U21" i="11" a="1"/>
  <c r="U21" i="11" s="1"/>
  <c r="T20" i="11" a="1"/>
  <c r="T20" i="11" s="1"/>
  <c r="R19" i="11" a="1"/>
  <c r="R19" i="11" s="1"/>
  <c r="P18" i="11" a="1"/>
  <c r="P18" i="11" s="1"/>
  <c r="N17" i="11" a="1"/>
  <c r="N17" i="11" s="1"/>
  <c r="L16" i="11" a="1"/>
  <c r="L16" i="11" s="1"/>
  <c r="V13" i="11" a="1"/>
  <c r="V13" i="11" s="1"/>
  <c r="T12" i="11" a="1"/>
  <c r="T12" i="11" s="1"/>
  <c r="R11" i="11" a="1"/>
  <c r="R11" i="11" s="1"/>
  <c r="O20" i="11" a="1"/>
  <c r="O20" i="11" s="1"/>
  <c r="L11" i="11" a="1"/>
  <c r="L11" i="11" s="1"/>
  <c r="T21" i="11" a="1"/>
  <c r="T21" i="11" s="1"/>
  <c r="S20" i="11" a="1"/>
  <c r="S20" i="11" s="1"/>
  <c r="Q19" i="11" a="1"/>
  <c r="Q19" i="11" s="1"/>
  <c r="O18" i="11" a="1"/>
  <c r="O18" i="11" s="1"/>
  <c r="M17" i="11" a="1"/>
  <c r="M17" i="11" s="1"/>
  <c r="W14" i="11" a="1"/>
  <c r="W14" i="11" s="1"/>
  <c r="U13" i="11" a="1"/>
  <c r="U13" i="11" s="1"/>
  <c r="S12" i="11" a="1"/>
  <c r="S12" i="11" s="1"/>
  <c r="Q11" i="11" a="1"/>
  <c r="Q11" i="11" s="1"/>
  <c r="O10" i="11" a="1"/>
  <c r="O10" i="11" s="1"/>
  <c r="U15" i="11" a="1"/>
  <c r="U15" i="11" s="1"/>
  <c r="S21" i="11" a="1"/>
  <c r="S21" i="11" s="1"/>
  <c r="R20" i="11" a="1"/>
  <c r="R20" i="11" s="1"/>
  <c r="P19" i="11" a="1"/>
  <c r="P19" i="11" s="1"/>
  <c r="N18" i="11" a="1"/>
  <c r="N18" i="11" s="1"/>
  <c r="L17" i="11" a="1"/>
  <c r="L17" i="11" s="1"/>
  <c r="V14" i="11" a="1"/>
  <c r="V14" i="11" s="1"/>
  <c r="T13" i="11" a="1"/>
  <c r="T13" i="11" s="1"/>
  <c r="R12" i="11" a="1"/>
  <c r="R12" i="11" s="1"/>
  <c r="P11" i="11" a="1"/>
  <c r="P11" i="11" s="1"/>
  <c r="N10" i="11" a="1"/>
  <c r="N10" i="11" s="1"/>
  <c r="M11" i="11" a="1"/>
  <c r="M11" i="11" s="1"/>
  <c r="R21" i="11" a="1"/>
  <c r="R21" i="11" s="1"/>
  <c r="Q20" i="11" a="1"/>
  <c r="Q20" i="11" s="1"/>
  <c r="O19" i="11" a="1"/>
  <c r="O19" i="11" s="1"/>
  <c r="M18" i="11" a="1"/>
  <c r="M18" i="11" s="1"/>
  <c r="W15" i="11" a="1"/>
  <c r="W15" i="11" s="1"/>
  <c r="U14" i="11" a="1"/>
  <c r="U14" i="11" s="1"/>
  <c r="S13" i="11" a="1"/>
  <c r="S13" i="11" s="1"/>
  <c r="Q12" i="11" a="1"/>
  <c r="Q12" i="11" s="1"/>
  <c r="S14" i="11" a="1"/>
  <c r="S14" i="11" s="1"/>
  <c r="Q21" i="11" a="1"/>
  <c r="Q21" i="11" s="1"/>
  <c r="P20" i="11" a="1"/>
  <c r="P20" i="11" s="1"/>
  <c r="N19" i="11" a="1"/>
  <c r="N19" i="11" s="1"/>
  <c r="L18" i="11" a="1"/>
  <c r="L18" i="11" s="1"/>
  <c r="V15" i="11" a="1"/>
  <c r="V15" i="11" s="1"/>
  <c r="T14" i="11" a="1"/>
  <c r="T14" i="11" s="1"/>
  <c r="R13" i="11" a="1"/>
  <c r="R13" i="11" s="1"/>
  <c r="P12" i="11" a="1"/>
  <c r="P12" i="11" s="1"/>
  <c r="N11" i="11" a="1"/>
  <c r="N11" i="11" s="1"/>
  <c r="L10" i="11" a="1"/>
  <c r="L10" i="11" s="1"/>
  <c r="L19" i="11" a="1"/>
  <c r="L19" i="11" s="1"/>
  <c r="AA39" i="1"/>
  <c r="AA46" i="1"/>
  <c r="AN38" i="1"/>
  <c r="AA40" i="1"/>
  <c r="AI211" i="1"/>
  <c r="AI195" i="1"/>
  <c r="AI179" i="1"/>
  <c r="AI163" i="1"/>
  <c r="AG147" i="1"/>
  <c r="AG131" i="1"/>
  <c r="AG115" i="1"/>
  <c r="AF220" i="1"/>
  <c r="AF140" i="1"/>
  <c r="AF124" i="1"/>
  <c r="AF92" i="1"/>
  <c r="AF76" i="1"/>
  <c r="AF44" i="1"/>
  <c r="AI207" i="1"/>
  <c r="AI191" i="1"/>
  <c r="AI175" i="1"/>
  <c r="AI159" i="1"/>
  <c r="AI127" i="1"/>
  <c r="AI95" i="1"/>
  <c r="AI79" i="1"/>
  <c r="AI198" i="1"/>
  <c r="AI150" i="1"/>
  <c r="AI102" i="1"/>
  <c r="AI70" i="1"/>
  <c r="AF99" i="1"/>
  <c r="AF83" i="1"/>
  <c r="AG51" i="1"/>
  <c r="AF35" i="1"/>
  <c r="AI215" i="1"/>
  <c r="AI129" i="1"/>
  <c r="AI113" i="1"/>
  <c r="AI97" i="1"/>
  <c r="AI65" i="1"/>
  <c r="AI222" i="1"/>
  <c r="AI110" i="1"/>
  <c r="AF155" i="1"/>
  <c r="AF139" i="1"/>
  <c r="AG59" i="1"/>
  <c r="AA33" i="1"/>
  <c r="AN24" i="1"/>
  <c r="AK21" i="1"/>
  <c r="AN211" i="1"/>
  <c r="AK217" i="1"/>
  <c r="AG217" i="1"/>
  <c r="AA223" i="1"/>
  <c r="AI189" i="1"/>
  <c r="AF202" i="1"/>
  <c r="AG186" i="1"/>
  <c r="AG170" i="1"/>
  <c r="AF138" i="1"/>
  <c r="AG122" i="1"/>
  <c r="AF90" i="1"/>
  <c r="AF74" i="1"/>
  <c r="AF58" i="1"/>
  <c r="AF42" i="1"/>
  <c r="AI219" i="1"/>
  <c r="AN226" i="1"/>
  <c r="AN210" i="1"/>
  <c r="AN178" i="1"/>
  <c r="AI168" i="1"/>
  <c r="AI152" i="1"/>
  <c r="AI136" i="1"/>
  <c r="AI120" i="1"/>
  <c r="AI104" i="1"/>
  <c r="AI31" i="1"/>
  <c r="AF26" i="1"/>
  <c r="AG178" i="1"/>
  <c r="AG162" i="1"/>
  <c r="AG146" i="1"/>
  <c r="AG98" i="1"/>
  <c r="AG82" i="1"/>
  <c r="AI60" i="1"/>
  <c r="AA215" i="1"/>
  <c r="AI214" i="1"/>
  <c r="AI201" i="1"/>
  <c r="AI185" i="1"/>
  <c r="AI169" i="1"/>
  <c r="AG153" i="1"/>
  <c r="AG137" i="1"/>
  <c r="AI121" i="1"/>
  <c r="AI105" i="1"/>
  <c r="AI73" i="1"/>
  <c r="AG57" i="1"/>
  <c r="AI41" i="1"/>
  <c r="AI221" i="1"/>
  <c r="AI192" i="1"/>
  <c r="AI160" i="1"/>
  <c r="AI128" i="1"/>
  <c r="AI80" i="1"/>
  <c r="AI64" i="1"/>
  <c r="AI48" i="1"/>
  <c r="AK213" i="1"/>
  <c r="AF218" i="1"/>
  <c r="AK196" i="1"/>
  <c r="AK180" i="1"/>
  <c r="AI199" i="1"/>
  <c r="AI183" i="1"/>
  <c r="AI135" i="1"/>
  <c r="AI71" i="1"/>
  <c r="AI55" i="1"/>
  <c r="AI39" i="1"/>
  <c r="AF148" i="1"/>
  <c r="AF132" i="1"/>
  <c r="AF116" i="1"/>
  <c r="AF36" i="1"/>
  <c r="AA203" i="1"/>
  <c r="AN179" i="1"/>
  <c r="AN147" i="1"/>
  <c r="AN131" i="1"/>
  <c r="AA123" i="1"/>
  <c r="AN115" i="1"/>
  <c r="AG203" i="1"/>
  <c r="AG187" i="1"/>
  <c r="AG171" i="1"/>
  <c r="AG107" i="1"/>
  <c r="AG91" i="1"/>
  <c r="AF75" i="1"/>
  <c r="AG43" i="1"/>
  <c r="AK225" i="1"/>
  <c r="AK185" i="1"/>
  <c r="AK153" i="1"/>
  <c r="AG210" i="1"/>
  <c r="AF37" i="1"/>
  <c r="AG23" i="1"/>
  <c r="AA29" i="1"/>
  <c r="AI33" i="1"/>
  <c r="AG27" i="1"/>
  <c r="AI25" i="1"/>
  <c r="AI23" i="1"/>
  <c r="AN71" i="1"/>
  <c r="AN120" i="1"/>
  <c r="AA42" i="1"/>
  <c r="AA197" i="1"/>
  <c r="AK188" i="1"/>
  <c r="AA151" i="1"/>
  <c r="AA141" i="1"/>
  <c r="AN212" i="1"/>
  <c r="AN199" i="1"/>
  <c r="AA184" i="1"/>
  <c r="AN163" i="1"/>
  <c r="AN39" i="1"/>
  <c r="AK107" i="1"/>
  <c r="AA191" i="1"/>
  <c r="AK127" i="1"/>
  <c r="AA208" i="1"/>
  <c r="AN85" i="1"/>
  <c r="AA221" i="1"/>
  <c r="AK193" i="1"/>
  <c r="AA159" i="1"/>
  <c r="AA116" i="1"/>
  <c r="AA35" i="1"/>
  <c r="AN197" i="1"/>
  <c r="AK226" i="1"/>
  <c r="AN207" i="1"/>
  <c r="AN53" i="1"/>
  <c r="AA225" i="1"/>
  <c r="AN194" i="1"/>
  <c r="AK223" i="1"/>
  <c r="AN142" i="1"/>
  <c r="AA68" i="1"/>
  <c r="AN201" i="1"/>
  <c r="AN175" i="1"/>
  <c r="AK168" i="1"/>
  <c r="AA124" i="1"/>
  <c r="AN93" i="1"/>
  <c r="AA62" i="1"/>
  <c r="AA49" i="1"/>
  <c r="AA193" i="1"/>
  <c r="AA226" i="1"/>
  <c r="AA213" i="1"/>
  <c r="AK211" i="1"/>
  <c r="AK119" i="1"/>
  <c r="AI34" i="1"/>
  <c r="AF102" i="1"/>
  <c r="AI93" i="1"/>
  <c r="AG190" i="1"/>
  <c r="AI81" i="1"/>
  <c r="AI200" i="1"/>
  <c r="AF135" i="1"/>
  <c r="AI153" i="1"/>
  <c r="AF215" i="1"/>
  <c r="AG116" i="1"/>
  <c r="AG90" i="1"/>
  <c r="AG196" i="1"/>
  <c r="AG160" i="1"/>
  <c r="AF51" i="1"/>
  <c r="AF87" i="1"/>
  <c r="AF161" i="1"/>
  <c r="AG138" i="1"/>
  <c r="AF82" i="1"/>
  <c r="AI180" i="1"/>
  <c r="AI67" i="1"/>
  <c r="AI210" i="1"/>
  <c r="AG180" i="1"/>
  <c r="AG150" i="1"/>
  <c r="AI87" i="1"/>
  <c r="AG54" i="1"/>
  <c r="AG41" i="1"/>
  <c r="AF150" i="1"/>
  <c r="AI137" i="1"/>
  <c r="AF190" i="1"/>
  <c r="AI178" i="1"/>
  <c r="AF174" i="1"/>
  <c r="AF107" i="1"/>
  <c r="AI88" i="1"/>
  <c r="AG68" i="1"/>
  <c r="AF145" i="1"/>
  <c r="AF131" i="1"/>
  <c r="AG218" i="1"/>
  <c r="AI112" i="1"/>
  <c r="AF49" i="1"/>
  <c r="AG212" i="1"/>
  <c r="AG139" i="1"/>
  <c r="AG89" i="1"/>
  <c r="AF156" i="1"/>
  <c r="AI44" i="1"/>
  <c r="AI186" i="1"/>
  <c r="AI176" i="1"/>
  <c r="AG121" i="1"/>
  <c r="AF120" i="1"/>
  <c r="AG97" i="1"/>
  <c r="AG34" i="1"/>
  <c r="AG169" i="1"/>
  <c r="AG142" i="1"/>
  <c r="AG128" i="1"/>
  <c r="AI125" i="1"/>
  <c r="AF117" i="1"/>
  <c r="AG77" i="1"/>
  <c r="AF203" i="1"/>
  <c r="AF162" i="1"/>
  <c r="AF128" i="1"/>
  <c r="AI85" i="1"/>
  <c r="AG71" i="1"/>
  <c r="AI68" i="1"/>
  <c r="AG48" i="1"/>
  <c r="AF210" i="1"/>
  <c r="AI194" i="1"/>
  <c r="AF170" i="1"/>
  <c r="AF149" i="1"/>
  <c r="AF125" i="1"/>
  <c r="AG105" i="1"/>
  <c r="AF61" i="1"/>
  <c r="AI29" i="1"/>
  <c r="AI218" i="1"/>
  <c r="AG194" i="1"/>
  <c r="AG177" i="1"/>
  <c r="AI167" i="1"/>
  <c r="AF129" i="1"/>
  <c r="AF122" i="1"/>
  <c r="AF85" i="1"/>
  <c r="AI82" i="1"/>
  <c r="AI72" i="1"/>
  <c r="AG39" i="1"/>
  <c r="AG29" i="1"/>
  <c r="AF177" i="1"/>
  <c r="AI89" i="1"/>
  <c r="AI188" i="1"/>
  <c r="AI144" i="1"/>
  <c r="AI119" i="1"/>
  <c r="AI212" i="1"/>
  <c r="AG188" i="1"/>
  <c r="AG154" i="1"/>
  <c r="AF147" i="1"/>
  <c r="AG144" i="1"/>
  <c r="AG106" i="1"/>
  <c r="AG83" i="1"/>
  <c r="AI76" i="1"/>
  <c r="AF188" i="1"/>
  <c r="AI151" i="1"/>
  <c r="AF144" i="1"/>
  <c r="AF106" i="1"/>
  <c r="AI103" i="1"/>
  <c r="AI50" i="1"/>
  <c r="AG168" i="1"/>
  <c r="AG134" i="1"/>
  <c r="AG127" i="1"/>
  <c r="AG73" i="1"/>
  <c r="AG209" i="1"/>
  <c r="AG199" i="1"/>
  <c r="AF168" i="1"/>
  <c r="AG158" i="1"/>
  <c r="AF134" i="1"/>
  <c r="AF110" i="1"/>
  <c r="AF73" i="1"/>
  <c r="AF27" i="1"/>
  <c r="AF223" i="1"/>
  <c r="AF206" i="1"/>
  <c r="AI161" i="1"/>
  <c r="AF62" i="1"/>
  <c r="AI49" i="1"/>
  <c r="AF45" i="1"/>
  <c r="AF31" i="1"/>
  <c r="AF24" i="1"/>
  <c r="AI217" i="1"/>
  <c r="AF171" i="1"/>
  <c r="AG136" i="1"/>
  <c r="AI115" i="1"/>
  <c r="AF111" i="1"/>
  <c r="AG108" i="1"/>
  <c r="AG104" i="1"/>
  <c r="AI98" i="1"/>
  <c r="AI91" i="1"/>
  <c r="AG76" i="1"/>
  <c r="AG69" i="1"/>
  <c r="AI224" i="1"/>
  <c r="AF199" i="1"/>
  <c r="AG185" i="1"/>
  <c r="AF178" i="1"/>
  <c r="AG161" i="1"/>
  <c r="AF154" i="1"/>
  <c r="AF136" i="1"/>
  <c r="AG129" i="1"/>
  <c r="AF108" i="1"/>
  <c r="AG66" i="1"/>
  <c r="AI63" i="1"/>
  <c r="AF59" i="1"/>
  <c r="AI56" i="1"/>
  <c r="AG49" i="1"/>
  <c r="AG42" i="1"/>
  <c r="AG35" i="1"/>
  <c r="AI32" i="1"/>
  <c r="AF28" i="1"/>
  <c r="AF186" i="1"/>
  <c r="AG172" i="1"/>
  <c r="AG165" i="1"/>
  <c r="AG133" i="1"/>
  <c r="AI123" i="1"/>
  <c r="AG80" i="1"/>
  <c r="AG63" i="1"/>
  <c r="AI43" i="1"/>
  <c r="AG25" i="1"/>
  <c r="AF172" i="1"/>
  <c r="AF165" i="1"/>
  <c r="AF133" i="1"/>
  <c r="AF115" i="1"/>
  <c r="AF91" i="1"/>
  <c r="AF80" i="1"/>
  <c r="AI57" i="1"/>
  <c r="AF56" i="1"/>
  <c r="AF32" i="1"/>
  <c r="AF217" i="1"/>
  <c r="AG204" i="1"/>
  <c r="AG193" i="1"/>
  <c r="AF158" i="1"/>
  <c r="AG155" i="1"/>
  <c r="AI145" i="1"/>
  <c r="AG141" i="1"/>
  <c r="AG130" i="1"/>
  <c r="AG123" i="1"/>
  <c r="AI106" i="1"/>
  <c r="AG95" i="1"/>
  <c r="AF77" i="1"/>
  <c r="AG70" i="1"/>
  <c r="AF39" i="1"/>
  <c r="AF29" i="1"/>
  <c r="AI208" i="1"/>
  <c r="AF204" i="1"/>
  <c r="AI173" i="1"/>
  <c r="AF141" i="1"/>
  <c r="AI138" i="1"/>
  <c r="AF130" i="1"/>
  <c r="AF123" i="1"/>
  <c r="AG102" i="1"/>
  <c r="AF95" i="1"/>
  <c r="AG81" i="1"/>
  <c r="AG67" i="1"/>
  <c r="AG50" i="1"/>
  <c r="AF43" i="1"/>
  <c r="AI40" i="1"/>
  <c r="AG183" i="1"/>
  <c r="AG173" i="1"/>
  <c r="AG166" i="1"/>
  <c r="AI149" i="1"/>
  <c r="AI96" i="1"/>
  <c r="AI61" i="1"/>
  <c r="AG26" i="1"/>
  <c r="AG201" i="1"/>
  <c r="AF183" i="1"/>
  <c r="AI75" i="1"/>
  <c r="AF64" i="1"/>
  <c r="AF57" i="1"/>
  <c r="AG30" i="1"/>
  <c r="AI27" i="1"/>
  <c r="AI226" i="1"/>
  <c r="AG215" i="1"/>
  <c r="AG205" i="1"/>
  <c r="AI202" i="1"/>
  <c r="AF194" i="1"/>
  <c r="AF187" i="1"/>
  <c r="AI184" i="1"/>
  <c r="AI174" i="1"/>
  <c r="AG163" i="1"/>
  <c r="AF152" i="1"/>
  <c r="AG149" i="1"/>
  <c r="AF142" i="1"/>
  <c r="AI139" i="1"/>
  <c r="AF127" i="1"/>
  <c r="AG124" i="1"/>
  <c r="AG120" i="1"/>
  <c r="AI117" i="1"/>
  <c r="AG110" i="1"/>
  <c r="AI100" i="1"/>
  <c r="AF78" i="1"/>
  <c r="AF71" i="1"/>
  <c r="AG61" i="1"/>
  <c r="AF54" i="1"/>
  <c r="AG44" i="1"/>
  <c r="AG20" i="1"/>
  <c r="AG202" i="1"/>
  <c r="AG226" i="1"/>
  <c r="AI216" i="1"/>
  <c r="AI206" i="1"/>
  <c r="AF195" i="1"/>
  <c r="AG174" i="1"/>
  <c r="AI164" i="1"/>
  <c r="AG135" i="1"/>
  <c r="AF93" i="1"/>
  <c r="AI90" i="1"/>
  <c r="AG75" i="1"/>
  <c r="AI62" i="1"/>
  <c r="AI45" i="1"/>
  <c r="AI24" i="1"/>
  <c r="AG223" i="1"/>
  <c r="AG216" i="1"/>
  <c r="AG206" i="1"/>
  <c r="AG164" i="1"/>
  <c r="AI154" i="1"/>
  <c r="AI140" i="1"/>
  <c r="AI122" i="1"/>
  <c r="AG114" i="1"/>
  <c r="AI108" i="1"/>
  <c r="AI94" i="1"/>
  <c r="AG62" i="1"/>
  <c r="AF48" i="1"/>
  <c r="AG45" i="1"/>
  <c r="AG31" i="1"/>
  <c r="AK219" i="1"/>
  <c r="AK187" i="1"/>
  <c r="AA171" i="1"/>
  <c r="AK155" i="1"/>
  <c r="AK67" i="1"/>
  <c r="AK43" i="1"/>
  <c r="AK201" i="1"/>
  <c r="AK81" i="1"/>
  <c r="AA41" i="1"/>
  <c r="AA192" i="1"/>
  <c r="AN152" i="1"/>
  <c r="AA136" i="1"/>
  <c r="AN88" i="1"/>
  <c r="AN64" i="1"/>
  <c r="AA48" i="1"/>
  <c r="AN50" i="1"/>
  <c r="AA207" i="1"/>
  <c r="AA175" i="1"/>
  <c r="AA79" i="1"/>
  <c r="AA214" i="1"/>
  <c r="AK126" i="1"/>
  <c r="AA94" i="1"/>
  <c r="AK22" i="1"/>
  <c r="AK109" i="1"/>
  <c r="AK77" i="1"/>
  <c r="AK53" i="1"/>
  <c r="AK29" i="1"/>
  <c r="AK212" i="1"/>
  <c r="AN92" i="1"/>
  <c r="AK36" i="1"/>
  <c r="AG225" i="1"/>
  <c r="AN222" i="1"/>
  <c r="AN214" i="1"/>
  <c r="AF205" i="1"/>
  <c r="AK200" i="1"/>
  <c r="AG198" i="1"/>
  <c r="AN195" i="1"/>
  <c r="AG192" i="1"/>
  <c r="AF185" i="1"/>
  <c r="AK181" i="1"/>
  <c r="AF173" i="1"/>
  <c r="AF166" i="1"/>
  <c r="AF160" i="1"/>
  <c r="AK156" i="1"/>
  <c r="AI155" i="1"/>
  <c r="AN149" i="1"/>
  <c r="AK148" i="1"/>
  <c r="AA137" i="1"/>
  <c r="AN134" i="1"/>
  <c r="AG132" i="1"/>
  <c r="AN128" i="1"/>
  <c r="AI126" i="1"/>
  <c r="AN121" i="1"/>
  <c r="AI118" i="1"/>
  <c r="AK113" i="1"/>
  <c r="AF104" i="1"/>
  <c r="AA103" i="1"/>
  <c r="AI99" i="1"/>
  <c r="AF97" i="1"/>
  <c r="AA96" i="1"/>
  <c r="AF89" i="1"/>
  <c r="AA88" i="1"/>
  <c r="AI84" i="1"/>
  <c r="AI83" i="1"/>
  <c r="AI77" i="1"/>
  <c r="AA74" i="1"/>
  <c r="AF69" i="1"/>
  <c r="AK65" i="1"/>
  <c r="AF63" i="1"/>
  <c r="AK59" i="1"/>
  <c r="AI58" i="1"/>
  <c r="AA55" i="1"/>
  <c r="AI52" i="1"/>
  <c r="AF50" i="1"/>
  <c r="AK46" i="1"/>
  <c r="AK38" i="1"/>
  <c r="AG37" i="1"/>
  <c r="AA36" i="1"/>
  <c r="AN33" i="1"/>
  <c r="AF30" i="1"/>
  <c r="AG22" i="1"/>
  <c r="AA21" i="1"/>
  <c r="AF225" i="1"/>
  <c r="AG220" i="1"/>
  <c r="AA217" i="1"/>
  <c r="AF212" i="1"/>
  <c r="AA210" i="1"/>
  <c r="AK207" i="1"/>
  <c r="AN203" i="1"/>
  <c r="AF198" i="1"/>
  <c r="AI193" i="1"/>
  <c r="AF192" i="1"/>
  <c r="AN189" i="1"/>
  <c r="AI187" i="1"/>
  <c r="AN182" i="1"/>
  <c r="AF180" i="1"/>
  <c r="AA178" i="1"/>
  <c r="AK175" i="1"/>
  <c r="AN171" i="1"/>
  <c r="AK169" i="1"/>
  <c r="AG167" i="1"/>
  <c r="AK162" i="1"/>
  <c r="AN157" i="1"/>
  <c r="AA152" i="1"/>
  <c r="AI147" i="1"/>
  <c r="AF146" i="1"/>
  <c r="AA145" i="1"/>
  <c r="AI141" i="1"/>
  <c r="AG140" i="1"/>
  <c r="AN135" i="1"/>
  <c r="AI133" i="1"/>
  <c r="AA131" i="1"/>
  <c r="AN129" i="1"/>
  <c r="AG126" i="1"/>
  <c r="AA125" i="1"/>
  <c r="AG118" i="1"/>
  <c r="AA117" i="1"/>
  <c r="AG112" i="1"/>
  <c r="AA111" i="1"/>
  <c r="AK108" i="1"/>
  <c r="AI107" i="1"/>
  <c r="AN101" i="1"/>
  <c r="AK100" i="1"/>
  <c r="AG99" i="1"/>
  <c r="AN94" i="1"/>
  <c r="AK93" i="1"/>
  <c r="AI92" i="1"/>
  <c r="AF84" i="1"/>
  <c r="AA82" i="1"/>
  <c r="AN79" i="1"/>
  <c r="AK78" i="1"/>
  <c r="AK71" i="1"/>
  <c r="AI59" i="1"/>
  <c r="AG58" i="1"/>
  <c r="AF52" i="1"/>
  <c r="AN47" i="1"/>
  <c r="AA43" i="1"/>
  <c r="AN40" i="1"/>
  <c r="AK39" i="1"/>
  <c r="AK32" i="1"/>
  <c r="AN27" i="1"/>
  <c r="AK25" i="1"/>
  <c r="AK24" i="1"/>
  <c r="AF22" i="1"/>
  <c r="AA218" i="1"/>
  <c r="AN215" i="1"/>
  <c r="AI213" i="1"/>
  <c r="AN208" i="1"/>
  <c r="AA205" i="1"/>
  <c r="AK194" i="1"/>
  <c r="AA185" i="1"/>
  <c r="AI181" i="1"/>
  <c r="AN176" i="1"/>
  <c r="AA173" i="1"/>
  <c r="AF167" i="1"/>
  <c r="AA166" i="1"/>
  <c r="AN164" i="1"/>
  <c r="AK163" i="1"/>
  <c r="AI162" i="1"/>
  <c r="AI156" i="1"/>
  <c r="AF153" i="1"/>
  <c r="AK149" i="1"/>
  <c r="AI148" i="1"/>
  <c r="AN143" i="1"/>
  <c r="AK142" i="1"/>
  <c r="AA139" i="1"/>
  <c r="AA138" i="1"/>
  <c r="AK134" i="1"/>
  <c r="AK128" i="1"/>
  <c r="AF126" i="1"/>
  <c r="AN123" i="1"/>
  <c r="AK120" i="1"/>
  <c r="AF118" i="1"/>
  <c r="AF112" i="1"/>
  <c r="AN109" i="1"/>
  <c r="AF105" i="1"/>
  <c r="AA104" i="1"/>
  <c r="AF98" i="1"/>
  <c r="AA97" i="1"/>
  <c r="AA89" i="1"/>
  <c r="AN86" i="1"/>
  <c r="AG84" i="1"/>
  <c r="AA75" i="1"/>
  <c r="AN72" i="1"/>
  <c r="AA69" i="1"/>
  <c r="AN67" i="1"/>
  <c r="AG64" i="1"/>
  <c r="AA63" i="1"/>
  <c r="AA50" i="1"/>
  <c r="AI46" i="1"/>
  <c r="AA44" i="1"/>
  <c r="AN41" i="1"/>
  <c r="AI38" i="1"/>
  <c r="AA30" i="1"/>
  <c r="AK222" i="1"/>
  <c r="AA219" i="1"/>
  <c r="AK214" i="1"/>
  <c r="AA211" i="1"/>
  <c r="AA198" i="1"/>
  <c r="AN196" i="1"/>
  <c r="AK195" i="1"/>
  <c r="AN190" i="1"/>
  <c r="AN183" i="1"/>
  <c r="AA179" i="1"/>
  <c r="AK170" i="1"/>
  <c r="AN158" i="1"/>
  <c r="AN150" i="1"/>
  <c r="AA146" i="1"/>
  <c r="AA132" i="1"/>
  <c r="AK121" i="1"/>
  <c r="AK114" i="1"/>
  <c r="AK101" i="1"/>
  <c r="AN80" i="1"/>
  <c r="AK79" i="1"/>
  <c r="AN73" i="1"/>
  <c r="AK66" i="1"/>
  <c r="AN61" i="1"/>
  <c r="AK60" i="1"/>
  <c r="AN54" i="1"/>
  <c r="AN48" i="1"/>
  <c r="AK47" i="1"/>
  <c r="AA37" i="1"/>
  <c r="AN35" i="1"/>
  <c r="AK33" i="1"/>
  <c r="AN28" i="1"/>
  <c r="AK26" i="1"/>
  <c r="AA22" i="1"/>
  <c r="AN20" i="1"/>
  <c r="AF226" i="1"/>
  <c r="AN223" i="1"/>
  <c r="AG221" i="1"/>
  <c r="AA220" i="1"/>
  <c r="AN216" i="1"/>
  <c r="AK215" i="1"/>
  <c r="AG213" i="1"/>
  <c r="AN209" i="1"/>
  <c r="AK208" i="1"/>
  <c r="AG207" i="1"/>
  <c r="AK203" i="1"/>
  <c r="AK202" i="1"/>
  <c r="AG200" i="1"/>
  <c r="AF193" i="1"/>
  <c r="AA186" i="1"/>
  <c r="AG181" i="1"/>
  <c r="AN177" i="1"/>
  <c r="AK176" i="1"/>
  <c r="AG175" i="1"/>
  <c r="AK171" i="1"/>
  <c r="AI170" i="1"/>
  <c r="AA167" i="1"/>
  <c r="AA153" i="1"/>
  <c r="AG148" i="1"/>
  <c r="AK143" i="1"/>
  <c r="AA140" i="1"/>
  <c r="AN136" i="1"/>
  <c r="AK135" i="1"/>
  <c r="AK129" i="1"/>
  <c r="AA126" i="1"/>
  <c r="AN124" i="1"/>
  <c r="AG119" i="1"/>
  <c r="AA118" i="1"/>
  <c r="AI114" i="1"/>
  <c r="AG113" i="1"/>
  <c r="AA105" i="1"/>
  <c r="AN102" i="1"/>
  <c r="AF100" i="1"/>
  <c r="AA98" i="1"/>
  <c r="AN95" i="1"/>
  <c r="AK94" i="1"/>
  <c r="AG92" i="1"/>
  <c r="AA90" i="1"/>
  <c r="AN87" i="1"/>
  <c r="AK86" i="1"/>
  <c r="AA83" i="1"/>
  <c r="AN81" i="1"/>
  <c r="AI78" i="1"/>
  <c r="AA76" i="1"/>
  <c r="AK72" i="1"/>
  <c r="AF70" i="1"/>
  <c r="AI66" i="1"/>
  <c r="AG65" i="1"/>
  <c r="AF53" i="1"/>
  <c r="AG46" i="1"/>
  <c r="AA45" i="1"/>
  <c r="AK41" i="1"/>
  <c r="AK40" i="1"/>
  <c r="AG38" i="1"/>
  <c r="AI26" i="1"/>
  <c r="AF23" i="1"/>
  <c r="AF221" i="1"/>
  <c r="AN217" i="1"/>
  <c r="AF213" i="1"/>
  <c r="AA212" i="1"/>
  <c r="AF207" i="1"/>
  <c r="AA206" i="1"/>
  <c r="AN204" i="1"/>
  <c r="AF200" i="1"/>
  <c r="AA199" i="1"/>
  <c r="AG195" i="1"/>
  <c r="AA187" i="1"/>
  <c r="AK183" i="1"/>
  <c r="AF181" i="1"/>
  <c r="AA180" i="1"/>
  <c r="AF175" i="1"/>
  <c r="AA174" i="1"/>
  <c r="AN172" i="1"/>
  <c r="AN165" i="1"/>
  <c r="AF163" i="1"/>
  <c r="AA161" i="1"/>
  <c r="AI157" i="1"/>
  <c r="AG156" i="1"/>
  <c r="AN151" i="1"/>
  <c r="AA147" i="1"/>
  <c r="AN144" i="1"/>
  <c r="AI142" i="1"/>
  <c r="AI134" i="1"/>
  <c r="AK123" i="1"/>
  <c r="AK122" i="1"/>
  <c r="AF119" i="1"/>
  <c r="AN116" i="1"/>
  <c r="AK115" i="1"/>
  <c r="AF113" i="1"/>
  <c r="AN110" i="1"/>
  <c r="AI101" i="1"/>
  <c r="AG100" i="1"/>
  <c r="AG93" i="1"/>
  <c r="AA91" i="1"/>
  <c r="AG85" i="1"/>
  <c r="AA84" i="1"/>
  <c r="AG78" i="1"/>
  <c r="AA77" i="1"/>
  <c r="AN68" i="1"/>
  <c r="AF65" i="1"/>
  <c r="AA64" i="1"/>
  <c r="AK61" i="1"/>
  <c r="AF60" i="1"/>
  <c r="AN55" i="1"/>
  <c r="AG53" i="1"/>
  <c r="AA52" i="1"/>
  <c r="AA51" i="1"/>
  <c r="AI47" i="1"/>
  <c r="AF46" i="1"/>
  <c r="AN43" i="1"/>
  <c r="AF38" i="1"/>
  <c r="AG32" i="1"/>
  <c r="AA31" i="1"/>
  <c r="AG24" i="1"/>
  <c r="AK190" i="1"/>
  <c r="AA188" i="1"/>
  <c r="AN159" i="1"/>
  <c r="AK158" i="1"/>
  <c r="AA154" i="1"/>
  <c r="AN145" i="1"/>
  <c r="AN138" i="1"/>
  <c r="AK136" i="1"/>
  <c r="AA133" i="1"/>
  <c r="AA106" i="1"/>
  <c r="AN103" i="1"/>
  <c r="AK102" i="1"/>
  <c r="AK95" i="1"/>
  <c r="AK87" i="1"/>
  <c r="AK80" i="1"/>
  <c r="AK73" i="1"/>
  <c r="AA70" i="1"/>
  <c r="AN62" i="1"/>
  <c r="AK48" i="1"/>
  <c r="AN36" i="1"/>
  <c r="AK34" i="1"/>
  <c r="AN29" i="1"/>
  <c r="AA23" i="1"/>
  <c r="AN224" i="1"/>
  <c r="AG222" i="1"/>
  <c r="AN219" i="1"/>
  <c r="AK216" i="1"/>
  <c r="AG214" i="1"/>
  <c r="AK209" i="1"/>
  <c r="AK204" i="1"/>
  <c r="AA200" i="1"/>
  <c r="AN191" i="1"/>
  <c r="AG189" i="1"/>
  <c r="AN185" i="1"/>
  <c r="AI182" i="1"/>
  <c r="AK177" i="1"/>
  <c r="AK172" i="1"/>
  <c r="AK165" i="1"/>
  <c r="AG157" i="1"/>
  <c r="AA155" i="1"/>
  <c r="AA148" i="1"/>
  <c r="AK144" i="1"/>
  <c r="AI143" i="1"/>
  <c r="AK130" i="1"/>
  <c r="AA113" i="1"/>
  <c r="AK110" i="1"/>
  <c r="AI109" i="1"/>
  <c r="AG101" i="1"/>
  <c r="AA99" i="1"/>
  <c r="AN97" i="1"/>
  <c r="AA92" i="1"/>
  <c r="AI86" i="1"/>
  <c r="AG79" i="1"/>
  <c r="AA65" i="1"/>
  <c r="AG60" i="1"/>
  <c r="AA58" i="1"/>
  <c r="AG47" i="1"/>
  <c r="AK42" i="1"/>
  <c r="AA38" i="1"/>
  <c r="AG33" i="1"/>
  <c r="AN21" i="1"/>
  <c r="AI223" i="1"/>
  <c r="AF222" i="1"/>
  <c r="AF214" i="1"/>
  <c r="AG208" i="1"/>
  <c r="AI204" i="1"/>
  <c r="AF201" i="1"/>
  <c r="AI196" i="1"/>
  <c r="AI190" i="1"/>
  <c r="AF189" i="1"/>
  <c r="AK184" i="1"/>
  <c r="AG182" i="1"/>
  <c r="AG176" i="1"/>
  <c r="AI172" i="1"/>
  <c r="AI171" i="1"/>
  <c r="AF169" i="1"/>
  <c r="AN166" i="1"/>
  <c r="AF164" i="1"/>
  <c r="AA162" i="1"/>
  <c r="AI158" i="1"/>
  <c r="AF157" i="1"/>
  <c r="AA156" i="1"/>
  <c r="AG143" i="1"/>
  <c r="AK137" i="1"/>
  <c r="AI130" i="1"/>
  <c r="AN125" i="1"/>
  <c r="AN117" i="1"/>
  <c r="AF114" i="1"/>
  <c r="AN111" i="1"/>
  <c r="AG109" i="1"/>
  <c r="AA107" i="1"/>
  <c r="AF101" i="1"/>
  <c r="AA100" i="1"/>
  <c r="AG94" i="1"/>
  <c r="AG86" i="1"/>
  <c r="AA85" i="1"/>
  <c r="AN83" i="1"/>
  <c r="AF79" i="1"/>
  <c r="AA78" i="1"/>
  <c r="AK74" i="1"/>
  <c r="AG72" i="1"/>
  <c r="AF66" i="1"/>
  <c r="AA59" i="1"/>
  <c r="AN56" i="1"/>
  <c r="AI54" i="1"/>
  <c r="AA53" i="1"/>
  <c r="AK49" i="1"/>
  <c r="AF47" i="1"/>
  <c r="AI42" i="1"/>
  <c r="AG40" i="1"/>
  <c r="AI35" i="1"/>
  <c r="AF33" i="1"/>
  <c r="AA32" i="1"/>
  <c r="AI28" i="1"/>
  <c r="AF25" i="1"/>
  <c r="AA24" i="1"/>
  <c r="AI20" i="1"/>
  <c r="AN225" i="1"/>
  <c r="AK224" i="1"/>
  <c r="AI209" i="1"/>
  <c r="AF208" i="1"/>
  <c r="AN205" i="1"/>
  <c r="AI203" i="1"/>
  <c r="AN198" i="1"/>
  <c r="AF196" i="1"/>
  <c r="AA194" i="1"/>
  <c r="AK191" i="1"/>
  <c r="AN187" i="1"/>
  <c r="AF182" i="1"/>
  <c r="AI177" i="1"/>
  <c r="AF176" i="1"/>
  <c r="AN173" i="1"/>
  <c r="AI165" i="1"/>
  <c r="AN160" i="1"/>
  <c r="AN153" i="1"/>
  <c r="AF143" i="1"/>
  <c r="AN140" i="1"/>
  <c r="AN132" i="1"/>
  <c r="AK131" i="1"/>
  <c r="AI124" i="1"/>
  <c r="AF121" i="1"/>
  <c r="AF109" i="1"/>
  <c r="AA108" i="1"/>
  <c r="AK96" i="1"/>
  <c r="AF94" i="1"/>
  <c r="AK88" i="1"/>
  <c r="AF86" i="1"/>
  <c r="AN76" i="1"/>
  <c r="AI74" i="1"/>
  <c r="AF72" i="1"/>
  <c r="AN69" i="1"/>
  <c r="AF67" i="1"/>
  <c r="AN63" i="1"/>
  <c r="AN51" i="1"/>
  <c r="AF40" i="1"/>
  <c r="AN30" i="1"/>
  <c r="AN220" i="1"/>
  <c r="AK218" i="1"/>
  <c r="AK210" i="1"/>
  <c r="AA201" i="1"/>
  <c r="AI197" i="1"/>
  <c r="AN192" i="1"/>
  <c r="AA189" i="1"/>
  <c r="AK178" i="1"/>
  <c r="AA169" i="1"/>
  <c r="AN167" i="1"/>
  <c r="AA157" i="1"/>
  <c r="AK152" i="1"/>
  <c r="AK139" i="1"/>
  <c r="AN126" i="1"/>
  <c r="AI116" i="1"/>
  <c r="AA114" i="1"/>
  <c r="AK89" i="1"/>
  <c r="AK82" i="1"/>
  <c r="AK75" i="1"/>
  <c r="AG74" i="1"/>
  <c r="AA66" i="1"/>
  <c r="AA60" i="1"/>
  <c r="AN57" i="1"/>
  <c r="AK56" i="1"/>
  <c r="AN37" i="1"/>
  <c r="AA25" i="1"/>
  <c r="AN22" i="1"/>
  <c r="AN206" i="1"/>
  <c r="AA182" i="1"/>
  <c r="AN180" i="1"/>
  <c r="AK179" i="1"/>
  <c r="AN174" i="1"/>
  <c r="AA170" i="1"/>
  <c r="AN161" i="1"/>
  <c r="AK160" i="1"/>
  <c r="AN155" i="1"/>
  <c r="AN118" i="1"/>
  <c r="AN112" i="1"/>
  <c r="AA109" i="1"/>
  <c r="AK104" i="1"/>
  <c r="AN99" i="1"/>
  <c r="AG87" i="1"/>
  <c r="AN84" i="1"/>
  <c r="AF68" i="1"/>
  <c r="AN58" i="1"/>
  <c r="AN52" i="1"/>
  <c r="AK50" i="1"/>
  <c r="AN45" i="1"/>
  <c r="AK44" i="1"/>
  <c r="AF41" i="1"/>
  <c r="AI36" i="1"/>
  <c r="AF34" i="1"/>
  <c r="AG28" i="1"/>
  <c r="AA26" i="1"/>
  <c r="AI21" i="1"/>
  <c r="AF20" i="1"/>
  <c r="AF216" i="1"/>
  <c r="AF209" i="1"/>
  <c r="AA202" i="1"/>
  <c r="AG197" i="1"/>
  <c r="AK192" i="1"/>
  <c r="AG191" i="1"/>
  <c r="AK186" i="1"/>
  <c r="AG184" i="1"/>
  <c r="AA164" i="1"/>
  <c r="AG159" i="1"/>
  <c r="AG151" i="1"/>
  <c r="AK146" i="1"/>
  <c r="AK105" i="1"/>
  <c r="AK90" i="1"/>
  <c r="AN77" i="1"/>
  <c r="AK57" i="1"/>
  <c r="AA54" i="1"/>
  <c r="AN31" i="1"/>
  <c r="AN23" i="1"/>
  <c r="AG224" i="1"/>
  <c r="AG219" i="1"/>
  <c r="AG211" i="1"/>
  <c r="AF197" i="1"/>
  <c r="AA196" i="1"/>
  <c r="AF191" i="1"/>
  <c r="AN188" i="1"/>
  <c r="AF184" i="1"/>
  <c r="AG179" i="1"/>
  <c r="AN168" i="1"/>
  <c r="AF159" i="1"/>
  <c r="AF151" i="1"/>
  <c r="AA150" i="1"/>
  <c r="AK147" i="1"/>
  <c r="AI146" i="1"/>
  <c r="AN141" i="1"/>
  <c r="AN133" i="1"/>
  <c r="AI131" i="1"/>
  <c r="AN127" i="1"/>
  <c r="AA122" i="1"/>
  <c r="AN119" i="1"/>
  <c r="AA115" i="1"/>
  <c r="AK112" i="1"/>
  <c r="AI111" i="1"/>
  <c r="AG103" i="1"/>
  <c r="AK98" i="1"/>
  <c r="AG96" i="1"/>
  <c r="AK91" i="1"/>
  <c r="AG88" i="1"/>
  <c r="AF81" i="1"/>
  <c r="AN70" i="1"/>
  <c r="AA67" i="1"/>
  <c r="AG55" i="1"/>
  <c r="AA34" i="1"/>
  <c r="AA27" i="1"/>
  <c r="AG21" i="1"/>
  <c r="AA20" i="1"/>
  <c r="AI225" i="1"/>
  <c r="AF224" i="1"/>
  <c r="AN221" i="1"/>
  <c r="AI220" i="1"/>
  <c r="AF219" i="1"/>
  <c r="AN213" i="1"/>
  <c r="AF211" i="1"/>
  <c r="AI205" i="1"/>
  <c r="AA204" i="1"/>
  <c r="AN181" i="1"/>
  <c r="AF179" i="1"/>
  <c r="AA172" i="1"/>
  <c r="AI166" i="1"/>
  <c r="AK154" i="1"/>
  <c r="AG152" i="1"/>
  <c r="AG145" i="1"/>
  <c r="AF137" i="1"/>
  <c r="AI132" i="1"/>
  <c r="AA130" i="1"/>
  <c r="AG125" i="1"/>
  <c r="AG117" i="1"/>
  <c r="AG111" i="1"/>
  <c r="AK106" i="1"/>
  <c r="AF103" i="1"/>
  <c r="AF96" i="1"/>
  <c r="AF88" i="1"/>
  <c r="AI69" i="1"/>
  <c r="AK64" i="1"/>
  <c r="AG56" i="1"/>
  <c r="AF55" i="1"/>
  <c r="AI51" i="1"/>
  <c r="AN46" i="1"/>
  <c r="AI30" i="1"/>
  <c r="AA28" i="1"/>
  <c r="AI22" i="1"/>
  <c r="AF21" i="1"/>
  <c r="AI53" i="1"/>
  <c r="AI37" i="1"/>
  <c r="AG52" i="1"/>
  <c r="AG36" i="1"/>
  <c r="AA18" i="11" l="1" a="1"/>
  <c r="AA18" i="11" s="1"/>
  <c r="AB18" i="11" s="1" a="1"/>
  <c r="AB18" i="11" s="1"/>
  <c r="AA17" i="11" a="1"/>
  <c r="AA17" i="11" s="1"/>
  <c r="AB17" i="11" s="1" a="1"/>
  <c r="AB17" i="11" s="1"/>
  <c r="S17" i="8"/>
  <c r="Q23" i="8"/>
  <c r="P24" i="8" s="1"/>
  <c r="AA19" i="11" a="1"/>
  <c r="AA19" i="11" s="1"/>
  <c r="AB19" i="11" s="1" a="1"/>
  <c r="AB19" i="11" s="1"/>
  <c r="AA21" i="11" a="1"/>
  <c r="AA21" i="11" s="1"/>
  <c r="AB21" i="11" s="1" a="1"/>
  <c r="AB21" i="11" s="1"/>
  <c r="AA15" i="11" a="1"/>
  <c r="AA15" i="11" s="1"/>
  <c r="AB15" i="11" s="1" a="1"/>
  <c r="AB15" i="11" s="1"/>
  <c r="S13" i="8"/>
  <c r="AA13" i="11" a="1"/>
  <c r="AA13" i="11" s="1"/>
  <c r="AB13" i="11" s="1" a="1"/>
  <c r="AB13" i="11" s="1"/>
  <c r="S14" i="8"/>
  <c r="AA12" i="11" a="1"/>
  <c r="AA12" i="11" s="1"/>
  <c r="AB12" i="11" s="1" a="1"/>
  <c r="AB12" i="11" s="1"/>
  <c r="AA16" i="11" a="1"/>
  <c r="AA16" i="11" s="1"/>
  <c r="AB16" i="11" s="1" a="1"/>
  <c r="AB16" i="11" s="1"/>
  <c r="S20" i="8"/>
  <c r="AA10" i="11" a="1"/>
  <c r="AA10" i="11" s="1"/>
  <c r="AA14" i="11" a="1"/>
  <c r="AA14" i="11" s="1"/>
  <c r="AB14" i="11" s="1" a="1"/>
  <c r="AB14" i="11" s="1"/>
  <c r="AA11" i="11" a="1"/>
  <c r="AA11" i="11" s="1"/>
  <c r="AB11" i="11" s="1" a="1"/>
  <c r="AB11" i="11" s="1"/>
  <c r="AA20" i="11" a="1"/>
  <c r="AA20" i="11" s="1"/>
  <c r="AB20" i="11" s="1" a="1"/>
  <c r="AB20" i="11" s="1"/>
  <c r="Z227" i="1"/>
  <c r="AO19" i="1"/>
  <c r="AM19" i="1"/>
  <c r="AN19" i="1" s="1"/>
  <c r="AL19" i="1"/>
  <c r="AE19" i="1"/>
  <c r="AF19" i="1" s="1"/>
  <c r="AB19" i="1"/>
  <c r="V227" i="1"/>
  <c r="T227" i="1"/>
  <c r="O227" i="1"/>
  <c r="L17" i="1"/>
  <c r="M17" i="1" s="1"/>
  <c r="U12" i="8" l="1"/>
  <c r="U18" i="8"/>
  <c r="AB10" i="11" a="1"/>
  <c r="AB10" i="11" s="1"/>
  <c r="AB22" i="11" s="1"/>
  <c r="AA22" i="11"/>
  <c r="AG19" i="1"/>
  <c r="AI19" i="1"/>
  <c r="L227" i="1"/>
  <c r="M227" i="1"/>
  <c r="N17" i="1"/>
  <c r="Y19" i="1"/>
  <c r="AB227" i="1"/>
  <c r="N227" i="1"/>
  <c r="P227" i="1"/>
  <c r="Q227" i="1"/>
  <c r="R227" i="1"/>
  <c r="S227" i="1"/>
  <c r="AK19" i="1"/>
  <c r="U227" i="1"/>
  <c r="W227" i="1"/>
  <c r="X19" i="1"/>
  <c r="U23" i="8" l="1"/>
  <c r="T24" i="8" s="1"/>
  <c r="S12" i="8"/>
  <c r="S18" i="8"/>
  <c r="X227" i="1"/>
  <c r="Y227" i="1"/>
  <c r="AA19" i="1"/>
  <c r="AA227" i="1" s="1"/>
  <c r="S23" i="8" l="1"/>
  <c r="R24" i="8" s="1"/>
  <c r="V17" i="1"/>
  <c r="Y94" i="8" l="1"/>
  <c r="AA94" i="8"/>
  <c r="D54" i="8"/>
  <c r="D55" i="8" s="1"/>
  <c r="AD94" i="8"/>
  <c r="Z94" i="8"/>
  <c r="C54" i="8"/>
  <c r="C55" i="8" s="1"/>
  <c r="AC94" i="8"/>
  <c r="AB94" i="8"/>
  <c r="AI94" i="8"/>
  <c r="AL94" i="8"/>
  <c r="AK94" i="8"/>
  <c r="AJ94" i="8"/>
  <c r="B54" i="8"/>
  <c r="B55"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tc={9C19B762-A305-4BC6-8DD7-55ABD77249DA}</author>
  </authors>
  <commentList>
    <comment ref="S4" authorId="0" shapeId="0" xr:uid="{9C19B762-A305-4BC6-8DD7-55ABD77249D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Nella divisione della formula del RAN RATE usare come fattore, il numero del mese precedente.
Esempio: Nell'aggiornamento del file esterni del mese di ottobre (tipicamente fatto intorno al 10° giorno del mese di ottobre), utilizzare il fattore 9.
Reply:
    Per il mese di Febbraio 2022, poiché il dato actual è arrivato a fine Febbraio è stato usato il fattore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tc={5996E537-7835-470C-A087-CF26FC05D4C5}</author>
    <author>fperrino</author>
  </authors>
  <commentList>
    <comment ref="P11" authorId="0" shapeId="0" xr:uid="{5996E537-7835-470C-A087-CF26FC05D4C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Continuo qui la somma</t>
        </r>
      </text>
    </comment>
    <comment ref="P31" authorId="1" shapeId="0" xr:uid="{32A0D4F1-0BA5-4966-B978-9B56917D487D}">
      <text>
        <r>
          <rPr>
            <b/>
            <sz val="8"/>
            <color indexed="81"/>
            <rFont val="Tahoma"/>
            <family val="2"/>
          </rPr>
          <t>fperrino:</t>
        </r>
        <r>
          <rPr>
            <sz val="8"/>
            <color indexed="81"/>
            <rFont val="Tahoma"/>
            <family val="2"/>
          </rPr>
          <t xml:space="preserve">
</t>
        </r>
        <r>
          <rPr>
            <sz val="9"/>
            <color indexed="81"/>
            <rFont val="Tahoma"/>
            <family val="2"/>
          </rPr>
          <t>Questa è la percentuale di EURO LUMP consumati rispetto agli EURO LUMP allocati (ovvero previsti nel foglio 2023 sintesi).</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<sst xmlns="http://schemas.openxmlformats.org/spreadsheetml/2006/main" count="1354" uniqueCount="296">
  <si>
    <t xml:space="preserve"> </t>
  </si>
  <si>
    <t>m.uomo</t>
  </si>
  <si>
    <t>ore</t>
  </si>
  <si>
    <t xml:space="preserve">FTE </t>
  </si>
  <si>
    <t>COMPILARE</t>
  </si>
  <si>
    <t>AUTOMATICA</t>
  </si>
  <si>
    <t>Totale ore</t>
  </si>
  <si>
    <t>CALCOLI ORE ED EURO ALLOCATI</t>
  </si>
  <si>
    <t>SERVONO PER CALCOLI AVANZAMENTO</t>
  </si>
  <si>
    <t>SERVONO PER ORE A FINIRE</t>
  </si>
  <si>
    <t>SERVONO PER ORE FINO A…</t>
  </si>
  <si>
    <t>Fornitore .</t>
  </si>
  <si>
    <t>Costo orario fornitore</t>
  </si>
  <si>
    <t>Categoria Fornitore</t>
  </si>
  <si>
    <t>progetto / attività</t>
  </si>
  <si>
    <t xml:space="preserve">tipologia progetto </t>
  </si>
  <si>
    <t xml:space="preserve">Nomi ( se necessario) </t>
  </si>
  <si>
    <t>Responsabile gd</t>
  </si>
  <si>
    <t>Tipologia</t>
  </si>
  <si>
    <t>Ingegneria di competenza</t>
  </si>
  <si>
    <t>LAVORA in GD - presso studio</t>
  </si>
  <si>
    <t>ore / lumpsum  con h - ls</t>
  </si>
  <si>
    <t>m.uomo ye</t>
  </si>
  <si>
    <r>
      <t xml:space="preserve">TOTALE </t>
    </r>
    <r>
      <rPr>
        <b/>
        <u/>
        <sz val="11"/>
        <color rgb="FFFF0000"/>
        <rFont val="Calibri"/>
        <family val="2"/>
        <scheme val="minor"/>
      </rPr>
      <t>ORE</t>
    </r>
  </si>
  <si>
    <t>LUMP (non usata)</t>
  </si>
  <si>
    <r>
      <t xml:space="preserve">BUDGET STIMATO </t>
    </r>
    <r>
      <rPr>
        <b/>
        <sz val="11"/>
        <color rgb="FFFF0000"/>
        <rFont val="Calibri"/>
        <family val="2"/>
        <scheme val="minor"/>
      </rPr>
      <t>ORE</t>
    </r>
  </si>
  <si>
    <r>
      <t>BUDGET STIMATO</t>
    </r>
    <r>
      <rPr>
        <b/>
        <sz val="11"/>
        <color rgb="FFFF0000"/>
        <rFont val="Calibri"/>
        <family val="2"/>
        <scheme val="minor"/>
      </rPr>
      <t xml:space="preserve"> LUMP SUM</t>
    </r>
  </si>
  <si>
    <r>
      <t xml:space="preserve">ACTUAL </t>
    </r>
    <r>
      <rPr>
        <b/>
        <u/>
        <sz val="11"/>
        <color theme="1"/>
        <rFont val="Calibri"/>
        <family val="2"/>
        <scheme val="minor"/>
      </rPr>
      <t>ORE</t>
    </r>
    <r>
      <rPr>
        <b/>
        <sz val="11"/>
        <color theme="1"/>
        <rFont val="Calibri"/>
        <family val="2"/>
        <scheme val="minor"/>
      </rPr>
      <t xml:space="preserve"> </t>
    </r>
  </si>
  <si>
    <r>
      <t xml:space="preserve">ACTUAL </t>
    </r>
    <r>
      <rPr>
        <b/>
        <u/>
        <sz val="11"/>
        <color theme="1"/>
        <rFont val="Calibri"/>
        <family val="2"/>
        <scheme val="minor"/>
      </rPr>
      <t>EURO</t>
    </r>
  </si>
  <si>
    <t>COUNT</t>
  </si>
  <si>
    <t>Actual ORE ripartito</t>
  </si>
  <si>
    <r>
      <t>Actual EURO</t>
    </r>
    <r>
      <rPr>
        <b/>
        <u/>
        <sz val="11"/>
        <color theme="1"/>
        <rFont val="Calibri"/>
        <family val="2"/>
        <scheme val="minor"/>
      </rPr>
      <t xml:space="preserve"> </t>
    </r>
    <r>
      <rPr>
        <b/>
        <sz val="11"/>
        <color theme="1"/>
        <rFont val="Calibri"/>
        <family val="2"/>
        <scheme val="minor"/>
      </rPr>
      <t>ripartito</t>
    </r>
  </si>
  <si>
    <t>Actual LUMP</t>
  </si>
  <si>
    <t>Actual LUMP ripartito</t>
  </si>
  <si>
    <t>ORE a finire</t>
  </si>
  <si>
    <t>EURO ORE a finire</t>
  </si>
  <si>
    <t>EURO LUMP a finire</t>
  </si>
  <si>
    <t>ORE a oggi</t>
  </si>
  <si>
    <t>EURO ORE a oggi</t>
  </si>
  <si>
    <t>EURO LUMP a oggi</t>
  </si>
  <si>
    <t>Macchina</t>
  </si>
  <si>
    <t>GD e STUDIO</t>
  </si>
  <si>
    <t>ORE</t>
  </si>
  <si>
    <t>D</t>
  </si>
  <si>
    <t>Software</t>
  </si>
  <si>
    <t>GD</t>
  </si>
  <si>
    <t>C</t>
  </si>
  <si>
    <t>M</t>
  </si>
  <si>
    <t>STUDIO</t>
  </si>
  <si>
    <t>LUMP SUM</t>
  </si>
  <si>
    <t>Documentazione</t>
  </si>
  <si>
    <t>A</t>
  </si>
  <si>
    <t>Esterni "veri"</t>
  </si>
  <si>
    <t>Formato</t>
  </si>
  <si>
    <t>Layout</t>
  </si>
  <si>
    <t>Elettronico</t>
  </si>
  <si>
    <t>Pic</t>
  </si>
  <si>
    <t>Hardware</t>
  </si>
  <si>
    <t>TARIFFARIO STANDARD</t>
  </si>
  <si>
    <r>
      <t xml:space="preserve">TARIFFARIO PREZZI </t>
    </r>
    <r>
      <rPr>
        <b/>
        <sz val="36"/>
        <color rgb="FFFF0000"/>
        <rFont val="Calibri"/>
        <family val="2"/>
        <scheme val="minor"/>
      </rPr>
      <t>FUORI</t>
    </r>
    <r>
      <rPr>
        <b/>
        <sz val="36"/>
        <color theme="1"/>
        <rFont val="Calibri"/>
        <family val="2"/>
        <scheme val="minor"/>
      </rPr>
      <t xml:space="preserve"> STANDARD (da compilare solo se il prezzo è diverso dallo standard)</t>
    </r>
  </si>
  <si>
    <t>FORNITORI</t>
  </si>
  <si>
    <t>Costo Orario</t>
  </si>
  <si>
    <t>Categoria</t>
  </si>
  <si>
    <t>Colonna1</t>
  </si>
  <si>
    <t>SEDE</t>
  </si>
  <si>
    <t>INGEGNERIA di COMPETENZA</t>
  </si>
  <si>
    <t>TIPOLOGIA</t>
  </si>
  <si>
    <t>tipologia progetto</t>
  </si>
  <si>
    <t>Stringa unita</t>
  </si>
  <si>
    <t>Conteggio totale ORE</t>
  </si>
  <si>
    <t>Conteggio totale EURO</t>
  </si>
  <si>
    <t>Conteggio Totale LUMP</t>
  </si>
  <si>
    <t>Responsabile</t>
  </si>
  <si>
    <t>Fornitore</t>
  </si>
  <si>
    <t>SIGLA FORNITORE</t>
  </si>
  <si>
    <t>Euro Act+Commit</t>
  </si>
  <si>
    <t>TOT ORE Act+Commit</t>
  </si>
  <si>
    <t>EURO LUMP Act+Commit</t>
  </si>
  <si>
    <t>DATA ULTIMO CARICAMENTO:</t>
  </si>
  <si>
    <t>COLONNE AUTOMATICHE CON FORMULE</t>
  </si>
  <si>
    <t>Progetto 1</t>
  </si>
  <si>
    <t>Progetto 2</t>
  </si>
  <si>
    <t>Progetto 3</t>
  </si>
  <si>
    <t>Progetto 4</t>
  </si>
  <si>
    <t>Progetto 6</t>
  </si>
  <si>
    <t>Progetto 7</t>
  </si>
  <si>
    <t>Mario Rossi</t>
  </si>
  <si>
    <t xml:space="preserve">   </t>
  </si>
  <si>
    <t>Sum of BUDGET STIMATO ORE</t>
  </si>
  <si>
    <t>Sum of BUDGET STIMATO LUMP SUM</t>
  </si>
  <si>
    <t>Sum of TOTALE ORE</t>
  </si>
  <si>
    <t>Sum of Actual ORE ripartito</t>
  </si>
  <si>
    <t>Column Labels</t>
  </si>
  <si>
    <t>Sum of Actual LUMP ripartito</t>
  </si>
  <si>
    <t>Sum of ORE a oggi</t>
  </si>
  <si>
    <t>Sum of EURO LUMP a oggi</t>
  </si>
  <si>
    <t>Sum of ORE a finire</t>
  </si>
  <si>
    <t>Sum of EURO LUMP a finire</t>
  </si>
  <si>
    <t>Row Labels</t>
  </si>
  <si>
    <t>Grand Total</t>
  </si>
  <si>
    <t>Sum of Actual EURO ripartito</t>
  </si>
  <si>
    <t xml:space="preserve">DATO di INPUT </t>
  </si>
  <si>
    <t>suddivisione data da Chiarini 25/10/22</t>
  </si>
  <si>
    <t>ore anno per FTE (secondo controller)</t>
  </si>
  <si>
    <t xml:space="preserve">Costo medio generale  (secondo controller Marcello) </t>
  </si>
  <si>
    <t>dept</t>
  </si>
  <si>
    <t>Area BDG</t>
  </si>
  <si>
    <t>FTE  arrotondate</t>
  </si>
  <si>
    <t>ORE ESTERNE TOTALI richieste  dai progetti (Controller Chiarini 14 ottobre ) = 120000</t>
  </si>
  <si>
    <t>COSTO LUMP SUM
(mack+r&amp;d)</t>
  </si>
  <si>
    <t>Costo ORE ESTERNE  secondo avanzamento file in Teams 2/9/10</t>
  </si>
  <si>
    <t>costo medio ogni area (secondo avanzamenti file  Teams) con avanzamento in data 3/11/22</t>
  </si>
  <si>
    <t>Costo Ore Est + Lump Sum</t>
  </si>
  <si>
    <t>FORECAST  ore Q1</t>
  </si>
  <si>
    <t>Euro  ore Q1</t>
  </si>
  <si>
    <t>FORECAST  ore Q2</t>
  </si>
  <si>
    <t>Euro  ore Q2</t>
  </si>
  <si>
    <t>FORECAST  ore Q4</t>
  </si>
  <si>
    <t>Euro  ore Q4</t>
  </si>
  <si>
    <t>DELTA ORE</t>
  </si>
  <si>
    <t>Totale complessivo</t>
  </si>
  <si>
    <t>***</t>
  </si>
  <si>
    <t>VISIBILE
NEL REPORT</t>
  </si>
  <si>
    <t>Forinitore</t>
  </si>
  <si>
    <t xml:space="preserve">nuovo budget target …..  ore SCENARIO 1 </t>
  </si>
  <si>
    <r>
      <rPr>
        <b/>
        <sz val="11"/>
        <color rgb="FFFF0000"/>
        <rFont val="Calibri"/>
        <family val="2"/>
        <scheme val="minor"/>
      </rPr>
      <t>EURO</t>
    </r>
    <r>
      <rPr>
        <b/>
        <sz val="11"/>
        <color theme="1"/>
        <rFont val="Calibri"/>
        <family val="2"/>
        <scheme val="minor"/>
      </rPr>
      <t xml:space="preserve"> SCENARIO 2            (calcolo </t>
    </r>
    <r>
      <rPr>
        <b/>
        <u/>
        <sz val="11"/>
        <color theme="1"/>
        <rFont val="Calibri"/>
        <family val="2"/>
        <scheme val="minor"/>
      </rPr>
      <t>automatico</t>
    </r>
    <r>
      <rPr>
        <b/>
        <sz val="11"/>
        <color theme="1"/>
        <rFont val="Calibri"/>
        <family val="2"/>
        <scheme val="minor"/>
      </rPr>
      <t xml:space="preserve"> in base alle tariffe orarie)</t>
    </r>
  </si>
  <si>
    <r>
      <rPr>
        <b/>
        <sz val="11"/>
        <color rgb="FFFF0000"/>
        <rFont val="Calibri"/>
        <family val="2"/>
        <scheme val="minor"/>
      </rPr>
      <t>EURO</t>
    </r>
    <r>
      <rPr>
        <b/>
        <sz val="11"/>
        <color theme="1"/>
        <rFont val="Calibri"/>
        <family val="2"/>
        <scheme val="minor"/>
      </rPr>
      <t xml:space="preserve"> SCENARIO 1            (calcolo </t>
    </r>
    <r>
      <rPr>
        <b/>
        <u/>
        <sz val="11"/>
        <color theme="1"/>
        <rFont val="Calibri"/>
        <family val="2"/>
        <scheme val="minor"/>
      </rPr>
      <t>automatico</t>
    </r>
    <r>
      <rPr>
        <b/>
        <sz val="11"/>
        <color theme="1"/>
        <rFont val="Calibri"/>
        <family val="2"/>
        <scheme val="minor"/>
      </rPr>
      <t xml:space="preserve"> in base alle tariffe orarie)</t>
    </r>
  </si>
  <si>
    <t>nuovo budget target ….  ore SCENARIO 2</t>
  </si>
  <si>
    <t>Studio 1</t>
  </si>
  <si>
    <t>S1</t>
  </si>
  <si>
    <t>Studio 2</t>
  </si>
  <si>
    <t>S2</t>
  </si>
  <si>
    <t>Studio 3</t>
  </si>
  <si>
    <t>S3</t>
  </si>
  <si>
    <t>Studio 4</t>
  </si>
  <si>
    <t>S4</t>
  </si>
  <si>
    <t>Studio 5</t>
  </si>
  <si>
    <t>S5</t>
  </si>
  <si>
    <t>Studio 6</t>
  </si>
  <si>
    <t>S6</t>
  </si>
  <si>
    <t>Studio 7</t>
  </si>
  <si>
    <t>S7</t>
  </si>
  <si>
    <t>Studio 8</t>
  </si>
  <si>
    <t>S8</t>
  </si>
  <si>
    <t>Studio 9</t>
  </si>
  <si>
    <t>S9</t>
  </si>
  <si>
    <t>Studio 10</t>
  </si>
  <si>
    <t>S10</t>
  </si>
  <si>
    <t>Studio 11</t>
  </si>
  <si>
    <t>S11</t>
  </si>
  <si>
    <t>Studio 12</t>
  </si>
  <si>
    <t>S12</t>
  </si>
  <si>
    <t>Studio 13</t>
  </si>
  <si>
    <t>S13</t>
  </si>
  <si>
    <t>Studio 14</t>
  </si>
  <si>
    <t>S14</t>
  </si>
  <si>
    <t>test</t>
  </si>
  <si>
    <t>NASCONDERE</t>
  </si>
  <si>
    <r>
      <rPr>
        <b/>
        <sz val="16"/>
        <color theme="1"/>
        <rFont val="Calibri"/>
        <family val="2"/>
        <scheme val="minor"/>
      </rPr>
      <t>€</t>
    </r>
    <r>
      <rPr>
        <sz val="14"/>
        <color theme="1"/>
        <rFont val="Calibri"/>
        <family val="2"/>
        <scheme val="minor"/>
      </rPr>
      <t xml:space="preserve"> SCENARI BGT</t>
    </r>
  </si>
  <si>
    <r>
      <rPr>
        <b/>
        <sz val="16"/>
        <rFont val="Calibri"/>
        <family val="2"/>
        <scheme val="minor"/>
      </rPr>
      <t>€</t>
    </r>
    <r>
      <rPr>
        <sz val="14"/>
        <rFont val="Calibri"/>
        <family val="2"/>
        <scheme val="minor"/>
      </rPr>
      <t xml:space="preserve"> AVANZAMENTO</t>
    </r>
  </si>
  <si>
    <t>SCENARI BGT</t>
  </si>
  <si>
    <t>AVANZAMENTO</t>
  </si>
  <si>
    <t>EURO ORE</t>
  </si>
  <si>
    <t>EURO LUMP</t>
  </si>
  <si>
    <t>ACTUAL € ORE*</t>
  </si>
  <si>
    <t>ACTUAL € LUMP</t>
  </si>
  <si>
    <t>ACTUAL*</t>
  </si>
  <si>
    <t>ORE TO FINISH</t>
  </si>
  <si>
    <t>EURO ORE TO FINISH</t>
  </si>
  <si>
    <t>EURO LUMP TO FINISH</t>
  </si>
  <si>
    <t>ALLOCATE (2023 sintesi)</t>
  </si>
  <si>
    <t>BUDGET INGEGNERIE 2023</t>
  </si>
  <si>
    <t>CONSUMI - AVANZAMENTO*</t>
  </si>
  <si>
    <r>
      <rPr>
        <b/>
        <u/>
        <sz val="10"/>
        <rFont val="Calibri"/>
        <family val="2"/>
      </rPr>
      <t>RESTO</t>
    </r>
    <r>
      <rPr>
        <b/>
        <sz val="10"/>
        <rFont val="Calibri"/>
        <family val="2"/>
      </rPr>
      <t xml:space="preserve">
</t>
    </r>
    <r>
      <rPr>
        <b/>
        <sz val="10"/>
        <color theme="1"/>
        <rFont val="Calibri"/>
        <family val="2"/>
      </rPr>
      <t>ORE BGT</t>
    </r>
  </si>
  <si>
    <r>
      <t xml:space="preserve">ORE </t>
    </r>
    <r>
      <rPr>
        <b/>
        <u/>
        <sz val="10"/>
        <color theme="1"/>
        <rFont val="Calibri"/>
        <family val="2"/>
      </rPr>
      <t>A FINIRE</t>
    </r>
    <r>
      <rPr>
        <b/>
        <sz val="10"/>
        <color theme="1"/>
        <rFont val="Calibri"/>
        <family val="2"/>
      </rPr>
      <t xml:space="preserve">
</t>
    </r>
    <r>
      <rPr>
        <i/>
        <sz val="10"/>
        <color theme="1"/>
        <rFont val="Calibri"/>
        <family val="2"/>
      </rPr>
      <t>GIU → DIC</t>
    </r>
  </si>
  <si>
    <r>
      <rPr>
        <b/>
        <u/>
        <sz val="10"/>
        <color theme="1"/>
        <rFont val="Calibri"/>
        <family val="2"/>
      </rPr>
      <t>RESTO</t>
    </r>
    <r>
      <rPr>
        <b/>
        <sz val="10"/>
        <color theme="1"/>
        <rFont val="Calibri"/>
        <family val="2"/>
      </rPr>
      <t xml:space="preserve"> EURO ORE BGT</t>
    </r>
  </si>
  <si>
    <r>
      <rPr>
        <b/>
        <sz val="14"/>
        <color theme="1"/>
        <rFont val="Calibri"/>
        <family val="2"/>
      </rPr>
      <t>€</t>
    </r>
    <r>
      <rPr>
        <b/>
        <sz val="10"/>
        <color theme="1"/>
        <rFont val="Calibri"/>
        <family val="2"/>
      </rPr>
      <t xml:space="preserve"> ORE</t>
    </r>
    <r>
      <rPr>
        <b/>
        <u/>
        <sz val="10"/>
        <color theme="1"/>
        <rFont val="Calibri"/>
        <family val="2"/>
      </rPr>
      <t xml:space="preserve"> A FINIRE</t>
    </r>
    <r>
      <rPr>
        <b/>
        <sz val="10"/>
        <color theme="1"/>
        <rFont val="Calibri"/>
        <family val="2"/>
      </rPr>
      <t xml:space="preserve">
</t>
    </r>
    <r>
      <rPr>
        <sz val="10"/>
        <color theme="1"/>
        <rFont val="Calibri"/>
        <family val="2"/>
      </rPr>
      <t>GIU</t>
    </r>
    <r>
      <rPr>
        <i/>
        <sz val="10"/>
        <color theme="1"/>
        <rFont val="Calibri"/>
        <family val="2"/>
      </rPr>
      <t xml:space="preserve"> → DIC</t>
    </r>
  </si>
  <si>
    <r>
      <rPr>
        <b/>
        <u/>
        <sz val="10"/>
        <color theme="1"/>
        <rFont val="Calibri"/>
        <family val="2"/>
      </rPr>
      <t>RESTO</t>
    </r>
    <r>
      <rPr>
        <b/>
        <sz val="10"/>
        <color theme="1"/>
        <rFont val="Calibri"/>
        <family val="2"/>
      </rPr>
      <t xml:space="preserve"> LUMP BGT</t>
    </r>
  </si>
  <si>
    <r>
      <t xml:space="preserve">LUMP </t>
    </r>
    <r>
      <rPr>
        <b/>
        <u/>
        <sz val="10"/>
        <color theme="1"/>
        <rFont val="Calibri"/>
        <family val="2"/>
      </rPr>
      <t>A FINIRE</t>
    </r>
    <r>
      <rPr>
        <b/>
        <sz val="10"/>
        <color theme="1"/>
        <rFont val="Calibri"/>
        <family val="2"/>
      </rPr>
      <t xml:space="preserve">
</t>
    </r>
    <r>
      <rPr>
        <i/>
        <sz val="10"/>
        <color theme="1"/>
        <rFont val="Calibri"/>
        <family val="2"/>
      </rPr>
      <t>GIU → DIC</t>
    </r>
  </si>
  <si>
    <t>Ingegneria</t>
  </si>
  <si>
    <t xml:space="preserve">Ore </t>
  </si>
  <si>
    <t>Euro Ore</t>
  </si>
  <si>
    <t>Euro Lump</t>
  </si>
  <si>
    <t>Ore
ACT+COMMIT</t>
  </si>
  <si>
    <t>Euro Ore
ACT+COMMIT</t>
  </si>
  <si>
    <t>Euro Lump
ACT+COMMIT</t>
  </si>
  <si>
    <t>Totale</t>
  </si>
  <si>
    <r>
      <rPr>
        <b/>
        <sz val="16"/>
        <color theme="1"/>
        <rFont val="Calibri"/>
        <family val="2"/>
        <scheme val="minor"/>
      </rPr>
      <t>€</t>
    </r>
    <r>
      <rPr>
        <sz val="14"/>
        <color theme="1"/>
        <rFont val="Calibri"/>
        <family val="2"/>
        <scheme val="minor"/>
      </rPr>
      <t xml:space="preserve"> ALLOCATI</t>
    </r>
  </si>
  <si>
    <r>
      <rPr>
        <b/>
        <sz val="16"/>
        <rFont val="Calibri"/>
        <family val="2"/>
        <scheme val="minor"/>
      </rPr>
      <t xml:space="preserve">€ </t>
    </r>
    <r>
      <rPr>
        <sz val="14"/>
        <rFont val="Calibri"/>
        <family val="2"/>
        <scheme val="minor"/>
      </rPr>
      <t>AVANZAMENTO</t>
    </r>
  </si>
  <si>
    <t>ALLOCATI</t>
  </si>
  <si>
    <t>CONSUMI SPACCHETTATI AL 05 GIUGNO 2023</t>
  </si>
  <si>
    <t>ORE - EURO</t>
  </si>
  <si>
    <t>A FINIRE (GIUGNO-DICEMBRE)</t>
  </si>
  <si>
    <t>FORECAST (ACTUAL + A FINIRE)</t>
  </si>
  <si>
    <r>
      <t xml:space="preserve">Ore
</t>
    </r>
    <r>
      <rPr>
        <b/>
        <sz val="10"/>
        <rFont val="Arial"/>
        <family val="2"/>
      </rPr>
      <t>Actual</t>
    </r>
  </si>
  <si>
    <r>
      <t xml:space="preserve">Euro
</t>
    </r>
    <r>
      <rPr>
        <b/>
        <sz val="10"/>
        <rFont val="Arial"/>
        <family val="2"/>
      </rPr>
      <t>Actual</t>
    </r>
  </si>
  <si>
    <r>
      <t xml:space="preserve">Ore
</t>
    </r>
    <r>
      <rPr>
        <b/>
        <sz val="10"/>
        <rFont val="Arial"/>
        <family val="2"/>
      </rPr>
      <t>Committment</t>
    </r>
  </si>
  <si>
    <r>
      <t xml:space="preserve">Euro
</t>
    </r>
    <r>
      <rPr>
        <b/>
        <sz val="10"/>
        <rFont val="Arial"/>
        <family val="2"/>
      </rPr>
      <t>Committment</t>
    </r>
  </si>
  <si>
    <r>
      <t xml:space="preserve">Lump 
</t>
    </r>
    <r>
      <rPr>
        <b/>
        <sz val="10"/>
        <rFont val="Arial"/>
        <family val="2"/>
      </rPr>
      <t>Actual</t>
    </r>
    <r>
      <rPr>
        <sz val="10"/>
        <rFont val="Arial"/>
        <family val="2"/>
      </rPr>
      <t xml:space="preserve"> (FBL3N)</t>
    </r>
  </si>
  <si>
    <r>
      <t xml:space="preserve">Lump
</t>
    </r>
    <r>
      <rPr>
        <b/>
        <sz val="10"/>
        <rFont val="Arial"/>
        <family val="2"/>
      </rPr>
      <t>Committment</t>
    </r>
    <r>
      <rPr>
        <sz val="10"/>
        <rFont val="Arial"/>
        <family val="2"/>
      </rPr>
      <t xml:space="preserve"> (ME5A+ME2N)</t>
    </r>
  </si>
  <si>
    <t>Ore a finire
(GIUGNO-DICEMBRE)</t>
  </si>
  <si>
    <t>Euro a finire
(GIUGNO-DICEMBRE)</t>
  </si>
  <si>
    <t>Lump a finire
(GIUGNO-DICEMBRE)</t>
  </si>
  <si>
    <t>Forecast ore YTE
(actual+ore a finire)</t>
  </si>
  <si>
    <t>Forecast euro
(actual+euro a finire)</t>
  </si>
  <si>
    <t>Forecast 
Euro Lump</t>
  </si>
  <si>
    <t>ACTUAL</t>
  </si>
  <si>
    <t>COMMITMENT</t>
  </si>
  <si>
    <t>A FINIRE</t>
  </si>
  <si>
    <t>SPACCHETTAMENTO CONSUMI</t>
  </si>
  <si>
    <t>DETTAGLIO ALLOCATO IN 2023 SINTESI</t>
  </si>
  <si>
    <t xml:space="preserve"> → il dettaglio dell'allocato segue tutti i filtri in questa nuova dashboard</t>
  </si>
  <si>
    <t>GEN → MAG</t>
  </si>
  <si>
    <r>
      <t xml:space="preserve">GIU </t>
    </r>
    <r>
      <rPr>
        <b/>
        <sz val="16"/>
        <color theme="1" tint="0.14999847407452621"/>
        <rFont val="Calibri"/>
        <family val="2"/>
      </rPr>
      <t>→ DIC</t>
    </r>
  </si>
  <si>
    <t>BGT INGEGNERIE 2023</t>
  </si>
  <si>
    <t>ACTUAL+COMMITTMENT</t>
  </si>
  <si>
    <r>
      <t xml:space="preserve">ORE </t>
    </r>
    <r>
      <rPr>
        <b/>
        <u/>
        <sz val="10"/>
        <rFont val="Calibri"/>
        <family val="2"/>
      </rPr>
      <t>DA INIZIO</t>
    </r>
    <r>
      <rPr>
        <b/>
        <sz val="10"/>
        <rFont val="Calibri"/>
        <family val="2"/>
      </rPr>
      <t xml:space="preserve">
</t>
    </r>
    <r>
      <rPr>
        <sz val="10"/>
        <rFont val="Calibri"/>
        <family val="2"/>
      </rPr>
      <t>GEN</t>
    </r>
    <r>
      <rPr>
        <b/>
        <sz val="10"/>
        <rFont val="Calibri"/>
        <family val="2"/>
      </rPr>
      <t xml:space="preserve"> → MAG</t>
    </r>
  </si>
  <si>
    <r>
      <t xml:space="preserve">LUMP </t>
    </r>
    <r>
      <rPr>
        <b/>
        <u/>
        <sz val="10"/>
        <rFont val="Calibri"/>
        <family val="2"/>
      </rPr>
      <t>DA INIZIO</t>
    </r>
    <r>
      <rPr>
        <b/>
        <sz val="10"/>
        <rFont val="Calibri"/>
        <family val="2"/>
      </rPr>
      <t xml:space="preserve">
</t>
    </r>
    <r>
      <rPr>
        <sz val="10"/>
        <rFont val="Calibri"/>
        <family val="2"/>
      </rPr>
      <t>GEN</t>
    </r>
    <r>
      <rPr>
        <b/>
        <sz val="10"/>
        <rFont val="Calibri"/>
        <family val="2"/>
      </rPr>
      <t xml:space="preserve"> → MAG</t>
    </r>
  </si>
  <si>
    <r>
      <t xml:space="preserve">ORE </t>
    </r>
    <r>
      <rPr>
        <b/>
        <u/>
        <sz val="10"/>
        <rFont val="Calibri"/>
        <family val="2"/>
      </rPr>
      <t>A FINIRE</t>
    </r>
    <r>
      <rPr>
        <b/>
        <sz val="10"/>
        <rFont val="Calibri"/>
        <family val="2"/>
      </rPr>
      <t xml:space="preserve">
</t>
    </r>
    <r>
      <rPr>
        <b/>
        <i/>
        <sz val="10"/>
        <rFont val="Calibri"/>
        <family val="2"/>
      </rPr>
      <t>GIU</t>
    </r>
    <r>
      <rPr>
        <i/>
        <sz val="10"/>
        <rFont val="Calibri"/>
        <family val="2"/>
      </rPr>
      <t xml:space="preserve"> </t>
    </r>
    <r>
      <rPr>
        <sz val="10"/>
        <rFont val="Calibri"/>
        <family val="2"/>
      </rPr>
      <t>→</t>
    </r>
    <r>
      <rPr>
        <i/>
        <sz val="10"/>
        <rFont val="Calibri"/>
        <family val="2"/>
      </rPr>
      <t xml:space="preserve"> DIC</t>
    </r>
  </si>
  <si>
    <r>
      <t xml:space="preserve">LUMP </t>
    </r>
    <r>
      <rPr>
        <b/>
        <u/>
        <sz val="10"/>
        <rFont val="Calibri"/>
        <family val="2"/>
      </rPr>
      <t>A FINIRE</t>
    </r>
    <r>
      <rPr>
        <b/>
        <sz val="10"/>
        <rFont val="Calibri"/>
        <family val="2"/>
      </rPr>
      <t xml:space="preserve">
GIU</t>
    </r>
    <r>
      <rPr>
        <sz val="10"/>
        <rFont val="Calibri"/>
        <family val="2"/>
      </rPr>
      <t xml:space="preserve"> → DIC</t>
    </r>
  </si>
  <si>
    <t>Forecast ore YTE</t>
  </si>
  <si>
    <t>RAN RATE ORE</t>
  </si>
  <si>
    <t>Lump</t>
  </si>
  <si>
    <t>Ore</t>
  </si>
  <si>
    <r>
      <t>→ Le colonne che riportano l'</t>
    </r>
    <r>
      <rPr>
        <b/>
        <sz val="12"/>
        <color theme="1"/>
        <rFont val="Century Gothic"/>
        <family val="2"/>
      </rPr>
      <t>Actual</t>
    </r>
    <r>
      <rPr>
        <sz val="12"/>
        <color theme="1"/>
        <rFont val="Century Gothic"/>
        <family val="2"/>
      </rPr>
      <t xml:space="preserve"> e la colonna </t>
    </r>
    <r>
      <rPr>
        <b/>
        <sz val="12"/>
        <color theme="1"/>
        <rFont val="Century Gothic"/>
        <family val="2"/>
      </rPr>
      <t>RAN RATE</t>
    </r>
    <r>
      <rPr>
        <sz val="12"/>
        <color theme="1"/>
        <rFont val="Century Gothic"/>
        <family val="2"/>
      </rPr>
      <t xml:space="preserve"> sono oscurate poiché hai usato il filtro sulla Tipologia di Competenza e in SAP non c'è la suddivisione del consumo per tipologia di competenza.</t>
    </r>
  </si>
  <si>
    <t>ACTUAL+COMMIT</t>
  </si>
  <si>
    <t>AA</t>
  </si>
  <si>
    <t>AAA</t>
  </si>
  <si>
    <t xml:space="preserve">ORE PIANIFICATE MESE PER MESE (ore convertite in euro da tariffario): </t>
  </si>
  <si>
    <t>PER DETTAGLI SUL CALCOLO VEDERE TIMELINE DI CALCOLO A DESTRA</t>
  </si>
  <si>
    <t>CONSUMI FINO A:</t>
  </si>
  <si>
    <t>Q1</t>
  </si>
  <si>
    <t>Q2</t>
  </si>
  <si>
    <t>Q3</t>
  </si>
  <si>
    <t>Q4</t>
  </si>
  <si>
    <t>FORECAST ACT+COMMIT</t>
  </si>
  <si>
    <t>Ore act</t>
  </si>
  <si>
    <r>
      <t xml:space="preserve">Già incluso nell'actual? </t>
    </r>
    <r>
      <rPr>
        <b/>
        <sz val="11"/>
        <color theme="1"/>
        <rFont val="Calibri"/>
        <family val="2"/>
      </rPr>
      <t>→</t>
    </r>
  </si>
  <si>
    <t>Totale consumi al 05/06/2023</t>
  </si>
  <si>
    <t>TOTALE  =</t>
  </si>
  <si>
    <t>CONGELATO A MARZO!</t>
  </si>
  <si>
    <t>CONGELATO A GIUGNO</t>
  </si>
  <si>
    <t>DA CONGELARE A SETTEMBRE</t>
  </si>
  <si>
    <t>DA CONGELARE A DICEMBRE</t>
  </si>
  <si>
    <t xml:space="preserve">LUMP PIANIFICATI MESE PER MESE: </t>
  </si>
  <si>
    <t>FORECAST LUMP</t>
  </si>
  <si>
    <r>
      <t>Già incluso nell'actual?</t>
    </r>
    <r>
      <rPr>
        <b/>
        <sz val="11"/>
        <color theme="1"/>
        <rFont val="Calibri"/>
        <family val="2"/>
      </rPr>
      <t>→</t>
    </r>
  </si>
  <si>
    <t>(All)</t>
  </si>
  <si>
    <t>Filiali GD</t>
  </si>
  <si>
    <t>TIPO FORNITORE</t>
  </si>
  <si>
    <t>CONSUMI (Avanzamento)</t>
  </si>
  <si>
    <t>ALLOCATE</t>
  </si>
  <si>
    <r>
      <rPr>
        <b/>
        <sz val="11"/>
        <color theme="3" tint="-0.249977111117893"/>
        <rFont val="Calibri"/>
        <family val="2"/>
        <scheme val="minor"/>
      </rPr>
      <t>€</t>
    </r>
    <r>
      <rPr>
        <sz val="11"/>
        <color theme="3" tint="-0.249977111117893"/>
        <rFont val="Calibri"/>
        <family val="2"/>
        <scheme val="minor"/>
      </rPr>
      <t xml:space="preserve"> Euro Ore</t>
    </r>
  </si>
  <si>
    <r>
      <rPr>
        <b/>
        <sz val="11"/>
        <color theme="3" tint="-0.249977111117893"/>
        <rFont val="Calibri"/>
        <family val="2"/>
        <scheme val="minor"/>
      </rPr>
      <t>€</t>
    </r>
    <r>
      <rPr>
        <sz val="11"/>
        <color theme="3" tint="-0.249977111117893"/>
        <rFont val="Calibri"/>
        <family val="2"/>
        <scheme val="minor"/>
      </rPr>
      <t xml:space="preserve"> Euro Lump</t>
    </r>
  </si>
  <si>
    <r>
      <rPr>
        <b/>
        <sz val="11"/>
        <color theme="3" tint="-0.249977111117893"/>
        <rFont val="Calibri"/>
        <family val="2"/>
        <scheme val="minor"/>
      </rPr>
      <t>€</t>
    </r>
    <r>
      <rPr>
        <sz val="11"/>
        <color theme="3" tint="-0.249977111117893"/>
        <rFont val="Calibri"/>
        <family val="2"/>
        <scheme val="minor"/>
      </rPr>
      <t xml:space="preserve"> Totale</t>
    </r>
  </si>
  <si>
    <t>TOTALE</t>
  </si>
  <si>
    <t xml:space="preserve">ORE - </t>
  </si>
  <si>
    <t xml:space="preserve">EORE - </t>
  </si>
  <si>
    <t>E LUMP</t>
  </si>
  <si>
    <t>Consociate</t>
  </si>
  <si>
    <t>Aziende Tob.</t>
  </si>
  <si>
    <t>Altro</t>
  </si>
  <si>
    <t>NOW</t>
  </si>
  <si>
    <t>Progetto 8</t>
  </si>
  <si>
    <r>
      <rPr>
        <b/>
        <sz val="16"/>
        <color theme="1"/>
        <rFont val="Calibri"/>
        <family val="2"/>
        <scheme val="minor"/>
      </rPr>
      <t>€</t>
    </r>
    <r>
      <rPr>
        <sz val="14"/>
        <color theme="1"/>
        <rFont val="Calibri"/>
        <family val="2"/>
        <scheme val="minor"/>
      </rPr>
      <t xml:space="preserve"> ALLOCATI in 2023 sintesi</t>
    </r>
  </si>
  <si>
    <t>ALLOCATI in 2023 sintesi</t>
  </si>
  <si>
    <t>Baldanza</t>
  </si>
  <si>
    <t>Ferrari</t>
  </si>
  <si>
    <t>Fortini</t>
  </si>
  <si>
    <t>Guidotti</t>
  </si>
  <si>
    <t>Lanzarini</t>
  </si>
  <si>
    <t>Mengoli</t>
  </si>
  <si>
    <t>Parmeggiani</t>
  </si>
  <si>
    <t>Polloni</t>
  </si>
  <si>
    <t>Seren</t>
  </si>
  <si>
    <t>Squarzoni</t>
  </si>
  <si>
    <t>Zanotti</t>
  </si>
  <si>
    <t>Gamberini</t>
  </si>
  <si>
    <t>Baldanza N.</t>
  </si>
  <si>
    <t>Carboni L.</t>
  </si>
  <si>
    <t>Ferrari M.</t>
  </si>
  <si>
    <t>Fortini M.</t>
  </si>
  <si>
    <t>Guidotti C.</t>
  </si>
  <si>
    <t>Mengoli F.</t>
  </si>
  <si>
    <t>Parmeggiani M.</t>
  </si>
  <si>
    <t>Polloni R.</t>
  </si>
  <si>
    <t>Squarzoni M.</t>
  </si>
  <si>
    <t>Zanotti M.</t>
  </si>
  <si>
    <t>Gamberini G.</t>
  </si>
  <si>
    <t>Lanzarini L.</t>
  </si>
  <si>
    <t>Degli Esposti</t>
  </si>
  <si>
    <t>Nome Fornitore</t>
  </si>
  <si>
    <t>Sigla Fornitore</t>
  </si>
  <si>
    <t>S25</t>
  </si>
  <si>
    <t>Studio 25</t>
  </si>
  <si>
    <t>Studio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</si>
</sst>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0"/>
    <numFmt numFmtId="165" formatCode="_(* #,##0_);_(* \(#,##0\);_(* &quot;-&quot;??_);_(@_)"/>
    <numFmt numFmtId="166" formatCode="[$-410]mmm\-yy;@"/>
    <numFmt numFmtId="167" formatCode="&quot;€&quot;\ #,##0.00"/>
    <numFmt numFmtId="168" formatCode="_-* #,##0.00\ [$€-410]_-;\-* #,##0.00\ [$€-410]_-;_-* &quot;-&quot;??\ [$€-410]_-;_-@_-"/>
    <numFmt numFmtId="169" formatCode="_-* #,##0\ [$€-410]_-;\-* #,##0\ [$€-410]_-;_-* &quot;-&quot;??\ [$€-410]_-;_-@_-"/>
    <numFmt numFmtId="170" formatCode="_-* #,##0.00\ _€_-;\-* #,##0.00\ _€_-;_-* &quot;-&quot;??\ _€_-;_-@_-"/>
    <numFmt numFmtId="171" formatCode="_-* #,##0_-;\-* #,##0_-;_-* &quot;-&quot;??_-;_-@_-"/>
    <numFmt numFmtId="172" formatCode="_-* #,##0.0_-;\-* #,##0.0_-;_-* &quot;-&quot;??_-;_-@_-"/>
    <numFmt numFmtId="173" formatCode="#,##0.00\ &quot;€&quot;"/>
    <numFmt numFmtId="174" formatCode="[$-410]d\ mmmm\ yyyy;@"/>
    <numFmt numFmtId="175" formatCode="&quot;€&quot;\ #,##0"/>
    <numFmt numFmtId="176" formatCode="#,##0.0"/>
    <numFmt numFmtId="177" formatCode="#,##0\ &quot;€&quot;"/>
    <numFmt numFmtId="178" formatCode="mmm"/>
    <numFmt numFmtId="179" formatCode="0.0%"/>
  </numFmts>
  <fonts count="11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
      <b/>
      <sz val="11"/>
      <color rgb="FFFF0000"/>
      <name val="Calibri"/>
      <family val="2"/>
      <scheme val="minor"/>
    </font>
    <font>
      <b/>
      <sz val="14"/>
      <color theme="1"/>
      <name val="Calibri"/>
      <family val="2"/>
      <scheme val="minor"/>
    </font>
    <font>
      <b/>
      <sz val="8"/>
      <color theme="1"/>
      <name val="Calibri"/>
      <family val="2"/>
      <scheme val="minor"/>
    </font>
    <font>
      <sz val="28"/>
      <color theme="1"/>
      <name val="Calibri"/>
      <family val="2"/>
      <scheme val="minor"/>
    </font>
    <font>
      <b/>
      <sz val="16"/>
      <color theme="1"/>
      <name val="Calibri"/>
      <family val="2"/>
      <scheme val="minor"/>
    </font>
    <font>
      <b/>
      <sz val="18"/>
      <color theme="1"/>
      <name val="Calibri"/>
      <family val="2"/>
      <scheme val="minor"/>
    </font>
    <font>
      <b/>
      <sz val="12"/>
      <color theme="1"/>
      <name val="Calibri"/>
      <family val="2"/>
      <scheme val="minor"/>
    </font>
    <font>
      <b/>
      <u/>
      <sz val="11"/>
      <color rgb="FFFF0000"/>
      <name val="Calibri"/>
      <family val="2"/>
      <scheme val="minor"/>
    </font>
    <font>
      <b/>
      <u/>
      <sz val="11"/>
      <color theme="1"/>
      <name val="Calibri"/>
      <family val="2"/>
      <scheme val="minor"/>
    </font>
    <font>
      <b/>
      <sz val="16"/>
      <color theme="1" tint="0.34998626667073579"/>
      <name val="Calibri"/>
      <family val="2"/>
      <scheme val="minor"/>
    </font>
    <font>
      <i/>
      <sz val="11"/>
      <color theme="1"/>
      <name val="Calibri"/>
      <family val="2"/>
      <scheme val="minor"/>
    </font>
    <font>
      <b/>
      <sz val="11"/>
      <color rgb="FF339966"/>
      <name val="Calibri"/>
      <family val="2"/>
      <scheme val="minor"/>
    </font>
    <font>
      <sz val="11"/>
      <name val="Calibri"/>
      <family val="2"/>
      <scheme val="minor"/>
    </font>
    <font>
      <sz val="11"/>
      <color theme="1" tint="0.34998626667073579"/>
      <name val="Calibri"/>
      <family val="2"/>
      <scheme val="minor"/>
    </font>
    <font>
      <sz val="8"/>
      <color theme="1"/>
      <name val="Calibri"/>
      <family val="2"/>
    </font>
    <font>
      <b/>
      <sz val="11"/>
      <color theme="1"/>
      <name val="Calibri"/>
      <family val="2"/>
    </font>
    <font>
      <sz val="11"/>
      <color rgb="FF000000"/>
      <name val="Calibri"/>
      <family val="2"/>
      <scheme val="minor"/>
    </font>
    <font>
      <sz val="11"/>
      <color theme="1"/>
      <name val="Calibri"/>
      <family val="2"/>
    </font>
    <font>
      <sz val="11"/>
      <color rgb="FF000000"/>
      <name val="Calibri"/>
      <family val="2"/>
    </font>
    <font>
      <b/>
      <sz val="11"/>
      <color rgb="FF7030A0"/>
      <name val="Calibri"/>
      <family val="2"/>
      <scheme val="minor"/>
    </font>
    <font>
      <b/>
      <sz val="12"/>
      <color theme="1" tint="0.14999847407452621"/>
      <name val="Calibri"/>
      <family val="2"/>
      <scheme val="minor"/>
    </font>
    <font>
      <b/>
      <sz val="36"/>
      <color theme="1"/>
      <name val="Calibri"/>
      <family val="2"/>
      <scheme val="minor"/>
    </font>
    <font>
      <b/>
      <sz val="20"/>
      <color theme="1"/>
      <name val="Calibri"/>
      <family val="2"/>
      <scheme val="minor"/>
    </font>
    <font>
      <b/>
      <sz val="36"/>
      <color rgb="FFFF0000"/>
      <name val="Calibri"/>
      <family val="2"/>
      <scheme val="minor"/>
    </font>
    <font>
      <b/>
      <sz val="18"/>
      <color theme="0"/>
      <name val="Calibri"/>
      <family val="2"/>
      <scheme val="minor"/>
    </font>
    <font>
      <b/>
      <sz val="11"/>
      <name val="Calibri"/>
      <family val="2"/>
      <scheme val="minor"/>
    </font>
    <font>
      <b/>
      <sz val="16"/>
      <color theme="3"/>
      <name val="Calibri"/>
      <family val="2"/>
      <scheme val="minor"/>
    </font>
    <font>
      <sz val="14"/>
      <color theme="1"/>
      <name val="Calibri"/>
      <family val="2"/>
      <scheme val="minor"/>
    </font>
    <font>
      <sz val="8"/>
      <name val="Calibri"/>
      <family val="2"/>
      <scheme val="minor"/>
    </font>
    <font>
      <b/>
      <sz val="12"/>
      <name val="Calibri"/>
      <family val="2"/>
      <scheme val="minor"/>
    </font>
    <font>
      <sz val="10"/>
      <name val="Arial"/>
      <family val="2"/>
    </font>
    <font>
      <sz val="10"/>
      <name val="Calibri"/>
      <family val="2"/>
      <scheme val="minor"/>
    </font>
    <font>
      <b/>
      <sz val="10"/>
      <color theme="1"/>
      <name val="Arial"/>
      <family val="2"/>
    </font>
    <font>
      <b/>
      <i/>
      <sz val="12"/>
      <color theme="1"/>
      <name val="Calibri"/>
      <family val="2"/>
      <scheme val="minor"/>
    </font>
    <font>
      <sz val="10"/>
      <color theme="1"/>
      <name val="Arial"/>
      <family val="2"/>
    </font>
    <font>
      <b/>
      <sz val="11"/>
      <color theme="1"/>
      <name val="Arial"/>
      <family val="2"/>
    </font>
    <font>
      <sz val="11"/>
      <name val="Arial"/>
      <family val="2"/>
    </font>
    <font>
      <b/>
      <sz val="11"/>
      <color rgb="FF333300"/>
      <name val="Calibri"/>
      <family val="2"/>
      <scheme val="minor"/>
    </font>
    <font>
      <b/>
      <sz val="11"/>
      <color rgb="FF0070C0"/>
      <name val="Arial"/>
      <family val="2"/>
    </font>
    <font>
      <b/>
      <sz val="11"/>
      <name val="Arial"/>
      <family val="2"/>
    </font>
    <font>
      <b/>
      <sz val="11"/>
      <color rgb="FFFF0000"/>
      <name val="Arial"/>
      <family val="2"/>
    </font>
    <font>
      <b/>
      <sz val="11"/>
      <color theme="3"/>
      <name val="Calibri"/>
      <family val="2"/>
      <scheme val="minor"/>
    </font>
    <font>
      <sz val="11"/>
      <color theme="0"/>
      <name val="Calibri"/>
      <family val="2"/>
      <scheme val="minor"/>
    </font>
    <font>
      <sz val="9"/>
      <color theme="1"/>
      <name val="Calibri"/>
      <family val="2"/>
      <scheme val="minor"/>
    </font>
    <font>
      <sz val="14"/>
      <name val="Calibri"/>
      <family val="2"/>
      <scheme val="minor"/>
    </font>
    <font>
      <b/>
      <sz val="16"/>
      <name val="Calibri"/>
      <family val="2"/>
      <scheme val="minor"/>
    </font>
    <font>
      <b/>
      <sz val="10"/>
      <color theme="1"/>
      <name val="Calibri"/>
      <family val="2"/>
      <scheme val="minor"/>
    </font>
    <font>
      <b/>
      <sz val="10"/>
      <name val="Calibri"/>
      <family val="2"/>
      <scheme val="minor"/>
    </font>
    <font>
      <b/>
      <sz val="24"/>
      <color theme="1"/>
      <name val="Calibri"/>
      <family val="2"/>
      <scheme val="minor"/>
    </font>
    <font>
      <b/>
      <sz val="10"/>
      <name val="Calibri"/>
      <family val="2"/>
    </font>
    <font>
      <sz val="10"/>
      <color theme="1"/>
      <name val="Calibri"/>
      <family val="2"/>
      <scheme val="minor"/>
    </font>
    <font>
      <sz val="10"/>
      <color rgb="FF0070C0"/>
      <name val="Calibri"/>
      <family val="2"/>
      <scheme val="minor"/>
    </font>
    <font>
      <b/>
      <sz val="10"/>
      <color theme="1"/>
      <name val="Calibri"/>
      <family val="2"/>
    </font>
    <font>
      <b/>
      <u/>
      <sz val="10"/>
      <name val="Calibri"/>
      <family val="2"/>
    </font>
    <font>
      <b/>
      <u/>
      <sz val="10"/>
      <color theme="1"/>
      <name val="Calibri"/>
      <family val="2"/>
    </font>
    <font>
      <i/>
      <sz val="10"/>
      <color theme="1"/>
      <name val="Calibri"/>
      <family val="2"/>
    </font>
    <font>
      <b/>
      <sz val="14"/>
      <color theme="1"/>
      <name val="Calibri"/>
      <family val="2"/>
    </font>
    <font>
      <sz val="10"/>
      <color theme="1"/>
      <name val="Calibri"/>
      <family val="2"/>
    </font>
    <font>
      <sz val="12"/>
      <color theme="1"/>
      <name val="Calibri"/>
      <family val="2"/>
      <scheme val="minor"/>
    </font>
    <font>
      <sz val="11"/>
      <color theme="3"/>
      <name val="Calibri"/>
      <family val="2"/>
      <scheme val="minor"/>
    </font>
    <font>
      <b/>
      <sz val="12"/>
      <color theme="3"/>
      <name val="Calibri"/>
      <family val="2"/>
      <scheme val="minor"/>
    </font>
    <font>
      <sz val="9"/>
      <name val="Calibri"/>
      <family val="2"/>
      <scheme val="minor"/>
    </font>
    <font>
      <b/>
      <i/>
      <sz val="14"/>
      <color theme="1"/>
      <name val="Calibri"/>
      <family val="2"/>
      <scheme val="minor"/>
    </font>
    <font>
      <sz val="20"/>
      <color theme="1"/>
      <name val="Calibri"/>
      <family val="2"/>
      <scheme val="minor"/>
    </font>
    <font>
      <sz val="20"/>
      <color theme="0"/>
      <name val="Calibri"/>
      <family val="2"/>
      <scheme val="minor"/>
    </font>
    <font>
      <i/>
      <sz val="10"/>
      <color theme="1"/>
      <name val="Calibri"/>
      <family val="2"/>
      <scheme val="minor"/>
    </font>
    <font>
      <b/>
      <sz val="14"/>
      <name val="Arial"/>
      <family val="2"/>
    </font>
    <font>
      <b/>
      <sz val="10"/>
      <name val="Arial"/>
      <family val="2"/>
    </font>
    <font>
      <sz val="12"/>
      <name val="Calibri"/>
      <family val="2"/>
      <scheme val="minor"/>
    </font>
    <font>
      <b/>
      <i/>
      <sz val="11"/>
      <color theme="1"/>
      <name val="Calibri"/>
      <family val="2"/>
      <scheme val="minor"/>
    </font>
    <font>
      <b/>
      <sz val="16"/>
      <name val="Arial"/>
      <family val="2"/>
    </font>
    <font>
      <b/>
      <sz val="16"/>
      <color theme="3"/>
      <name val="Arial"/>
      <family val="2"/>
    </font>
    <font>
      <b/>
      <sz val="28"/>
      <name val="Century Gothic"/>
      <family val="2"/>
    </font>
    <font>
      <sz val="11"/>
      <color theme="1"/>
      <name val="Century Gothic"/>
      <family val="2"/>
    </font>
    <font>
      <b/>
      <sz val="16"/>
      <color theme="1"/>
      <name val="Century Gothic"/>
      <family val="2"/>
    </font>
    <font>
      <b/>
      <sz val="16"/>
      <color theme="1" tint="0.14999847407452621"/>
      <name val="Calibri"/>
      <family val="2"/>
      <scheme val="minor"/>
    </font>
    <font>
      <b/>
      <sz val="18"/>
      <color theme="1" tint="0.14999847407452621"/>
      <name val="Calibri"/>
      <family val="2"/>
      <scheme val="minor"/>
    </font>
    <font>
      <b/>
      <sz val="16"/>
      <color theme="1" tint="0.14999847407452621"/>
      <name val="Calibri"/>
      <family val="2"/>
    </font>
    <font>
      <sz val="10"/>
      <name val="Calibri"/>
      <family val="2"/>
    </font>
    <font>
      <b/>
      <i/>
      <sz val="10"/>
      <name val="Calibri"/>
      <family val="2"/>
    </font>
    <font>
      <i/>
      <sz val="10"/>
      <name val="Calibri"/>
      <family val="2"/>
    </font>
    <font>
      <sz val="11"/>
      <color rgb="FF0070C0"/>
      <name val="Calibri"/>
      <family val="2"/>
      <scheme val="minor"/>
    </font>
    <font>
      <b/>
      <sz val="12"/>
      <color rgb="FF0070C0"/>
      <name val="Calibri"/>
      <family val="2"/>
      <scheme val="minor"/>
    </font>
    <font>
      <sz val="12"/>
      <color theme="1"/>
      <name val="Century Gothic"/>
      <family val="2"/>
    </font>
    <font>
      <b/>
      <sz val="12"/>
      <color theme="1"/>
      <name val="Century Gothic"/>
      <family val="2"/>
    </font>
    <font>
      <sz val="11"/>
      <color rgb="FF000000"/>
      <name val="Century Gothic"/>
      <family val="2"/>
    </font>
    <font>
      <sz val="9"/>
      <color indexed="81"/>
      <name val="Tahoma"/>
      <family val="2"/>
    </font>
    <font>
      <sz val="11"/>
      <color theme="0" tint="-0.499984740745262"/>
      <name val="Calibri"/>
      <family val="2"/>
      <scheme val="minor"/>
    </font>
    <font>
      <sz val="36"/>
      <color theme="1"/>
      <name val="Calibri"/>
      <family val="2"/>
      <scheme val="minor"/>
    </font>
    <font>
      <sz val="16"/>
      <color theme="1"/>
      <name val="Calibri"/>
      <family val="2"/>
      <scheme val="minor"/>
    </font>
    <font>
      <b/>
      <sz val="26"/>
      <color theme="1"/>
      <name val="Calibri"/>
      <family val="2"/>
      <scheme val="minor"/>
    </font>
    <font>
      <b/>
      <sz val="12"/>
      <color theme="3"/>
      <name val="Calibri"/>
      <family val="2"/>
    </font>
    <font>
      <sz val="14"/>
      <color theme="4" tint="0.39997558519241921"/>
      <name val="Calibri"/>
      <family val="2"/>
      <scheme val="minor"/>
    </font>
    <font>
      <i/>
      <sz val="14"/>
      <color theme="4" tint="0.39997558519241921"/>
      <name val="Calibri"/>
      <family val="2"/>
      <scheme val="minor"/>
    </font>
    <font>
      <sz val="14"/>
      <color theme="3"/>
      <name val="Calibri"/>
      <family val="2"/>
      <scheme val="minor"/>
    </font>
    <font>
      <b/>
      <i/>
      <sz val="11"/>
      <color theme="1"/>
      <name val="Arial"/>
      <family val="2"/>
    </font>
    <font>
      <b/>
      <sz val="16"/>
      <color theme="3" tint="0.59999389629810485"/>
      <name val="Calibri"/>
      <family val="2"/>
      <scheme val="minor"/>
    </font>
    <font>
      <b/>
      <sz val="18"/>
      <color theme="3"/>
      <name val="Calibri"/>
      <family val="2"/>
      <scheme val="minor"/>
    </font>
    <font>
      <b/>
      <sz val="20"/>
      <color theme="0"/>
      <name val="Century Gothic"/>
      <family val="2"/>
    </font>
    <font>
      <b/>
      <sz val="11"/>
      <color theme="6" tint="-0.249977111117893"/>
      <name val="Calibri"/>
      <family val="2"/>
      <scheme val="minor"/>
    </font>
    <font>
      <sz val="11"/>
      <color theme="3" tint="-0.249977111117893"/>
      <name val="Calibri"/>
      <family val="2"/>
      <scheme val="minor"/>
    </font>
    <font>
      <b/>
      <sz val="11"/>
      <color theme="3" tint="-0.249977111117893"/>
      <name val="Calibri"/>
      <family val="2"/>
      <scheme val="minor"/>
    </font>
    <font>
      <b/>
      <sz val="10"/>
      <color theme="1"/>
      <name val="Candara"/>
      <family val="2"/>
    </font>
    <font>
      <sz val="10"/>
      <color theme="6" tint="-0.499984740745262"/>
      <name val="Calibri"/>
      <family val="2"/>
    </font>
    <font>
      <sz val="10"/>
      <color theme="3"/>
      <name val="Calibri"/>
      <family val="2"/>
    </font>
    <font>
      <i/>
      <sz val="9"/>
      <color theme="1"/>
      <name val="Candara"/>
      <family val="2"/>
    </font>
    <font>
      <b/>
      <i/>
      <sz val="11"/>
      <color theme="6" tint="-0.499984740745262"/>
      <name val="Calibri"/>
      <family val="2"/>
    </font>
    <font>
      <b/>
      <i/>
      <sz val="11"/>
      <color theme="3"/>
      <name val="Calibri"/>
      <family val="2"/>
    </font>
    <font>
      <sz val="9"/>
      <color theme="0"/>
      <name val="Calibri"/>
      <family val="2"/>
      <scheme val="minor"/>
    </font>
    <font>
      <i/>
      <sz val="10"/>
      <color theme="0"/>
      <name val="Calibri"/>
      <family val="2"/>
      <scheme val="minor"/>
    </font>
    <font>
      <b/>
      <sz val="8"/>
      <color indexed="81"/>
      <name val="Tahoma"/>
      <family val="2"/>
    </font>
    <font>
      <sz val="8"/>
      <color indexed="81"/>
      <name val="Tahoma"/>
      <family val="2"/>
    </font>
    <font>
      <b/>
      <sz val="18"/>
      <color theme="0"/>
      <name val="Century Gothic"/>
      <family val="2"/>
    </font>
    <font>
      <b/>
      <sz val="11"/>
      <color theme="0"/>
      <name val="Calibri"/>
      <family val="2"/>
      <scheme val="minor"/>
    </font>
  </fonts>
  <fills count="5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FCC"/>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rgb="FF99FF99"/>
        <bgColor indexed="64"/>
      </patternFill>
    </fill>
    <fill>
      <patternFill patternType="solid">
        <fgColor rgb="FFD9E1F2"/>
        <bgColor indexed="64"/>
      </patternFill>
    </fill>
    <fill>
      <patternFill patternType="solid">
        <fgColor rgb="FFFFF2CC"/>
        <bgColor indexed="64"/>
      </patternFill>
    </fill>
    <fill>
      <patternFill patternType="solid">
        <fgColor rgb="FFE2EFDA"/>
        <bgColor indexed="64"/>
      </patternFill>
    </fill>
    <fill>
      <patternFill patternType="solid">
        <fgColor rgb="FFEDEDED"/>
        <bgColor indexed="64"/>
      </patternFill>
    </fill>
    <fill>
      <patternFill patternType="solid">
        <fgColor theme="7"/>
        <bgColor indexed="64"/>
      </patternFill>
    </fill>
    <fill>
      <patternFill patternType="solid">
        <fgColor rgb="FFFFFFCC"/>
        <bgColor theme="4" tint="0.79998168889431442"/>
      </patternFill>
    </fill>
    <fill>
      <patternFill patternType="solid">
        <fgColor theme="0" tint="-0.14999847407452621"/>
        <bgColor indexed="64"/>
      </patternFill>
    </fill>
    <fill>
      <patternFill patternType="solid">
        <fgColor theme="0" tint="-0.14999847407452621"/>
        <bgColor theme="4" tint="0.79998168889431442"/>
      </patternFill>
    </fill>
    <fill>
      <patternFill patternType="solid">
        <fgColor theme="8" tint="0.59999389629810485"/>
        <bgColor theme="4" tint="0.79998168889431442"/>
      </patternFill>
    </fill>
    <fill>
      <patternFill patternType="solid">
        <fgColor theme="9" tint="0.59999389629810485"/>
        <bgColor theme="4" tint="0.79998168889431442"/>
      </patternFill>
    </fill>
    <fill>
      <patternFill patternType="solid">
        <fgColor theme="7" tint="0.59999389629810485"/>
        <bgColor theme="4" tint="0.79998168889431442"/>
      </patternFill>
    </fill>
    <fill>
      <patternFill patternType="solid">
        <fgColor rgb="FF92D050"/>
        <bgColor theme="4" tint="0.79998168889431442"/>
      </patternFill>
    </fill>
    <fill>
      <patternFill patternType="solid">
        <fgColor theme="2" tint="-9.9978637043366805E-2"/>
        <bgColor theme="4" tint="0.79998168889431442"/>
      </patternFill>
    </fill>
    <fill>
      <patternFill patternType="solid">
        <fgColor theme="0"/>
        <bgColor theme="4" tint="0.79998168889431442"/>
      </patternFill>
    </fill>
    <fill>
      <patternFill patternType="solid">
        <fgColor theme="4" tint="0.59999389629810485"/>
        <bgColor indexed="64"/>
      </patternFill>
    </fill>
    <fill>
      <patternFill patternType="solid">
        <fgColor theme="7" tint="0.79998168889431442"/>
        <bgColor theme="4" tint="0.79998168889431442"/>
      </patternFill>
    </fill>
    <fill>
      <patternFill patternType="solid">
        <fgColor rgb="FFF4F7FA"/>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9" tint="0.79998168889431442"/>
        <bgColor theme="4" tint="0.79998168889431442"/>
      </patternFill>
    </fill>
    <fill>
      <patternFill patternType="solid">
        <fgColor rgb="FFFFFFFF"/>
        <bgColor indexed="64"/>
      </patternFill>
    </fill>
    <fill>
      <patternFill patternType="solid">
        <fgColor theme="9" tint="0.79998168889431442"/>
        <bgColor indexed="64"/>
      </patternFill>
    </fill>
    <fill>
      <patternFill patternType="gray0625">
        <fgColor theme="0" tint="-0.14996795556505021"/>
        <bgColor indexed="65"/>
      </patternFill>
    </fill>
    <fill>
      <patternFill patternType="gray0625">
        <fgColor theme="0" tint="-4.9989318521683403E-2"/>
        <bgColor indexed="65"/>
      </patternFill>
    </fill>
    <fill>
      <patternFill patternType="solid">
        <fgColor theme="0"/>
        <bgColor theme="0"/>
      </patternFill>
    </fill>
    <fill>
      <patternFill patternType="gray0625">
        <fgColor theme="0" tint="-0.14996795556505021"/>
        <bgColor theme="6" tint="0.79998168889431442"/>
      </patternFill>
    </fill>
    <fill>
      <patternFill patternType="gray0625">
        <fgColor theme="0" tint="-0.14996795556505021"/>
        <bgColor theme="4" tint="0.79998168889431442"/>
      </patternFill>
    </fill>
    <fill>
      <patternFill patternType="gray0625">
        <fgColor theme="0" tint="-0.14996795556505021"/>
        <bgColor theme="7" tint="0.79998168889431442"/>
      </patternFill>
    </fill>
    <fill>
      <patternFill patternType="gray0625">
        <fgColor theme="0" tint="-0.14996795556505021"/>
        <bgColor theme="0" tint="-4.9989318521683403E-2"/>
      </patternFill>
    </fill>
    <fill>
      <patternFill patternType="solid">
        <fgColor theme="6" tint="0.79998168889431442"/>
        <bgColor theme="0"/>
      </patternFill>
    </fill>
    <fill>
      <patternFill patternType="solid">
        <fgColor rgb="FFFBFFF7"/>
        <bgColor indexed="64"/>
      </patternFill>
    </fill>
    <fill>
      <patternFill patternType="gray0625">
        <fgColor theme="0" tint="-0.14996795556505021"/>
        <bgColor theme="0"/>
      </patternFill>
    </fill>
    <fill>
      <patternFill patternType="gray0625">
        <fgColor theme="1"/>
      </patternFill>
    </fill>
    <fill>
      <patternFill patternType="solid">
        <fgColor rgb="FFFFFFFF"/>
        <bgColor theme="0"/>
      </patternFill>
    </fill>
    <fill>
      <patternFill patternType="solid">
        <fgColor indexed="65"/>
        <bgColor theme="0"/>
      </patternFill>
    </fill>
    <fill>
      <patternFill patternType="gray0625">
        <fgColor theme="0" tint="-0.14996795556505021"/>
        <bgColor theme="0" tint="-0.14999847407452621"/>
      </patternFill>
    </fill>
    <fill>
      <patternFill patternType="solid">
        <fgColor rgb="FFFFFFCC"/>
        <bgColor theme="0"/>
      </patternFill>
    </fill>
    <fill>
      <patternFill patternType="gray0625">
        <bgColor theme="3"/>
      </patternFill>
    </fill>
    <fill>
      <patternFill patternType="gray0625">
        <bgColor theme="0"/>
      </patternFill>
    </fill>
    <fill>
      <patternFill patternType="gray0625">
        <fgColor theme="0"/>
        <bgColor theme="0"/>
      </patternFill>
    </fill>
    <fill>
      <patternFill patternType="gray0625">
        <fgColor theme="4" tint="0.79998168889431442"/>
        <bgColor theme="0"/>
      </patternFill>
    </fill>
    <fill>
      <patternFill patternType="solid">
        <fgColor theme="6" tint="0.79992065187536243"/>
        <bgColor theme="0"/>
      </patternFill>
    </fill>
    <fill>
      <patternFill patternType="solid">
        <fgColor theme="7" tint="0.59999389629810485"/>
        <bgColor indexed="64"/>
      </patternFill>
    </fill>
    <fill>
      <patternFill patternType="solid">
        <fgColor theme="7" tint="0.79998168889431442"/>
        <bgColor theme="0"/>
      </patternFill>
    </fill>
    <fill>
      <patternFill patternType="solid">
        <fgColor theme="0" tint="-0.499984740745262"/>
        <bgColor indexed="64"/>
      </patternFill>
    </fill>
    <fill>
      <patternFill patternType="solid">
        <fgColor theme="4"/>
        <bgColor theme="4"/>
      </patternFill>
    </fill>
  </fills>
  <borders count="17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style="thick">
        <color indexed="64"/>
      </right>
      <top/>
      <bottom style="thin">
        <color indexed="64"/>
      </bottom>
      <diagonal/>
    </border>
    <border>
      <left/>
      <right/>
      <top/>
      <bottom style="thin">
        <color theme="9" tint="-0.2499465926084170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theme="9" tint="-0.24994659260841701"/>
      </left>
      <right style="thin">
        <color indexed="64"/>
      </right>
      <top style="thin">
        <color theme="9" tint="-0.24994659260841701"/>
      </top>
      <bottom/>
      <diagonal/>
    </border>
    <border>
      <left style="thin">
        <color indexed="64"/>
      </left>
      <right style="thin">
        <color indexed="64"/>
      </right>
      <top style="thin">
        <color theme="9" tint="-0.24994659260841701"/>
      </top>
      <bottom/>
      <diagonal/>
    </border>
    <border>
      <left style="thin">
        <color indexed="64"/>
      </left>
      <right/>
      <top style="thin">
        <color theme="9" tint="-0.2499465926084170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theme="3"/>
      </left>
      <right style="thin">
        <color theme="3"/>
      </right>
      <top style="thin">
        <color theme="3"/>
      </top>
      <bottom style="thin">
        <color theme="3"/>
      </bottom>
      <diagonal/>
    </border>
    <border>
      <left style="thin">
        <color theme="6" tint="-0.499984740745262"/>
      </left>
      <right style="thin">
        <color theme="6" tint="-0.499984740745262"/>
      </right>
      <top style="thin">
        <color theme="6" tint="-0.499984740745262"/>
      </top>
      <bottom style="thin">
        <color theme="6" tint="-0.499984740745262"/>
      </bottom>
      <diagonal/>
    </border>
    <border>
      <left style="thick">
        <color theme="1" tint="0.24994659260841701"/>
      </left>
      <right/>
      <top style="thick">
        <color theme="1" tint="0.24994659260841701"/>
      </top>
      <bottom style="thin">
        <color indexed="64"/>
      </bottom>
      <diagonal/>
    </border>
    <border>
      <left/>
      <right/>
      <top style="thick">
        <color theme="1" tint="0.24994659260841701"/>
      </top>
      <bottom style="thin">
        <color indexed="64"/>
      </bottom>
      <diagonal/>
    </border>
    <border>
      <left/>
      <right style="medium">
        <color indexed="64"/>
      </right>
      <top style="thick">
        <color theme="1" tint="0.24994659260841701"/>
      </top>
      <bottom style="thin">
        <color indexed="64"/>
      </bottom>
      <diagonal/>
    </border>
    <border>
      <left style="medium">
        <color indexed="64"/>
      </left>
      <right/>
      <top style="thick">
        <color theme="1" tint="0.24994659260841701"/>
      </top>
      <bottom style="thin">
        <color indexed="64"/>
      </bottom>
      <diagonal/>
    </border>
    <border>
      <left style="medium">
        <color indexed="64"/>
      </left>
      <right/>
      <top style="thick">
        <color theme="1" tint="0.24994659260841701"/>
      </top>
      <bottom/>
      <diagonal/>
    </border>
    <border>
      <left/>
      <right/>
      <top style="thick">
        <color theme="1" tint="0.24994659260841701"/>
      </top>
      <bottom/>
      <diagonal/>
    </border>
    <border>
      <left/>
      <right style="thick">
        <color theme="1" tint="0.24994659260841701"/>
      </right>
      <top style="thick">
        <color theme="1" tint="0.24994659260841701"/>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theme="1" tint="0.24994659260841701"/>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ck">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thick">
        <color indexed="64"/>
      </left>
      <right style="medium">
        <color indexed="64"/>
      </right>
      <top/>
      <bottom/>
      <diagonal/>
    </border>
    <border>
      <left style="thin">
        <color indexed="64"/>
      </left>
      <right style="thick">
        <color theme="1" tint="0.24994659260841701"/>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theme="1" tint="0.24994659260841701"/>
      </left>
      <right/>
      <top/>
      <bottom style="thick">
        <color theme="1" tint="0.24994659260841701"/>
      </bottom>
      <diagonal/>
    </border>
    <border>
      <left/>
      <right/>
      <top/>
      <bottom style="thick">
        <color theme="1" tint="0.24994659260841701"/>
      </bottom>
      <diagonal/>
    </border>
    <border>
      <left/>
      <right style="medium">
        <color indexed="64"/>
      </right>
      <top/>
      <bottom style="thick">
        <color theme="1" tint="0.24994659260841701"/>
      </bottom>
      <diagonal/>
    </border>
    <border>
      <left style="medium">
        <color indexed="64"/>
      </left>
      <right/>
      <top/>
      <bottom style="thick">
        <color theme="1" tint="0.24994659260841701"/>
      </bottom>
      <diagonal/>
    </border>
    <border>
      <left/>
      <right/>
      <top/>
      <bottom style="thin">
        <color indexed="64"/>
      </bottom>
      <diagonal/>
    </border>
    <border>
      <left style="thin">
        <color theme="3"/>
      </left>
      <right style="thin">
        <color indexed="64"/>
      </right>
      <top style="thin">
        <color indexed="64"/>
      </top>
      <bottom style="thin">
        <color indexed="64"/>
      </bottom>
      <diagonal/>
    </border>
    <border>
      <left style="thin">
        <color theme="3"/>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ouble">
        <color theme="5"/>
      </right>
      <top style="medium">
        <color indexed="64"/>
      </top>
      <bottom style="medium">
        <color indexed="64"/>
      </bottom>
      <diagonal/>
    </border>
    <border>
      <left style="double">
        <color theme="5"/>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double">
        <color theme="5"/>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double">
        <color theme="5"/>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double">
        <color theme="5"/>
      </left>
      <right style="medium">
        <color indexed="64"/>
      </right>
      <top style="medium">
        <color indexed="64"/>
      </top>
      <bottom style="medium">
        <color indexed="64"/>
      </bottom>
      <diagonal/>
    </border>
    <border>
      <left style="double">
        <color theme="5"/>
      </left>
      <right style="medium">
        <color indexed="64"/>
      </right>
      <top/>
      <bottom style="medium">
        <color indexed="64"/>
      </bottom>
      <diagonal/>
    </border>
    <border>
      <left style="medium">
        <color indexed="64"/>
      </left>
      <right style="medium">
        <color indexed="64"/>
      </right>
      <top/>
      <bottom style="medium">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top/>
      <bottom style="thick">
        <color indexed="64"/>
      </bottom>
      <diagonal/>
    </border>
    <border>
      <left style="thick">
        <color theme="1"/>
      </left>
      <right style="thin">
        <color indexed="64"/>
      </right>
      <top style="thick">
        <color theme="1"/>
      </top>
      <bottom style="thin">
        <color indexed="64"/>
      </bottom>
      <diagonal/>
    </border>
    <border>
      <left style="thin">
        <color indexed="64"/>
      </left>
      <right style="medium">
        <color indexed="64"/>
      </right>
      <top style="thick">
        <color theme="1"/>
      </top>
      <bottom style="thin">
        <color indexed="64"/>
      </bottom>
      <diagonal/>
    </border>
    <border>
      <left style="medium">
        <color indexed="64"/>
      </left>
      <right style="thin">
        <color indexed="64"/>
      </right>
      <top style="thick">
        <color theme="1"/>
      </top>
      <bottom style="thin">
        <color indexed="64"/>
      </bottom>
      <diagonal/>
    </border>
    <border>
      <left style="thin">
        <color indexed="64"/>
      </left>
      <right/>
      <top style="thick">
        <color theme="1"/>
      </top>
      <bottom style="thin">
        <color indexed="64"/>
      </bottom>
      <diagonal/>
    </border>
    <border>
      <left style="thin">
        <color indexed="64"/>
      </left>
      <right style="double">
        <color indexed="64"/>
      </right>
      <top style="thin">
        <color indexed="64"/>
      </top>
      <bottom style="thin">
        <color indexed="64"/>
      </bottom>
      <diagonal/>
    </border>
    <border>
      <left/>
      <right style="thick">
        <color indexed="64"/>
      </right>
      <top style="thick">
        <color indexed="64"/>
      </top>
      <bottom style="thin">
        <color indexed="64"/>
      </bottom>
      <diagonal/>
    </border>
    <border>
      <left style="thick">
        <color theme="1"/>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ck">
        <color indexed="64"/>
      </left>
      <right style="thin">
        <color indexed="64"/>
      </right>
      <top style="thin">
        <color indexed="64"/>
      </top>
      <bottom style="thick">
        <color indexed="64"/>
      </bottom>
      <diagonal/>
    </border>
    <border>
      <left style="thin">
        <color indexed="64"/>
      </left>
      <right style="double">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right style="thick">
        <color indexed="64"/>
      </right>
      <top/>
      <bottom style="thick">
        <color indexed="64"/>
      </bottom>
      <diagonal/>
    </border>
    <border>
      <left/>
      <right style="medium">
        <color indexed="64"/>
      </right>
      <top style="thin">
        <color indexed="64"/>
      </top>
      <bottom style="medium">
        <color indexed="64"/>
      </bottom>
      <diagonal/>
    </border>
    <border>
      <left style="thick">
        <color theme="1"/>
      </left>
      <right style="thin">
        <color indexed="64"/>
      </right>
      <top style="thin">
        <color indexed="64"/>
      </top>
      <bottom style="thick">
        <color theme="1"/>
      </bottom>
      <diagonal/>
    </border>
    <border>
      <left style="thin">
        <color indexed="64"/>
      </left>
      <right style="medium">
        <color indexed="64"/>
      </right>
      <top style="thin">
        <color indexed="64"/>
      </top>
      <bottom style="thick">
        <color theme="1"/>
      </bottom>
      <diagonal/>
    </border>
    <border>
      <left style="medium">
        <color indexed="64"/>
      </left>
      <right style="thin">
        <color indexed="64"/>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theme="1"/>
      </right>
      <top style="thin">
        <color indexed="64"/>
      </top>
      <bottom style="thick">
        <color theme="1"/>
      </bottom>
      <diagonal/>
    </border>
    <border>
      <left style="thick">
        <color theme="1"/>
      </left>
      <right/>
      <top/>
      <bottom/>
      <diagonal/>
    </border>
    <border>
      <left style="thick">
        <color rgb="FFC00000"/>
      </left>
      <right/>
      <top style="thick">
        <color rgb="FFC00000"/>
      </top>
      <bottom style="thick">
        <color rgb="FFC00000"/>
      </bottom>
      <diagonal/>
    </border>
    <border>
      <left/>
      <right/>
      <top style="thick">
        <color rgb="FFC00000"/>
      </top>
      <bottom style="thick">
        <color rgb="FFC00000"/>
      </bottom>
      <diagonal/>
    </border>
    <border>
      <left/>
      <right style="thick">
        <color rgb="FFC00000"/>
      </right>
      <top style="thick">
        <color rgb="FFC00000"/>
      </top>
      <bottom style="thick">
        <color rgb="FFC00000"/>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medium">
        <color indexed="64"/>
      </left>
      <right/>
      <top/>
      <bottom/>
      <diagonal/>
    </border>
    <border>
      <left/>
      <right style="medium">
        <color indexed="64"/>
      </right>
      <top/>
      <bottom/>
      <diagonal/>
    </border>
    <border>
      <left style="thick">
        <color indexed="64"/>
      </left>
      <right/>
      <top/>
      <bottom style="thick">
        <color indexed="64"/>
      </bottom>
      <diagonal/>
    </border>
    <border>
      <left style="medium">
        <color indexed="64"/>
      </left>
      <right/>
      <top/>
      <bottom style="thin">
        <color indexed="64"/>
      </bottom>
      <diagonal/>
    </border>
    <border>
      <left/>
      <right style="thin">
        <color indexed="64"/>
      </right>
      <top style="thick">
        <color indexed="64"/>
      </top>
      <bottom style="thin">
        <color indexed="64"/>
      </bottom>
      <diagonal/>
    </border>
    <border>
      <left style="thick">
        <color rgb="FFD2A000"/>
      </left>
      <right/>
      <top style="thick">
        <color rgb="FFD2A000"/>
      </top>
      <bottom/>
      <diagonal/>
    </border>
    <border>
      <left/>
      <right/>
      <top style="thick">
        <color rgb="FFD2A000"/>
      </top>
      <bottom/>
      <diagonal/>
    </border>
    <border>
      <left/>
      <right style="thick">
        <color rgb="FFD2A000"/>
      </right>
      <top style="thick">
        <color rgb="FFD2A000"/>
      </top>
      <bottom/>
      <diagonal/>
    </border>
    <border>
      <left style="thick">
        <color rgb="FFD2A000"/>
      </left>
      <right/>
      <top/>
      <bottom/>
      <diagonal/>
    </border>
    <border>
      <left/>
      <right style="thick">
        <color rgb="FFD2A000"/>
      </right>
      <top/>
      <bottom/>
      <diagonal/>
    </border>
    <border>
      <left style="thick">
        <color rgb="FFD2A000"/>
      </left>
      <right style="thin">
        <color indexed="64"/>
      </right>
      <top style="thin">
        <color indexed="64"/>
      </top>
      <bottom style="thin">
        <color indexed="64"/>
      </bottom>
      <diagonal/>
    </border>
    <border>
      <left style="thin">
        <color indexed="64"/>
      </left>
      <right style="thick">
        <color rgb="FFD2A000"/>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rgb="FFD2A000"/>
      </left>
      <right style="thin">
        <color indexed="64"/>
      </right>
      <top style="thick">
        <color rgb="FFD2A000"/>
      </top>
      <bottom style="thick">
        <color rgb="FFD2A000"/>
      </bottom>
      <diagonal/>
    </border>
    <border>
      <left style="thick">
        <color rgb="FFD2A000"/>
      </left>
      <right style="thin">
        <color indexed="64"/>
      </right>
      <top/>
      <bottom style="thick">
        <color rgb="FFD2A000"/>
      </bottom>
      <diagonal/>
    </border>
    <border>
      <left style="thin">
        <color indexed="64"/>
      </left>
      <right style="thin">
        <color indexed="64"/>
      </right>
      <top/>
      <bottom style="thick">
        <color rgb="FFD2A000"/>
      </bottom>
      <diagonal/>
    </border>
    <border>
      <left style="thin">
        <color indexed="64"/>
      </left>
      <right style="thick">
        <color rgb="FFD2A000"/>
      </right>
      <top/>
      <bottom style="thick">
        <color rgb="FFD2A000"/>
      </bottom>
      <diagonal/>
    </border>
    <border>
      <left style="thick">
        <color rgb="FFD2A000"/>
      </left>
      <right style="thin">
        <color indexed="64"/>
      </right>
      <top style="thick">
        <color rgb="FFD2A000"/>
      </top>
      <bottom style="thin">
        <color indexed="64"/>
      </bottom>
      <diagonal/>
    </border>
    <border>
      <left style="thin">
        <color indexed="64"/>
      </left>
      <right style="thin">
        <color indexed="64"/>
      </right>
      <top style="thick">
        <color rgb="FFD2A000"/>
      </top>
      <bottom style="thin">
        <color indexed="64"/>
      </bottom>
      <diagonal/>
    </border>
    <border>
      <left style="thin">
        <color indexed="64"/>
      </left>
      <right style="thick">
        <color rgb="FFD2A000"/>
      </right>
      <top style="thick">
        <color rgb="FFD2A000"/>
      </top>
      <bottom style="thin">
        <color indexed="64"/>
      </bottom>
      <diagonal/>
    </border>
    <border>
      <left style="thick">
        <color rgb="FFD2A000"/>
      </left>
      <right style="thin">
        <color indexed="64"/>
      </right>
      <top style="thin">
        <color indexed="64"/>
      </top>
      <bottom/>
      <diagonal/>
    </border>
    <border>
      <left style="thin">
        <color indexed="64"/>
      </left>
      <right style="thick">
        <color rgb="FFD2A000"/>
      </right>
      <top style="thin">
        <color indexed="64"/>
      </top>
      <bottom/>
      <diagonal/>
    </border>
    <border>
      <left style="medium">
        <color indexed="64"/>
      </left>
      <right style="medium">
        <color indexed="64"/>
      </right>
      <top style="thin">
        <color indexed="64"/>
      </top>
      <bottom style="medium">
        <color indexed="64"/>
      </bottom>
      <diagonal/>
    </border>
    <border>
      <left style="double">
        <color theme="3"/>
      </left>
      <right style="thin">
        <color indexed="64"/>
      </right>
      <top style="medium">
        <color theme="3"/>
      </top>
      <bottom/>
      <diagonal/>
    </border>
    <border>
      <left style="thin">
        <color indexed="64"/>
      </left>
      <right style="thin">
        <color indexed="64"/>
      </right>
      <top style="medium">
        <color theme="3"/>
      </top>
      <bottom/>
      <diagonal/>
    </border>
    <border>
      <left/>
      <right style="medium">
        <color theme="3"/>
      </right>
      <top style="medium">
        <color theme="3"/>
      </top>
      <bottom/>
      <diagonal/>
    </border>
    <border>
      <left style="double">
        <color theme="3"/>
      </left>
      <right style="thin">
        <color indexed="64"/>
      </right>
      <top style="thin">
        <color indexed="64"/>
      </top>
      <bottom style="thin">
        <color indexed="64"/>
      </bottom>
      <diagonal/>
    </border>
    <border>
      <left style="thin">
        <color indexed="64"/>
      </left>
      <right style="medium">
        <color theme="3"/>
      </right>
      <top style="thin">
        <color indexed="64"/>
      </top>
      <bottom style="thin">
        <color indexed="64"/>
      </bottom>
      <diagonal/>
    </border>
    <border>
      <left style="double">
        <color theme="3"/>
      </left>
      <right style="thin">
        <color indexed="64"/>
      </right>
      <top style="thin">
        <color indexed="64"/>
      </top>
      <bottom/>
      <diagonal/>
    </border>
    <border>
      <left style="thin">
        <color indexed="64"/>
      </left>
      <right style="medium">
        <color theme="3"/>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theme="3"/>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medium">
        <color indexed="64"/>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double">
        <color theme="3"/>
      </left>
      <right style="thin">
        <color indexed="64"/>
      </right>
      <top style="double">
        <color indexed="64"/>
      </top>
      <bottom style="medium">
        <color theme="3"/>
      </bottom>
      <diagonal/>
    </border>
    <border>
      <left style="thin">
        <color indexed="64"/>
      </left>
      <right style="thin">
        <color indexed="64"/>
      </right>
      <top style="double">
        <color indexed="64"/>
      </top>
      <bottom style="medium">
        <color theme="3"/>
      </bottom>
      <diagonal/>
    </border>
    <border>
      <left style="thin">
        <color indexed="64"/>
      </left>
      <right style="medium">
        <color theme="3"/>
      </right>
      <top style="double">
        <color indexed="64"/>
      </top>
      <bottom style="medium">
        <color theme="3"/>
      </bottom>
      <diagonal/>
    </border>
    <border>
      <left/>
      <right/>
      <top style="double">
        <color indexed="64"/>
      </top>
      <bottom style="thin">
        <color indexed="64"/>
      </bottom>
      <diagonal/>
    </border>
    <border>
      <left/>
      <right style="thick">
        <color rgb="FFFF0000"/>
      </right>
      <top/>
      <bottom/>
      <diagonal/>
    </border>
    <border>
      <left style="thin">
        <color indexed="64"/>
      </left>
      <right style="thick">
        <color rgb="FFFF0000"/>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9">
    <xf numFmtId="0" fontId="0" fillId="0" borderId="0"/>
    <xf numFmtId="43" fontId="1" fillId="0" borderId="0" applyFont="0" applyFill="0" applyBorder="0" applyAlignment="0" applyProtection="0"/>
    <xf numFmtId="170" fontId="35" fillId="0" borderId="0" applyFont="0" applyFill="0" applyBorder="0" applyAlignment="0" applyProtection="0"/>
    <xf numFmtId="170" fontId="35" fillId="0" borderId="0" applyFont="0" applyFill="0" applyBorder="0" applyAlignment="0" applyProtection="0"/>
    <xf numFmtId="0" fontId="1" fillId="0" borderId="0"/>
    <xf numFmtId="0" fontId="1" fillId="0" borderId="0"/>
    <xf numFmtId="0" fontId="1" fillId="0" borderId="0"/>
    <xf numFmtId="0" fontId="35" fillId="0" borderId="0"/>
    <xf numFmtId="0" fontId="35" fillId="0" borderId="0"/>
  </cellStyleXfs>
  <cellXfs count="678">
    <xf numFmtId="0" fontId="0" fillId="0" borderId="0" xfId="0"/>
    <xf numFmtId="0" fontId="0" fillId="2" borderId="0" xfId="0" applyFill="1" applyAlignment="1" applyProtection="1">
      <alignment wrapText="1"/>
      <protection locked="0"/>
    </xf>
    <xf numFmtId="0" fontId="4" fillId="2" borderId="0" xfId="0" applyFont="1" applyFill="1" applyAlignment="1" applyProtection="1">
      <alignment wrapText="1"/>
      <protection locked="0"/>
    </xf>
    <xf numFmtId="0" fontId="0" fillId="2" borderId="0" xfId="0" applyFill="1" applyAlignment="1" applyProtection="1">
      <alignment horizontal="center" wrapText="1"/>
      <protection locked="0"/>
    </xf>
    <xf numFmtId="0" fontId="3" fillId="2" borderId="0" xfId="0" applyFont="1" applyFill="1" applyAlignment="1" applyProtection="1">
      <alignment horizontal="center" wrapText="1"/>
      <protection locked="0"/>
    </xf>
    <xf numFmtId="0" fontId="0" fillId="2" borderId="0" xfId="0" applyFill="1" applyAlignment="1" applyProtection="1">
      <alignment horizontal="left" wrapText="1"/>
      <protection locked="0"/>
    </xf>
    <xf numFmtId="0" fontId="5" fillId="0" borderId="0" xfId="0" applyFont="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alignment horizontal="left"/>
      <protection locked="0"/>
    </xf>
    <xf numFmtId="0" fontId="0" fillId="2" borderId="0" xfId="0" applyFill="1" applyAlignment="1" applyProtection="1">
      <alignment horizontal="left"/>
      <protection locked="0"/>
    </xf>
    <xf numFmtId="0" fontId="0" fillId="2" borderId="0" xfId="0" applyFill="1" applyAlignment="1" applyProtection="1">
      <alignment horizontal="center"/>
      <protection locked="0"/>
    </xf>
    <xf numFmtId="0" fontId="0" fillId="2" borderId="0" xfId="0" applyFill="1" applyProtection="1">
      <protection locked="0"/>
    </xf>
    <xf numFmtId="0" fontId="0" fillId="2" borderId="0" xfId="0" applyFill="1" applyAlignment="1" applyProtection="1">
      <alignment horizontal="center" vertical="center"/>
      <protection locked="0"/>
    </xf>
    <xf numFmtId="0" fontId="6" fillId="2" borderId="0" xfId="0" applyFont="1" applyFill="1" applyAlignment="1">
      <alignment vertical="center"/>
    </xf>
    <xf numFmtId="0" fontId="0" fillId="0" borderId="0" xfId="0" applyProtection="1">
      <protection locked="0"/>
    </xf>
    <xf numFmtId="0" fontId="3" fillId="2" borderId="0" xfId="0" applyFont="1" applyFill="1" applyAlignment="1" applyProtection="1">
      <alignment wrapText="1"/>
      <protection locked="0"/>
    </xf>
    <xf numFmtId="0" fontId="7" fillId="2" borderId="0" xfId="0" applyFont="1" applyFill="1" applyAlignment="1" applyProtection="1">
      <alignment wrapText="1"/>
      <protection locked="0"/>
    </xf>
    <xf numFmtId="165" fontId="3" fillId="4" borderId="0" xfId="1" applyNumberFormat="1" applyFont="1" applyFill="1" applyAlignment="1" applyProtection="1">
      <alignment horizontal="center"/>
      <protection locked="0"/>
    </xf>
    <xf numFmtId="0" fontId="6" fillId="4" borderId="1" xfId="0" applyFont="1" applyFill="1" applyBorder="1" applyAlignment="1" applyProtection="1">
      <alignment horizontal="center" vertical="center" wrapText="1"/>
      <protection locked="0"/>
    </xf>
    <xf numFmtId="0" fontId="11" fillId="4" borderId="1" xfId="0" applyFont="1" applyFill="1" applyBorder="1" applyAlignment="1" applyProtection="1">
      <alignment horizontal="center" vertical="center" wrapText="1"/>
      <protection locked="0"/>
    </xf>
    <xf numFmtId="0" fontId="11" fillId="4" borderId="1" xfId="0" applyFont="1" applyFill="1" applyBorder="1" applyAlignment="1" applyProtection="1">
      <alignment horizontal="left" vertical="center" wrapText="1"/>
      <protection locked="0"/>
    </xf>
    <xf numFmtId="0" fontId="14" fillId="0" borderId="1" xfId="0" applyFont="1" applyBorder="1" applyAlignment="1" applyProtection="1">
      <alignment horizontal="center" vertical="center" wrapText="1"/>
      <protection locked="0"/>
    </xf>
    <xf numFmtId="167" fontId="0" fillId="0" borderId="1" xfId="0" applyNumberFormat="1" applyBorder="1" applyAlignment="1">
      <alignment horizontal="center" vertical="center" wrapText="1"/>
    </xf>
    <xf numFmtId="167" fontId="15" fillId="0" borderId="1" xfId="0" applyNumberFormat="1" applyFont="1" applyBorder="1" applyAlignment="1">
      <alignment horizontal="center" vertical="center" wrapText="1"/>
    </xf>
    <xf numFmtId="0" fontId="0" fillId="0" borderId="11" xfId="0" applyBorder="1" applyAlignment="1" applyProtection="1">
      <alignment horizontal="center" vertical="center"/>
      <protection locked="0"/>
    </xf>
    <xf numFmtId="0" fontId="0" fillId="11" borderId="9" xfId="0" applyFill="1" applyBorder="1" applyAlignment="1">
      <alignment horizontal="center" vertical="center"/>
    </xf>
    <xf numFmtId="0" fontId="0" fillId="9" borderId="9" xfId="0" applyFill="1" applyBorder="1" applyAlignment="1">
      <alignment horizontal="center" vertical="center"/>
    </xf>
    <xf numFmtId="167" fontId="0" fillId="0" borderId="12" xfId="0" applyNumberFormat="1" applyBorder="1" applyAlignment="1">
      <alignment horizontal="center" vertical="center"/>
    </xf>
    <xf numFmtId="0" fontId="0" fillId="10" borderId="9" xfId="0" applyFill="1" applyBorder="1" applyAlignment="1">
      <alignment horizontal="center" vertical="center"/>
    </xf>
    <xf numFmtId="167" fontId="0" fillId="10" borderId="9" xfId="0" applyNumberFormat="1" applyFill="1" applyBorder="1" applyAlignment="1">
      <alignment horizontal="center" vertical="center"/>
    </xf>
    <xf numFmtId="167" fontId="17" fillId="10" borderId="12" xfId="0" applyNumberFormat="1" applyFont="1" applyFill="1" applyBorder="1" applyAlignment="1">
      <alignment horizontal="center" vertical="center"/>
    </xf>
    <xf numFmtId="0" fontId="18" fillId="0" borderId="1" xfId="0" applyFont="1" applyBorder="1" applyAlignment="1">
      <alignment horizontal="center" vertical="center"/>
    </xf>
    <xf numFmtId="167" fontId="18" fillId="0" borderId="1" xfId="0" applyNumberFormat="1" applyFont="1" applyBorder="1" applyAlignment="1">
      <alignment horizontal="center" vertical="center"/>
    </xf>
    <xf numFmtId="167" fontId="18" fillId="0" borderId="9" xfId="0" applyNumberFormat="1" applyFont="1" applyBorder="1" applyAlignment="1">
      <alignment horizontal="center" vertical="center"/>
    </xf>
    <xf numFmtId="0" fontId="0" fillId="0" borderId="9"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21" fillId="0" borderId="11" xfId="0" applyFont="1" applyBorder="1" applyAlignment="1">
      <alignment horizontal="center" vertical="center"/>
    </xf>
    <xf numFmtId="0" fontId="21" fillId="0" borderId="9" xfId="0" applyFont="1" applyBorder="1" applyAlignment="1">
      <alignment horizontal="center" vertical="center"/>
    </xf>
    <xf numFmtId="0" fontId="21" fillId="0" borderId="4" xfId="0" applyFont="1" applyBorder="1" applyAlignment="1">
      <alignment horizontal="center" vertical="center"/>
    </xf>
    <xf numFmtId="0" fontId="21" fillId="0" borderId="1" xfId="0" applyFont="1" applyBorder="1" applyAlignment="1">
      <alignment horizontal="center" vertical="center"/>
    </xf>
    <xf numFmtId="0" fontId="23" fillId="0" borderId="9" xfId="0" applyFont="1" applyBorder="1"/>
    <xf numFmtId="0" fontId="23" fillId="0" borderId="11" xfId="0" applyFont="1" applyBorder="1"/>
    <xf numFmtId="0" fontId="0" fillId="12" borderId="0" xfId="0" applyFill="1" applyProtection="1">
      <protection locked="0"/>
    </xf>
    <xf numFmtId="0" fontId="21" fillId="0" borderId="4" xfId="0"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168" fontId="0" fillId="0" borderId="4" xfId="0" applyNumberFormat="1" applyBorder="1" applyAlignment="1" applyProtection="1">
      <alignment horizontal="center" vertical="center"/>
      <protection locked="0"/>
    </xf>
    <xf numFmtId="168" fontId="0" fillId="0" borderId="1" xfId="0" applyNumberFormat="1" applyBorder="1" applyAlignment="1" applyProtection="1">
      <alignment horizontal="center" vertical="center"/>
      <protection locked="0"/>
    </xf>
    <xf numFmtId="0" fontId="0" fillId="0" borderId="0" xfId="0" applyAlignment="1" applyProtection="1">
      <alignment wrapText="1"/>
      <protection locked="0"/>
    </xf>
    <xf numFmtId="0" fontId="4" fillId="0" borderId="0" xfId="0" applyFont="1" applyAlignment="1" applyProtection="1">
      <alignment wrapText="1"/>
      <protection locked="0"/>
    </xf>
    <xf numFmtId="0" fontId="0" fillId="0" borderId="0" xfId="0" applyAlignment="1" applyProtection="1">
      <alignment horizontal="center" wrapText="1"/>
      <protection locked="0"/>
    </xf>
    <xf numFmtId="0" fontId="5" fillId="0" borderId="0" xfId="0" applyFont="1" applyAlignment="1" applyProtection="1">
      <alignment horizontal="center" wrapText="1"/>
      <protection locked="0"/>
    </xf>
    <xf numFmtId="0" fontId="0" fillId="0" borderId="0" xfId="0" applyAlignment="1" applyProtection="1">
      <alignment horizontal="left" wrapText="1"/>
      <protection locked="0"/>
    </xf>
    <xf numFmtId="0" fontId="25" fillId="13" borderId="13" xfId="0" applyFont="1" applyFill="1" applyBorder="1" applyAlignment="1" applyProtection="1">
      <alignment horizontal="center" vertical="center"/>
      <protection locked="0"/>
    </xf>
    <xf numFmtId="0" fontId="25" fillId="14" borderId="13" xfId="0" applyFont="1" applyFill="1" applyBorder="1" applyAlignment="1" applyProtection="1">
      <alignment horizontal="center" vertical="center"/>
      <protection locked="0"/>
    </xf>
    <xf numFmtId="0" fontId="25" fillId="15" borderId="13" xfId="0" applyFont="1" applyFill="1" applyBorder="1" applyAlignment="1" applyProtection="1">
      <alignment horizontal="center" vertical="center"/>
      <protection locked="0"/>
    </xf>
    <xf numFmtId="0" fontId="25" fillId="16" borderId="13" xfId="0" applyFont="1" applyFill="1" applyBorder="1" applyAlignment="1" applyProtection="1">
      <alignment horizontal="center" vertical="center"/>
      <protection locked="0"/>
    </xf>
    <xf numFmtId="164" fontId="25" fillId="3" borderId="14" xfId="0" applyNumberFormat="1" applyFont="1" applyFill="1" applyBorder="1" applyAlignment="1" applyProtection="1">
      <alignment horizontal="center" vertical="center"/>
      <protection locked="0"/>
    </xf>
    <xf numFmtId="164" fontId="25" fillId="3" borderId="7" xfId="0" applyNumberFormat="1" applyFont="1" applyFill="1" applyBorder="1" applyAlignment="1" applyProtection="1">
      <alignment horizontal="center" vertical="center"/>
      <protection locked="0"/>
    </xf>
    <xf numFmtId="164" fontId="25" fillId="3" borderId="8" xfId="0" applyNumberFormat="1" applyFont="1" applyFill="1" applyBorder="1" applyAlignment="1" applyProtection="1">
      <alignment horizontal="center" vertical="center"/>
      <protection locked="0"/>
    </xf>
    <xf numFmtId="164" fontId="25" fillId="3" borderId="1" xfId="0" applyNumberFormat="1" applyFont="1" applyFill="1" applyBorder="1" applyAlignment="1" applyProtection="1">
      <alignment horizontal="center" vertical="center"/>
      <protection locked="0"/>
    </xf>
    <xf numFmtId="164" fontId="25" fillId="0" borderId="0" xfId="0" applyNumberFormat="1" applyFont="1" applyAlignment="1" applyProtection="1">
      <alignment horizontal="center" vertical="center"/>
      <protection locked="0"/>
    </xf>
    <xf numFmtId="0" fontId="3" fillId="0" borderId="0" xfId="0" applyFont="1" applyAlignment="1" applyProtection="1">
      <alignment horizontal="center" wrapText="1"/>
      <protection locked="0"/>
    </xf>
    <xf numFmtId="0" fontId="0" fillId="0" borderId="0" xfId="0" applyAlignment="1" applyProtection="1">
      <alignment horizontal="center" vertical="center"/>
      <protection locked="0"/>
    </xf>
    <xf numFmtId="0" fontId="0" fillId="2" borderId="0" xfId="0" applyFill="1"/>
    <xf numFmtId="0" fontId="27" fillId="0" borderId="0" xfId="0" applyFont="1" applyAlignment="1">
      <alignment horizontal="center"/>
    </xf>
    <xf numFmtId="0" fontId="29" fillId="0" borderId="1" xfId="0" applyFont="1" applyBorder="1" applyAlignment="1">
      <alignment horizontal="center" vertical="center"/>
    </xf>
    <xf numFmtId="0" fontId="29" fillId="0" borderId="15" xfId="0" applyFont="1" applyBorder="1" applyAlignment="1">
      <alignment horizontal="center" vertical="center"/>
    </xf>
    <xf numFmtId="0" fontId="30" fillId="0" borderId="0" xfId="0" applyFont="1" applyAlignment="1">
      <alignment horizontal="center"/>
    </xf>
    <xf numFmtId="0" fontId="3" fillId="4" borderId="0" xfId="0" applyFont="1" applyFill="1"/>
    <xf numFmtId="0" fontId="9" fillId="0" borderId="1" xfId="0" applyFont="1" applyBorder="1" applyAlignment="1">
      <alignment horizontal="right" vertical="center" wrapText="1"/>
    </xf>
    <xf numFmtId="167" fontId="31" fillId="0" borderId="1" xfId="0" applyNumberFormat="1" applyFont="1" applyBorder="1" applyAlignment="1">
      <alignment horizontal="center" vertical="center" wrapText="1"/>
    </xf>
    <xf numFmtId="0" fontId="32"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0" fillId="0" borderId="4" xfId="0" applyBorder="1"/>
    <xf numFmtId="0" fontId="3" fillId="0" borderId="1" xfId="0" applyFont="1" applyBorder="1" applyAlignment="1">
      <alignment wrapText="1"/>
    </xf>
    <xf numFmtId="0" fontId="0" fillId="0" borderId="1" xfId="0" applyBorder="1" applyAlignment="1">
      <alignment wrapText="1"/>
    </xf>
    <xf numFmtId="0" fontId="0" fillId="0" borderId="1" xfId="0" applyBorder="1"/>
    <xf numFmtId="0" fontId="3" fillId="0" borderId="1" xfId="0" applyFont="1" applyBorder="1"/>
    <xf numFmtId="0" fontId="3" fillId="0" borderId="1" xfId="0" applyFont="1" applyBorder="1" applyAlignment="1">
      <alignment vertical="center" wrapText="1"/>
    </xf>
    <xf numFmtId="0" fontId="20" fillId="0" borderId="1" xfId="0" applyFont="1" applyBorder="1" applyAlignment="1">
      <alignment wrapText="1"/>
    </xf>
    <xf numFmtId="0" fontId="3" fillId="0" borderId="1" xfId="0" applyFont="1" applyBorder="1" applyAlignment="1">
      <alignment horizontal="left" vertical="center" wrapText="1"/>
    </xf>
    <xf numFmtId="0" fontId="0" fillId="0" borderId="1" xfId="0" applyBorder="1" applyAlignment="1">
      <alignment vertical="center" wrapText="1"/>
    </xf>
    <xf numFmtId="0" fontId="3" fillId="0" borderId="15" xfId="0" applyFont="1" applyBorder="1" applyAlignment="1">
      <alignment wrapText="1"/>
    </xf>
    <xf numFmtId="0" fontId="0" fillId="0" borderId="0" xfId="0" applyAlignment="1">
      <alignment horizontal="center" vertical="center" wrapText="1"/>
    </xf>
    <xf numFmtId="0" fontId="0" fillId="0" borderId="0" xfId="0" applyAlignment="1">
      <alignment horizontal="center"/>
    </xf>
    <xf numFmtId="0" fontId="3" fillId="4" borderId="0" xfId="0" applyFont="1" applyFill="1" applyAlignment="1">
      <alignment wrapText="1"/>
    </xf>
    <xf numFmtId="0" fontId="34" fillId="0" borderId="0" xfId="0" applyFont="1"/>
    <xf numFmtId="49" fontId="34" fillId="0" borderId="0" xfId="0" applyNumberFormat="1" applyFont="1"/>
    <xf numFmtId="49" fontId="34" fillId="0" borderId="0" xfId="0" applyNumberFormat="1" applyFont="1" applyAlignment="1" applyProtection="1">
      <alignment horizontal="center" vertical="center"/>
      <protection locked="0"/>
    </xf>
    <xf numFmtId="49" fontId="34" fillId="0" borderId="0" xfId="0" applyNumberFormat="1" applyFont="1" applyAlignment="1" applyProtection="1">
      <alignment horizontal="center"/>
      <protection locked="0"/>
    </xf>
    <xf numFmtId="0" fontId="34" fillId="0" borderId="0" xfId="0" applyFont="1" applyAlignment="1" applyProtection="1">
      <alignment horizontal="center"/>
      <protection locked="0"/>
    </xf>
    <xf numFmtId="0" fontId="11" fillId="0" borderId="0" xfId="0" applyFont="1" applyAlignment="1" applyProtection="1">
      <alignment horizontal="center" vertical="center"/>
      <protection locked="0"/>
    </xf>
    <xf numFmtId="14" fontId="10" fillId="4" borderId="17" xfId="0" applyNumberFormat="1" applyFont="1" applyFill="1" applyBorder="1" applyAlignment="1" applyProtection="1">
      <alignment horizontal="center" vertical="center"/>
      <protection locked="0"/>
    </xf>
    <xf numFmtId="0" fontId="17" fillId="7" borderId="0" xfId="0" applyFont="1" applyFill="1"/>
    <xf numFmtId="2" fontId="0" fillId="7" borderId="0" xfId="0" applyNumberFormat="1" applyFill="1" applyAlignment="1">
      <alignment horizontal="center"/>
    </xf>
    <xf numFmtId="0" fontId="35" fillId="0" borderId="0" xfId="0" applyFont="1" applyAlignment="1">
      <alignment vertical="top"/>
    </xf>
    <xf numFmtId="169" fontId="35" fillId="0" borderId="0" xfId="0" applyNumberFormat="1" applyFont="1" applyAlignment="1">
      <alignment horizontal="center"/>
    </xf>
    <xf numFmtId="168" fontId="35" fillId="0" borderId="0" xfId="2" applyNumberFormat="1" applyFont="1" applyFill="1" applyBorder="1" applyAlignment="1">
      <alignment horizontal="center"/>
    </xf>
    <xf numFmtId="0" fontId="36" fillId="0" borderId="0" xfId="0" applyFont="1" applyAlignment="1">
      <alignment wrapText="1"/>
    </xf>
    <xf numFmtId="0" fontId="0" fillId="0" borderId="1" xfId="0" applyBorder="1" applyAlignment="1" applyProtection="1">
      <alignment horizontal="center" vertical="center" wrapText="1"/>
      <protection locked="0"/>
    </xf>
    <xf numFmtId="0" fontId="17" fillId="0" borderId="1" xfId="0" applyFont="1" applyBorder="1" applyAlignment="1" applyProtection="1">
      <alignment horizontal="center" vertical="center" wrapText="1"/>
      <protection locked="0"/>
    </xf>
    <xf numFmtId="0" fontId="4" fillId="0" borderId="1" xfId="0" applyFont="1" applyBorder="1" applyAlignment="1" applyProtection="1">
      <alignment horizontal="left" vertical="center" wrapText="1"/>
      <protection locked="0"/>
    </xf>
    <xf numFmtId="0" fontId="3" fillId="0" borderId="1" xfId="0" applyFont="1" applyBorder="1" applyAlignment="1" applyProtection="1">
      <alignment horizontal="center" vertical="center" wrapText="1"/>
      <protection locked="0"/>
    </xf>
    <xf numFmtId="0" fontId="0" fillId="0" borderId="1" xfId="0" applyBorder="1" applyAlignment="1" applyProtection="1">
      <alignment horizontal="left" vertical="center" wrapText="1"/>
      <protection locked="0"/>
    </xf>
    <xf numFmtId="0" fontId="16" fillId="0" borderId="10" xfId="0" applyFont="1" applyBorder="1" applyAlignment="1" applyProtection="1">
      <alignment horizontal="center" vertical="center" wrapText="1"/>
      <protection locked="0"/>
    </xf>
    <xf numFmtId="0" fontId="19" fillId="0" borderId="1" xfId="0" applyFont="1" applyBorder="1" applyAlignment="1" applyProtection="1">
      <alignment horizontal="left" vertical="center" wrapText="1"/>
      <protection locked="0"/>
    </xf>
    <xf numFmtId="0" fontId="20" fillId="0" borderId="1" xfId="0" applyFont="1" applyBorder="1" applyAlignment="1" applyProtection="1">
      <alignment horizontal="center" vertical="center" wrapText="1"/>
      <protection locked="0"/>
    </xf>
    <xf numFmtId="0" fontId="22" fillId="0" borderId="1" xfId="0" applyFont="1" applyBorder="1" applyAlignment="1" applyProtection="1">
      <alignment horizontal="left" vertical="center" wrapText="1"/>
      <protection locked="0"/>
    </xf>
    <xf numFmtId="0" fontId="24" fillId="0" borderId="10"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0" fillId="2" borderId="6" xfId="0" applyFill="1" applyBorder="1" applyAlignment="1" applyProtection="1">
      <alignment horizontal="center" wrapText="1"/>
      <protection locked="0"/>
    </xf>
    <xf numFmtId="0" fontId="3" fillId="4" borderId="6" xfId="0" applyFont="1" applyFill="1" applyBorder="1" applyAlignment="1" applyProtection="1">
      <alignment horizontal="center" wrapText="1"/>
      <protection locked="0"/>
    </xf>
    <xf numFmtId="0" fontId="0" fillId="0" borderId="9" xfId="0" applyBorder="1" applyAlignment="1" applyProtection="1">
      <alignment horizontal="center" vertical="center" wrapText="1"/>
      <protection locked="0"/>
    </xf>
    <xf numFmtId="167" fontId="0" fillId="0" borderId="9" xfId="0" applyNumberFormat="1" applyBorder="1" applyAlignment="1">
      <alignment horizontal="center" vertical="center" wrapText="1"/>
    </xf>
    <xf numFmtId="167" fontId="15" fillId="0" borderId="9" xfId="0" applyNumberFormat="1" applyFont="1" applyBorder="1" applyAlignment="1">
      <alignment horizontal="center" vertical="center" wrapText="1"/>
    </xf>
    <xf numFmtId="0" fontId="4" fillId="0" borderId="9" xfId="0" applyFont="1" applyBorder="1" applyAlignment="1" applyProtection="1">
      <alignment horizontal="left" vertical="center" wrapText="1"/>
      <protection locked="0"/>
    </xf>
    <xf numFmtId="0" fontId="3" fillId="0" borderId="9" xfId="0" applyFont="1" applyBorder="1" applyAlignment="1" applyProtection="1">
      <alignment horizontal="center" vertical="center" wrapText="1"/>
      <protection locked="0"/>
    </xf>
    <xf numFmtId="0" fontId="0" fillId="0" borderId="9" xfId="0" applyBorder="1" applyAlignment="1" applyProtection="1">
      <alignment horizontal="left" vertical="center" wrapText="1"/>
      <protection locked="0"/>
    </xf>
    <xf numFmtId="0" fontId="16" fillId="0" borderId="19" xfId="0" applyFont="1" applyBorder="1" applyAlignment="1" applyProtection="1">
      <alignment horizontal="center" vertical="center" wrapText="1"/>
      <protection locked="0"/>
    </xf>
    <xf numFmtId="0" fontId="18" fillId="0" borderId="9" xfId="0" applyFont="1" applyBorder="1" applyAlignment="1">
      <alignment horizontal="center" vertical="center"/>
    </xf>
    <xf numFmtId="166" fontId="9" fillId="7" borderId="1" xfId="0" applyNumberFormat="1" applyFont="1" applyFill="1" applyBorder="1" applyAlignment="1" applyProtection="1">
      <alignment horizontal="center" vertical="center"/>
      <protection locked="0"/>
    </xf>
    <xf numFmtId="17" fontId="9" fillId="7" borderId="1" xfId="0" applyNumberFormat="1" applyFont="1" applyFill="1" applyBorder="1" applyAlignment="1" applyProtection="1">
      <alignment horizontal="center" vertical="center"/>
      <protection locked="0"/>
    </xf>
    <xf numFmtId="0" fontId="3" fillId="8" borderId="1" xfId="0" applyFont="1" applyFill="1" applyBorder="1" applyAlignment="1">
      <alignment horizontal="center" vertical="center" wrapText="1"/>
    </xf>
    <xf numFmtId="17" fontId="3" fillId="9" borderId="1" xfId="0" applyNumberFormat="1"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10" borderId="1" xfId="0" applyFont="1" applyFill="1" applyBorder="1" applyAlignment="1">
      <alignment horizontal="center" vertical="center" wrapText="1"/>
    </xf>
    <xf numFmtId="0" fontId="3" fillId="10" borderId="1" xfId="0" applyFont="1" applyFill="1" applyBorder="1" applyAlignment="1" applyProtection="1">
      <alignment horizontal="center" vertical="center" wrapText="1"/>
      <protection locked="0"/>
    </xf>
    <xf numFmtId="0" fontId="0" fillId="10" borderId="1" xfId="0" applyFill="1" applyBorder="1" applyAlignment="1" applyProtection="1">
      <alignment vertical="center" wrapText="1"/>
      <protection locked="0"/>
    </xf>
    <xf numFmtId="0" fontId="3" fillId="5" borderId="1" xfId="0" applyFont="1" applyFill="1" applyBorder="1" applyAlignment="1" applyProtection="1">
      <alignment horizontal="center" vertical="center"/>
      <protection locked="0"/>
    </xf>
    <xf numFmtId="164" fontId="3" fillId="5" borderId="5" xfId="0" applyNumberFormat="1" applyFont="1" applyFill="1" applyBorder="1" applyAlignment="1" applyProtection="1">
      <alignment horizontal="center" vertical="center"/>
      <protection locked="0"/>
    </xf>
    <xf numFmtId="165" fontId="3" fillId="5" borderId="6" xfId="1" applyNumberFormat="1" applyFont="1" applyFill="1" applyBorder="1" applyAlignment="1" applyProtection="1">
      <alignment horizontal="center" vertical="center"/>
      <protection locked="0"/>
    </xf>
    <xf numFmtId="0" fontId="5" fillId="2" borderId="0" xfId="0" applyFont="1" applyFill="1" applyAlignment="1" applyProtection="1">
      <alignment horizontal="center"/>
      <protection locked="0"/>
    </xf>
    <xf numFmtId="0" fontId="3" fillId="2" borderId="0" xfId="0" applyFont="1" applyFill="1" applyAlignment="1" applyProtection="1">
      <alignment horizontal="center"/>
      <protection locked="0"/>
    </xf>
    <xf numFmtId="3" fontId="5" fillId="2" borderId="0" xfId="0" applyNumberFormat="1" applyFont="1" applyFill="1" applyAlignment="1" applyProtection="1">
      <alignment horizontal="center"/>
      <protection locked="0"/>
    </xf>
    <xf numFmtId="164" fontId="3" fillId="2" borderId="0" xfId="0" applyNumberFormat="1" applyFont="1" applyFill="1" applyAlignment="1" applyProtection="1">
      <alignment horizontal="center"/>
      <protection locked="0"/>
    </xf>
    <xf numFmtId="0" fontId="0" fillId="0" borderId="0" xfId="0" applyAlignment="1">
      <alignment horizontal="left"/>
    </xf>
    <xf numFmtId="0" fontId="0" fillId="0" borderId="0" xfId="0" pivotButton="1"/>
    <xf numFmtId="0" fontId="0" fillId="17" borderId="0" xfId="0" applyFill="1"/>
    <xf numFmtId="2" fontId="0" fillId="2" borderId="0" xfId="0" applyNumberFormat="1" applyFill="1"/>
    <xf numFmtId="0" fontId="3" fillId="4" borderId="0" xfId="0" applyFont="1" applyFill="1" applyAlignment="1">
      <alignment horizontal="center" vertical="center"/>
    </xf>
    <xf numFmtId="0" fontId="3" fillId="0" borderId="21" xfId="0" applyFont="1" applyBorder="1" applyAlignment="1">
      <alignment vertical="center" wrapText="1"/>
    </xf>
    <xf numFmtId="10" fontId="3" fillId="0" borderId="21" xfId="0" applyNumberFormat="1" applyFont="1" applyBorder="1" applyAlignment="1">
      <alignment vertical="center"/>
    </xf>
    <xf numFmtId="0" fontId="3" fillId="0" borderId="21" xfId="0" applyFont="1" applyBorder="1" applyAlignment="1">
      <alignment vertical="center"/>
    </xf>
    <xf numFmtId="10" fontId="3" fillId="0" borderId="22" xfId="0" applyNumberFormat="1" applyFont="1" applyBorder="1" applyAlignment="1">
      <alignment vertical="center"/>
    </xf>
    <xf numFmtId="10" fontId="3" fillId="0" borderId="0" xfId="0" applyNumberFormat="1" applyFont="1" applyAlignment="1">
      <alignment vertical="center"/>
    </xf>
    <xf numFmtId="0" fontId="3" fillId="0" borderId="0" xfId="0" applyFont="1" applyAlignment="1">
      <alignment vertical="center"/>
    </xf>
    <xf numFmtId="43" fontId="37" fillId="18" borderId="1" xfId="1" applyFont="1" applyFill="1" applyBorder="1" applyAlignment="1">
      <alignment horizontal="center" vertical="top" wrapText="1"/>
    </xf>
    <xf numFmtId="0" fontId="38" fillId="19" borderId="23" xfId="7" applyFont="1" applyFill="1" applyBorder="1" applyAlignment="1">
      <alignment vertical="top"/>
    </xf>
    <xf numFmtId="172" fontId="37" fillId="20" borderId="24" xfId="1" applyNumberFormat="1" applyFont="1" applyFill="1" applyBorder="1" applyAlignment="1">
      <alignment horizontal="center" vertical="top" wrapText="1"/>
    </xf>
    <xf numFmtId="2" fontId="37" fillId="20" borderId="24" xfId="1" applyNumberFormat="1" applyFont="1" applyFill="1" applyBorder="1" applyAlignment="1">
      <alignment horizontal="center" vertical="top" wrapText="1"/>
    </xf>
    <xf numFmtId="43" fontId="37" fillId="21" borderId="6" xfId="1" applyFont="1" applyFill="1" applyBorder="1" applyAlignment="1">
      <alignment horizontal="center" vertical="top" wrapText="1"/>
    </xf>
    <xf numFmtId="43" fontId="37" fillId="21" borderId="24" xfId="1" applyFont="1" applyFill="1" applyBorder="1" applyAlignment="1">
      <alignment horizontal="center" vertical="top" wrapText="1"/>
    </xf>
    <xf numFmtId="43" fontId="37" fillId="22" borderId="25" xfId="1" applyFont="1" applyFill="1" applyBorder="1" applyAlignment="1">
      <alignment horizontal="center" vertical="top" wrapText="1"/>
    </xf>
    <xf numFmtId="43" fontId="37" fillId="23" borderId="6" xfId="1" applyFont="1" applyFill="1" applyBorder="1" applyAlignment="1">
      <alignment horizontal="center" vertical="top" wrapText="1"/>
    </xf>
    <xf numFmtId="43" fontId="39" fillId="23" borderId="6" xfId="1" applyFont="1" applyFill="1" applyBorder="1" applyAlignment="1">
      <alignment horizontal="center" vertical="top" wrapText="1"/>
    </xf>
    <xf numFmtId="43" fontId="37" fillId="25" borderId="1" xfId="1" applyFont="1" applyFill="1" applyBorder="1" applyAlignment="1">
      <alignment horizontal="center" vertical="center" wrapText="1"/>
    </xf>
    <xf numFmtId="43" fontId="37" fillId="26" borderId="0" xfId="1" applyFont="1" applyFill="1" applyBorder="1" applyAlignment="1">
      <alignment horizontal="center" vertical="top" wrapText="1"/>
    </xf>
    <xf numFmtId="0" fontId="5" fillId="12" borderId="1" xfId="0" applyFont="1" applyFill="1" applyBorder="1"/>
    <xf numFmtId="0" fontId="41" fillId="19" borderId="9" xfId="7" applyFont="1" applyFill="1" applyBorder="1" applyAlignment="1">
      <alignment horizontal="center" vertical="center"/>
    </xf>
    <xf numFmtId="171" fontId="43" fillId="21" borderId="9" xfId="1" applyNumberFormat="1" applyFont="1" applyFill="1" applyBorder="1" applyAlignment="1">
      <alignment horizontal="center" vertical="center"/>
    </xf>
    <xf numFmtId="171" fontId="44" fillId="22" borderId="9" xfId="1" applyNumberFormat="1" applyFont="1" applyFill="1" applyBorder="1" applyAlignment="1">
      <alignment horizontal="center" vertical="center"/>
    </xf>
    <xf numFmtId="171" fontId="44" fillId="22" borderId="12" xfId="1" applyNumberFormat="1" applyFont="1" applyFill="1" applyBorder="1" applyAlignment="1">
      <alignment horizontal="center" vertical="center"/>
    </xf>
    <xf numFmtId="171" fontId="44" fillId="28" borderId="9" xfId="1" applyNumberFormat="1" applyFont="1" applyFill="1" applyBorder="1" applyAlignment="1">
      <alignment horizontal="center" vertical="center"/>
    </xf>
    <xf numFmtId="0" fontId="0" fillId="0" borderId="9" xfId="0" applyBorder="1" applyAlignment="1">
      <alignment horizontal="center" vertical="center"/>
    </xf>
    <xf numFmtId="171" fontId="2" fillId="0" borderId="0" xfId="0" applyNumberFormat="1" applyFont="1"/>
    <xf numFmtId="0" fontId="0" fillId="2" borderId="0" xfId="0" applyFill="1" applyAlignment="1">
      <alignment horizontal="center" vertical="center"/>
    </xf>
    <xf numFmtId="43" fontId="40" fillId="24" borderId="16" xfId="1" applyFont="1" applyFill="1" applyBorder="1" applyAlignment="1">
      <alignment horizontal="center" vertical="top" wrapText="1"/>
    </xf>
    <xf numFmtId="43" fontId="37" fillId="25" borderId="26" xfId="1" applyFont="1" applyFill="1" applyBorder="1" applyAlignment="1">
      <alignment horizontal="center" vertical="center" wrapText="1"/>
    </xf>
    <xf numFmtId="43" fontId="37" fillId="25" borderId="22" xfId="1" applyFont="1" applyFill="1" applyBorder="1" applyAlignment="1">
      <alignment horizontal="center" vertical="center" wrapText="1"/>
    </xf>
    <xf numFmtId="43" fontId="37" fillId="25" borderId="6" xfId="1" applyFont="1" applyFill="1" applyBorder="1" applyAlignment="1">
      <alignment horizontal="center" vertical="center" wrapText="1"/>
    </xf>
    <xf numFmtId="2" fontId="42" fillId="27" borderId="9" xfId="0" applyNumberFormat="1" applyFont="1" applyFill="1" applyBorder="1"/>
    <xf numFmtId="171" fontId="44" fillId="24" borderId="27" xfId="1" applyNumberFormat="1" applyFont="1" applyFill="1" applyBorder="1" applyAlignment="1">
      <alignment horizontal="center" vertical="center"/>
    </xf>
    <xf numFmtId="171" fontId="45" fillId="28" borderId="27" xfId="1" applyNumberFormat="1" applyFont="1" applyFill="1" applyBorder="1" applyAlignment="1">
      <alignment horizontal="center" vertical="center"/>
    </xf>
    <xf numFmtId="171" fontId="44" fillId="24" borderId="28" xfId="1" applyNumberFormat="1" applyFont="1" applyFill="1" applyBorder="1" applyAlignment="1">
      <alignment horizontal="center" vertical="center"/>
    </xf>
    <xf numFmtId="171" fontId="45" fillId="28" borderId="9" xfId="1" applyNumberFormat="1" applyFont="1" applyFill="1" applyBorder="1" applyAlignment="1">
      <alignment horizontal="center" vertical="center"/>
    </xf>
    <xf numFmtId="171" fontId="2" fillId="2" borderId="9" xfId="0" applyNumberFormat="1" applyFont="1" applyFill="1" applyBorder="1"/>
    <xf numFmtId="171" fontId="0" fillId="12" borderId="0" xfId="0" applyNumberFormat="1" applyFill="1"/>
    <xf numFmtId="0" fontId="0" fillId="12" borderId="0" xfId="0" applyFill="1"/>
    <xf numFmtId="171" fontId="0" fillId="2" borderId="0" xfId="0" applyNumberFormat="1" applyFill="1"/>
    <xf numFmtId="0" fontId="5" fillId="2" borderId="0" xfId="0" applyFont="1" applyFill="1"/>
    <xf numFmtId="0" fontId="3" fillId="0" borderId="1" xfId="0" applyFont="1" applyBorder="1" applyAlignment="1">
      <alignment horizontal="center"/>
    </xf>
    <xf numFmtId="0" fontId="3" fillId="2" borderId="1" xfId="0" applyFont="1" applyFill="1" applyBorder="1" applyAlignment="1">
      <alignment horizontal="center" wrapText="1"/>
    </xf>
    <xf numFmtId="0" fontId="3" fillId="6" borderId="6" xfId="0" applyFont="1" applyFill="1" applyBorder="1"/>
    <xf numFmtId="0" fontId="3" fillId="4" borderId="6" xfId="0" applyFont="1" applyFill="1" applyBorder="1" applyAlignment="1">
      <alignment horizontal="center" wrapText="1"/>
    </xf>
    <xf numFmtId="0" fontId="3" fillId="4" borderId="6" xfId="0" applyFont="1" applyFill="1" applyBorder="1" applyAlignment="1">
      <alignment horizontal="center" vertical="center" wrapText="1"/>
    </xf>
    <xf numFmtId="173" fontId="0" fillId="0" borderId="1" xfId="0" applyNumberFormat="1" applyBorder="1" applyAlignment="1">
      <alignment horizontal="center"/>
    </xf>
    <xf numFmtId="0" fontId="2" fillId="0" borderId="1" xfId="0" applyFont="1" applyBorder="1"/>
    <xf numFmtId="0" fontId="47" fillId="0" borderId="0" xfId="0" applyFont="1"/>
    <xf numFmtId="0" fontId="48" fillId="0" borderId="0" xfId="0" applyFont="1"/>
    <xf numFmtId="0" fontId="32" fillId="0" borderId="2" xfId="0" applyFont="1" applyBorder="1"/>
    <xf numFmtId="0" fontId="32" fillId="0" borderId="1" xfId="0" applyFont="1" applyBorder="1" applyAlignment="1">
      <alignment horizontal="center"/>
    </xf>
    <xf numFmtId="14" fontId="49" fillId="0" borderId="1" xfId="0" applyNumberFormat="1" applyFont="1" applyBorder="1" applyAlignment="1">
      <alignment horizontal="center"/>
    </xf>
    <xf numFmtId="0" fontId="11" fillId="27" borderId="2" xfId="0" applyFont="1" applyFill="1" applyBorder="1" applyAlignment="1">
      <alignment horizontal="center" vertical="center"/>
    </xf>
    <xf numFmtId="0" fontId="51" fillId="27" borderId="1" xfId="0" applyFont="1" applyFill="1" applyBorder="1" applyAlignment="1">
      <alignment horizontal="center" vertical="center"/>
    </xf>
    <xf numFmtId="0" fontId="51" fillId="27" borderId="1" xfId="0" applyFont="1" applyFill="1" applyBorder="1" applyAlignment="1">
      <alignment horizontal="center"/>
    </xf>
    <xf numFmtId="0" fontId="52" fillId="29" borderId="1" xfId="0" applyFont="1" applyFill="1" applyBorder="1" applyAlignment="1">
      <alignment horizontal="center" vertical="center"/>
    </xf>
    <xf numFmtId="0" fontId="51" fillId="29" borderId="1" xfId="0" applyFont="1" applyFill="1" applyBorder="1" applyAlignment="1">
      <alignment horizontal="center" vertical="center"/>
    </xf>
    <xf numFmtId="0" fontId="11" fillId="30" borderId="2" xfId="0" applyFont="1" applyFill="1" applyBorder="1" applyAlignment="1">
      <alignment horizontal="center" vertical="center"/>
    </xf>
    <xf numFmtId="0" fontId="51" fillId="30" borderId="2" xfId="0" applyFont="1" applyFill="1" applyBorder="1" applyAlignment="1">
      <alignment horizontal="center" vertical="center"/>
    </xf>
    <xf numFmtId="0" fontId="51" fillId="30" borderId="1" xfId="0" applyFont="1" applyFill="1" applyBorder="1" applyAlignment="1">
      <alignment horizontal="center" vertical="center"/>
    </xf>
    <xf numFmtId="0" fontId="0" fillId="0" borderId="29" xfId="0" applyBorder="1" applyAlignment="1">
      <alignment horizontal="center"/>
    </xf>
    <xf numFmtId="175" fontId="55" fillId="29" borderId="1" xfId="0" applyNumberFormat="1" applyFont="1" applyFill="1" applyBorder="1" applyAlignment="1">
      <alignment horizontal="center" vertical="center"/>
    </xf>
    <xf numFmtId="175" fontId="56" fillId="2" borderId="1" xfId="0" applyNumberFormat="1" applyFont="1" applyFill="1" applyBorder="1" applyAlignment="1">
      <alignment horizontal="center" vertical="center"/>
    </xf>
    <xf numFmtId="175" fontId="56" fillId="2" borderId="2" xfId="0" applyNumberFormat="1" applyFont="1" applyFill="1" applyBorder="1" applyAlignment="1">
      <alignment horizontal="center" vertical="center"/>
    </xf>
    <xf numFmtId="0" fontId="0" fillId="0" borderId="6" xfId="0" applyBorder="1" applyAlignment="1">
      <alignment horizontal="center"/>
    </xf>
    <xf numFmtId="0" fontId="11" fillId="31" borderId="3" xfId="0" applyFont="1" applyFill="1" applyBorder="1" applyAlignment="1">
      <alignment horizontal="center" vertical="center"/>
    </xf>
    <xf numFmtId="3" fontId="56" fillId="2" borderId="2" xfId="0" applyNumberFormat="1" applyFont="1" applyFill="1" applyBorder="1" applyAlignment="1">
      <alignment horizontal="center" vertical="center"/>
    </xf>
    <xf numFmtId="0" fontId="0" fillId="0" borderId="30" xfId="0" applyBorder="1" applyAlignment="1">
      <alignment horizontal="center"/>
    </xf>
    <xf numFmtId="0" fontId="57" fillId="31" borderId="4" xfId="0" applyFont="1" applyFill="1" applyBorder="1" applyAlignment="1">
      <alignment horizontal="center"/>
    </xf>
    <xf numFmtId="0" fontId="6" fillId="0" borderId="0" xfId="0" applyFont="1" applyAlignment="1">
      <alignment horizontal="center"/>
    </xf>
    <xf numFmtId="175" fontId="0" fillId="7" borderId="41" xfId="0" applyNumberFormat="1" applyFill="1" applyBorder="1" applyAlignment="1">
      <alignment horizontal="center" vertical="center"/>
    </xf>
    <xf numFmtId="175" fontId="0" fillId="7" borderId="1" xfId="0" applyNumberFormat="1" applyFill="1" applyBorder="1" applyAlignment="1">
      <alignment horizontal="center" vertical="center"/>
    </xf>
    <xf numFmtId="175" fontId="0" fillId="7" borderId="42" xfId="0" applyNumberFormat="1" applyFill="1" applyBorder="1" applyAlignment="1">
      <alignment horizontal="center" vertical="center"/>
    </xf>
    <xf numFmtId="175" fontId="0" fillId="7" borderId="1" xfId="0" applyNumberFormat="1" applyFill="1" applyBorder="1" applyAlignment="1">
      <alignment horizontal="center" vertical="center" wrapText="1"/>
    </xf>
    <xf numFmtId="175" fontId="0" fillId="7" borderId="43" xfId="0" applyNumberFormat="1" applyFill="1" applyBorder="1" applyAlignment="1">
      <alignment horizontal="center" vertical="center" wrapText="1"/>
    </xf>
    <xf numFmtId="0" fontId="63" fillId="32" borderId="45" xfId="0" applyFont="1" applyFill="1" applyBorder="1" applyAlignment="1">
      <alignment horizontal="right" vertical="center"/>
    </xf>
    <xf numFmtId="176" fontId="3" fillId="33" borderId="44" xfId="0" applyNumberFormat="1" applyFont="1" applyFill="1" applyBorder="1" applyAlignment="1">
      <alignment horizontal="center" vertical="center"/>
    </xf>
    <xf numFmtId="175" fontId="64" fillId="0" borderId="1" xfId="0" applyNumberFormat="1" applyFont="1" applyBorder="1" applyAlignment="1">
      <alignment horizontal="center" vertical="center"/>
    </xf>
    <xf numFmtId="175" fontId="64" fillId="0" borderId="42" xfId="0" applyNumberFormat="1" applyFont="1" applyBorder="1" applyAlignment="1">
      <alignment horizontal="center" vertical="center"/>
    </xf>
    <xf numFmtId="175" fontId="64" fillId="0" borderId="4" xfId="0" applyNumberFormat="1" applyFont="1" applyBorder="1" applyAlignment="1">
      <alignment horizontal="center" vertical="center"/>
    </xf>
    <xf numFmtId="175" fontId="64" fillId="0" borderId="46" xfId="0" applyNumberFormat="1" applyFont="1" applyBorder="1" applyAlignment="1">
      <alignment horizontal="center" vertical="center"/>
    </xf>
    <xf numFmtId="3" fontId="3" fillId="33" borderId="47" xfId="0" applyNumberFormat="1" applyFont="1" applyFill="1" applyBorder="1" applyAlignment="1">
      <alignment horizontal="center" vertical="center"/>
    </xf>
    <xf numFmtId="175" fontId="64" fillId="0" borderId="43" xfId="0" applyNumberFormat="1" applyFont="1" applyBorder="1" applyAlignment="1">
      <alignment horizontal="center" vertical="center"/>
    </xf>
    <xf numFmtId="3" fontId="47" fillId="34" borderId="4" xfId="0" applyNumberFormat="1" applyFont="1" applyFill="1" applyBorder="1" applyAlignment="1">
      <alignment horizontal="center"/>
    </xf>
    <xf numFmtId="3" fontId="47" fillId="4" borderId="42" xfId="0" applyNumberFormat="1" applyFont="1" applyFill="1" applyBorder="1" applyAlignment="1">
      <alignment horizontal="center"/>
    </xf>
    <xf numFmtId="175" fontId="47" fillId="2" borderId="48" xfId="0" applyNumberFormat="1" applyFont="1" applyFill="1" applyBorder="1" applyAlignment="1">
      <alignment horizontal="center"/>
    </xf>
    <xf numFmtId="175" fontId="47" fillId="2" borderId="49" xfId="0" applyNumberFormat="1" applyFont="1" applyFill="1" applyBorder="1" applyAlignment="1">
      <alignment horizontal="center"/>
    </xf>
    <xf numFmtId="0" fontId="63" fillId="32" borderId="50" xfId="0" applyFont="1" applyFill="1" applyBorder="1" applyAlignment="1">
      <alignment horizontal="right" vertical="center"/>
    </xf>
    <xf numFmtId="0" fontId="51" fillId="31" borderId="4" xfId="0" applyFont="1" applyFill="1" applyBorder="1" applyAlignment="1">
      <alignment horizontal="center"/>
    </xf>
    <xf numFmtId="0" fontId="57" fillId="31" borderId="51" xfId="0" applyFont="1" applyFill="1" applyBorder="1" applyAlignment="1">
      <alignment horizontal="center"/>
    </xf>
    <xf numFmtId="3" fontId="55" fillId="0" borderId="1" xfId="0" applyNumberFormat="1" applyFont="1" applyBorder="1" applyAlignment="1">
      <alignment horizontal="center" vertical="center"/>
    </xf>
    <xf numFmtId="176" fontId="3" fillId="33" borderId="52" xfId="0" applyNumberFormat="1" applyFont="1" applyFill="1" applyBorder="1" applyAlignment="1">
      <alignment horizontal="center" vertical="center"/>
    </xf>
    <xf numFmtId="175" fontId="64" fillId="0" borderId="6" xfId="0" applyNumberFormat="1" applyFont="1" applyBorder="1" applyAlignment="1">
      <alignment horizontal="center" vertical="center"/>
    </xf>
    <xf numFmtId="175" fontId="64" fillId="0" borderId="53" xfId="0" applyNumberFormat="1" applyFont="1" applyBorder="1" applyAlignment="1">
      <alignment horizontal="center" vertical="center"/>
    </xf>
    <xf numFmtId="175" fontId="64" fillId="6" borderId="5" xfId="0" applyNumberFormat="1" applyFont="1" applyFill="1" applyBorder="1" applyAlignment="1">
      <alignment horizontal="center" vertical="center"/>
    </xf>
    <xf numFmtId="175" fontId="64" fillId="6" borderId="54" xfId="0" applyNumberFormat="1" applyFont="1" applyFill="1" applyBorder="1" applyAlignment="1">
      <alignment horizontal="center" vertical="center"/>
    </xf>
    <xf numFmtId="3" fontId="3" fillId="33" borderId="55" xfId="0" applyNumberFormat="1" applyFont="1" applyFill="1" applyBorder="1" applyAlignment="1">
      <alignment horizontal="center" vertical="center"/>
    </xf>
    <xf numFmtId="0" fontId="38" fillId="32" borderId="56" xfId="0" applyFont="1" applyFill="1" applyBorder="1" applyAlignment="1">
      <alignment horizontal="right" vertical="center"/>
    </xf>
    <xf numFmtId="176" fontId="30" fillId="33" borderId="52" xfId="0" applyNumberFormat="1" applyFont="1" applyFill="1" applyBorder="1" applyAlignment="1">
      <alignment horizontal="center" vertical="center"/>
    </xf>
    <xf numFmtId="175" fontId="64" fillId="35" borderId="5" xfId="0" applyNumberFormat="1" applyFont="1" applyFill="1" applyBorder="1" applyAlignment="1">
      <alignment horizontal="center" vertical="center"/>
    </xf>
    <xf numFmtId="175" fontId="64" fillId="35" borderId="54" xfId="0" applyNumberFormat="1" applyFont="1" applyFill="1" applyBorder="1" applyAlignment="1">
      <alignment horizontal="center" vertical="center"/>
    </xf>
    <xf numFmtId="175" fontId="64" fillId="0" borderId="57" xfId="0" applyNumberFormat="1" applyFont="1" applyBorder="1" applyAlignment="1">
      <alignment horizontal="center" vertical="center"/>
    </xf>
    <xf numFmtId="3" fontId="47" fillId="34" borderId="5" xfId="0" applyNumberFormat="1" applyFont="1" applyFill="1" applyBorder="1" applyAlignment="1">
      <alignment horizontal="center"/>
    </xf>
    <xf numFmtId="3" fontId="47" fillId="4" borderId="53" xfId="0" applyNumberFormat="1" applyFont="1" applyFill="1" applyBorder="1" applyAlignment="1">
      <alignment horizontal="center"/>
    </xf>
    <xf numFmtId="175" fontId="47" fillId="2" borderId="58" xfId="0" applyNumberFormat="1" applyFont="1" applyFill="1" applyBorder="1" applyAlignment="1">
      <alignment horizontal="center"/>
    </xf>
    <xf numFmtId="175" fontId="47" fillId="2" borderId="59" xfId="0" applyNumberFormat="1" applyFont="1" applyFill="1" applyBorder="1" applyAlignment="1">
      <alignment horizontal="center"/>
    </xf>
    <xf numFmtId="0" fontId="3" fillId="22" borderId="17" xfId="0" applyFont="1" applyFill="1" applyBorder="1" applyAlignment="1">
      <alignment horizontal="center" vertical="center"/>
    </xf>
    <xf numFmtId="3" fontId="3" fillId="7" borderId="60" xfId="0" applyNumberFormat="1" applyFont="1" applyFill="1" applyBorder="1" applyAlignment="1">
      <alignment horizontal="center" vertical="center"/>
    </xf>
    <xf numFmtId="0" fontId="17" fillId="2" borderId="0" xfId="0" applyFont="1" applyFill="1"/>
    <xf numFmtId="0" fontId="66" fillId="2" borderId="0" xfId="0" applyFont="1" applyFill="1" applyAlignment="1">
      <alignment horizontal="left"/>
    </xf>
    <xf numFmtId="0" fontId="17" fillId="0" borderId="0" xfId="0" applyFont="1"/>
    <xf numFmtId="0" fontId="2" fillId="0" borderId="0" xfId="0" applyFont="1"/>
    <xf numFmtId="9" fontId="47" fillId="0" borderId="0" xfId="0" applyNumberFormat="1" applyFont="1"/>
    <xf numFmtId="9" fontId="2" fillId="0" borderId="0" xfId="0" applyNumberFormat="1" applyFont="1"/>
    <xf numFmtId="0" fontId="55" fillId="0" borderId="0" xfId="0" applyFont="1"/>
    <xf numFmtId="175" fontId="67" fillId="27" borderId="9" xfId="0" applyNumberFormat="1" applyFont="1" applyFill="1" applyBorder="1" applyAlignment="1">
      <alignment horizontal="center" vertical="center"/>
    </xf>
    <xf numFmtId="3" fontId="67" fillId="30" borderId="12" xfId="0" applyNumberFormat="1" applyFont="1" applyFill="1" applyBorder="1" applyAlignment="1">
      <alignment horizontal="center" vertical="center"/>
    </xf>
    <xf numFmtId="0" fontId="0" fillId="0" borderId="0" xfId="0" applyAlignment="1">
      <alignment horizontal="center" vertical="center"/>
    </xf>
    <xf numFmtId="175" fontId="47" fillId="0" borderId="0" xfId="0" applyNumberFormat="1" applyFont="1"/>
    <xf numFmtId="175" fontId="68" fillId="0" borderId="1" xfId="0" applyNumberFormat="1" applyFont="1" applyBorder="1" applyAlignment="1">
      <alignment horizontal="center" vertical="center"/>
    </xf>
    <xf numFmtId="3" fontId="47" fillId="0" borderId="0" xfId="0" applyNumberFormat="1" applyFont="1"/>
    <xf numFmtId="3" fontId="69" fillId="0" borderId="1" xfId="0" applyNumberFormat="1" applyFont="1" applyBorder="1" applyAlignment="1">
      <alignment horizontal="center" vertical="center"/>
    </xf>
    <xf numFmtId="0" fontId="55" fillId="0" borderId="0" xfId="0" applyFont="1" applyAlignment="1">
      <alignment horizontal="center"/>
    </xf>
    <xf numFmtId="0" fontId="51" fillId="0" borderId="0" xfId="0" applyFont="1" applyAlignment="1">
      <alignment horizontal="center" vertical="center"/>
    </xf>
    <xf numFmtId="0" fontId="55" fillId="0" borderId="0" xfId="0" applyFont="1" applyAlignment="1">
      <alignment horizontal="center" vertical="center"/>
    </xf>
    <xf numFmtId="2" fontId="56" fillId="0" borderId="0" xfId="0" applyNumberFormat="1" applyFont="1" applyAlignment="1">
      <alignment horizontal="center" vertical="center"/>
    </xf>
    <xf numFmtId="0" fontId="70" fillId="0" borderId="0" xfId="0" applyFont="1" applyAlignment="1">
      <alignment horizontal="center"/>
    </xf>
    <xf numFmtId="0" fontId="32" fillId="0" borderId="2" xfId="0" applyFont="1" applyBorder="1" applyAlignment="1">
      <alignment horizontal="center" vertical="center"/>
    </xf>
    <xf numFmtId="0" fontId="32" fillId="0" borderId="2" xfId="0" applyFont="1" applyBorder="1" applyAlignment="1">
      <alignment horizontal="center"/>
    </xf>
    <xf numFmtId="0" fontId="3" fillId="0" borderId="6" xfId="0" applyFont="1" applyBorder="1" applyAlignment="1">
      <alignment horizontal="left" vertical="center" wrapText="1"/>
    </xf>
    <xf numFmtId="0" fontId="3" fillId="0" borderId="18" xfId="0" applyFont="1" applyBorder="1" applyAlignment="1">
      <alignment horizontal="left" vertical="center" wrapText="1"/>
    </xf>
    <xf numFmtId="0" fontId="54" fillId="11" borderId="71" xfId="0" applyFont="1" applyFill="1" applyBorder="1" applyAlignment="1">
      <alignment horizontal="center"/>
    </xf>
    <xf numFmtId="0" fontId="52" fillId="11" borderId="71" xfId="0" applyFont="1" applyFill="1" applyBorder="1" applyAlignment="1">
      <alignment horizontal="center"/>
    </xf>
    <xf numFmtId="0" fontId="54" fillId="11" borderId="72" xfId="0" applyFont="1" applyFill="1" applyBorder="1" applyAlignment="1">
      <alignment horizontal="center"/>
    </xf>
    <xf numFmtId="175" fontId="55" fillId="0" borderId="1" xfId="0" applyNumberFormat="1" applyFont="1" applyBorder="1" applyAlignment="1">
      <alignment horizontal="center" vertical="center"/>
    </xf>
    <xf numFmtId="0" fontId="35" fillId="0" borderId="0" xfId="8" applyAlignment="1">
      <alignment vertical="top"/>
    </xf>
    <xf numFmtId="0" fontId="71" fillId="36" borderId="0" xfId="8" applyFont="1" applyFill="1" applyAlignment="1">
      <alignment horizontal="center" vertical="center"/>
    </xf>
    <xf numFmtId="0" fontId="6" fillId="37" borderId="0" xfId="8" applyFont="1" applyFill="1" applyAlignment="1">
      <alignment horizontal="center" vertical="center"/>
    </xf>
    <xf numFmtId="175" fontId="35" fillId="38" borderId="40" xfId="8" applyNumberFormat="1" applyFill="1" applyBorder="1" applyAlignment="1">
      <alignment horizontal="center" vertical="center" wrapText="1"/>
    </xf>
    <xf numFmtId="175" fontId="35" fillId="39" borderId="84" xfId="8" applyNumberFormat="1" applyFill="1" applyBorder="1" applyAlignment="1">
      <alignment horizontal="center" vertical="center" wrapText="1"/>
    </xf>
    <xf numFmtId="175" fontId="35" fillId="38" borderId="48" xfId="8" applyNumberFormat="1" applyFill="1" applyBorder="1" applyAlignment="1">
      <alignment horizontal="center" vertical="center" wrapText="1"/>
    </xf>
    <xf numFmtId="175" fontId="35" fillId="39" borderId="85" xfId="8" applyNumberFormat="1" applyFill="1" applyBorder="1" applyAlignment="1">
      <alignment horizontal="center" vertical="center" wrapText="1"/>
    </xf>
    <xf numFmtId="175" fontId="35" fillId="40" borderId="86" xfId="8" applyNumberFormat="1" applyFill="1" applyBorder="1" applyAlignment="1">
      <alignment horizontal="center" vertical="center" wrapText="1"/>
    </xf>
    <xf numFmtId="175" fontId="35" fillId="40" borderId="87" xfId="8" applyNumberFormat="1" applyFill="1" applyBorder="1" applyAlignment="1">
      <alignment horizontal="center" vertical="center" wrapText="1"/>
    </xf>
    <xf numFmtId="175" fontId="35" fillId="41" borderId="88" xfId="8" applyNumberFormat="1" applyFill="1" applyBorder="1" applyAlignment="1">
      <alignment horizontal="center" vertical="center" wrapText="1"/>
    </xf>
    <xf numFmtId="175" fontId="35" fillId="41" borderId="70" xfId="8" applyNumberFormat="1" applyFill="1" applyBorder="1" applyAlignment="1">
      <alignment horizontal="center" vertical="center" wrapText="1"/>
    </xf>
    <xf numFmtId="0" fontId="35" fillId="0" borderId="48" xfId="8" applyBorder="1" applyAlignment="1">
      <alignment horizontal="center" vertical="center" wrapText="1"/>
    </xf>
    <xf numFmtId="0" fontId="35" fillId="0" borderId="9" xfId="8" applyBorder="1" applyAlignment="1">
      <alignment horizontal="center" vertical="center" wrapText="1"/>
    </xf>
    <xf numFmtId="0" fontId="35" fillId="2" borderId="49" xfId="8" applyFill="1" applyBorder="1" applyAlignment="1">
      <alignment horizontal="center" vertical="center"/>
    </xf>
    <xf numFmtId="0" fontId="3" fillId="37" borderId="89" xfId="8" applyFont="1" applyFill="1" applyBorder="1" applyAlignment="1">
      <alignment horizontal="center" vertical="center"/>
    </xf>
    <xf numFmtId="177" fontId="65" fillId="11" borderId="42" xfId="8" applyNumberFormat="1" applyFont="1" applyFill="1" applyBorder="1" applyAlignment="1">
      <alignment horizontal="center" vertical="center"/>
    </xf>
    <xf numFmtId="177" fontId="65" fillId="11" borderId="90" xfId="8" applyNumberFormat="1" applyFont="1" applyFill="1" applyBorder="1" applyAlignment="1">
      <alignment horizontal="center" vertical="center"/>
    </xf>
    <xf numFmtId="177" fontId="65" fillId="9" borderId="46" xfId="8" applyNumberFormat="1" applyFont="1" applyFill="1" applyBorder="1" applyAlignment="1">
      <alignment horizontal="center" vertical="center"/>
    </xf>
    <xf numFmtId="3" fontId="34" fillId="0" borderId="44" xfId="8" applyNumberFormat="1" applyFont="1" applyBorder="1" applyAlignment="1">
      <alignment horizontal="center" vertical="center"/>
    </xf>
    <xf numFmtId="177" fontId="65" fillId="0" borderId="3" xfId="8" applyNumberFormat="1" applyFont="1" applyBorder="1" applyAlignment="1">
      <alignment horizontal="center" vertical="center"/>
    </xf>
    <xf numFmtId="177" fontId="65" fillId="0" borderId="42" xfId="8" applyNumberFormat="1" applyFont="1" applyBorder="1" applyAlignment="1">
      <alignment horizontal="center" vertical="center"/>
    </xf>
    <xf numFmtId="3" fontId="73" fillId="0" borderId="44" xfId="8" applyNumberFormat="1" applyFont="1" applyBorder="1" applyAlignment="1">
      <alignment horizontal="center" vertical="top"/>
    </xf>
    <xf numFmtId="177" fontId="65" fillId="0" borderId="1" xfId="8" applyNumberFormat="1" applyFont="1" applyBorder="1" applyAlignment="1">
      <alignment horizontal="center" vertical="center"/>
    </xf>
    <xf numFmtId="177" fontId="65" fillId="0" borderId="46" xfId="8" applyNumberFormat="1" applyFont="1" applyBorder="1" applyAlignment="1">
      <alignment horizontal="center" vertical="center"/>
    </xf>
    <xf numFmtId="0" fontId="3" fillId="37" borderId="91" xfId="8" applyFont="1" applyFill="1" applyBorder="1" applyAlignment="1">
      <alignment horizontal="center" vertical="center"/>
    </xf>
    <xf numFmtId="0" fontId="74" fillId="37" borderId="92" xfId="8" applyFont="1" applyFill="1" applyBorder="1" applyAlignment="1">
      <alignment horizontal="center" vertical="center"/>
    </xf>
    <xf numFmtId="177" fontId="65" fillId="0" borderId="93" xfId="8" applyNumberFormat="1" applyFont="1" applyBorder="1" applyAlignment="1">
      <alignment horizontal="center" vertical="center"/>
    </xf>
    <xf numFmtId="0" fontId="3" fillId="37" borderId="17" xfId="8" applyFont="1" applyFill="1" applyBorder="1" applyAlignment="1">
      <alignment horizontal="center" vertical="center"/>
    </xf>
    <xf numFmtId="3" fontId="75" fillId="37" borderId="60" xfId="8" applyNumberFormat="1" applyFont="1" applyFill="1" applyBorder="1" applyAlignment="1">
      <alignment horizontal="center" vertical="center"/>
    </xf>
    <xf numFmtId="177" fontId="76" fillId="0" borderId="83" xfId="8" applyNumberFormat="1" applyFont="1" applyBorder="1" applyAlignment="1">
      <alignment horizontal="center" vertical="center"/>
    </xf>
    <xf numFmtId="177" fontId="76" fillId="0" borderId="80" xfId="8" applyNumberFormat="1" applyFont="1" applyBorder="1" applyAlignment="1">
      <alignment horizontal="center" vertical="center"/>
    </xf>
    <xf numFmtId="177" fontId="76" fillId="0" borderId="94" xfId="8" applyNumberFormat="1" applyFont="1" applyBorder="1" applyAlignment="1">
      <alignment horizontal="center" vertical="center"/>
    </xf>
    <xf numFmtId="177" fontId="76" fillId="0" borderId="17" xfId="8" applyNumberFormat="1" applyFont="1" applyBorder="1" applyAlignment="1">
      <alignment horizontal="center" vertical="center"/>
    </xf>
    <xf numFmtId="0" fontId="11" fillId="37" borderId="95" xfId="8" applyFont="1" applyFill="1" applyBorder="1" applyAlignment="1">
      <alignment horizontal="center" vertical="center"/>
    </xf>
    <xf numFmtId="0" fontId="11" fillId="37" borderId="96" xfId="8" applyFont="1" applyFill="1" applyBorder="1" applyAlignment="1">
      <alignment horizontal="center" vertical="center"/>
    </xf>
    <xf numFmtId="0" fontId="35" fillId="43" borderId="0" xfId="8" applyFill="1" applyAlignment="1">
      <alignment vertical="top"/>
    </xf>
    <xf numFmtId="0" fontId="0" fillId="45" borderId="0" xfId="0" applyFill="1"/>
    <xf numFmtId="0" fontId="47" fillId="45" borderId="0" xfId="0" applyFont="1" applyFill="1"/>
    <xf numFmtId="0" fontId="0" fillId="35" borderId="0" xfId="0" applyFill="1"/>
    <xf numFmtId="0" fontId="78" fillId="35" borderId="0" xfId="0" applyFont="1" applyFill="1" applyAlignment="1">
      <alignment vertical="center"/>
    </xf>
    <xf numFmtId="0" fontId="0" fillId="35" borderId="100" xfId="0" applyFill="1" applyBorder="1"/>
    <xf numFmtId="0" fontId="0" fillId="35" borderId="0" xfId="0" applyFill="1" applyAlignment="1">
      <alignment vertical="center"/>
    </xf>
    <xf numFmtId="0" fontId="6" fillId="44" borderId="0" xfId="0" applyFont="1" applyFill="1" applyAlignment="1">
      <alignment horizontal="center" vertical="center"/>
    </xf>
    <xf numFmtId="175" fontId="0" fillId="39" borderId="107" xfId="0" applyNumberFormat="1" applyFill="1" applyBorder="1" applyAlignment="1">
      <alignment horizontal="center" vertical="center"/>
    </xf>
    <xf numFmtId="175" fontId="0" fillId="39" borderId="42" xfId="0" applyNumberFormat="1" applyFill="1" applyBorder="1" applyAlignment="1">
      <alignment horizontal="center" vertical="center"/>
    </xf>
    <xf numFmtId="175" fontId="0" fillId="39" borderId="44" xfId="0" applyNumberFormat="1" applyFill="1" applyBorder="1" applyAlignment="1">
      <alignment horizontal="center" vertical="center"/>
    </xf>
    <xf numFmtId="175" fontId="0" fillId="39" borderId="4" xfId="0" applyNumberFormat="1" applyFill="1" applyBorder="1" applyAlignment="1">
      <alignment horizontal="center" vertical="center"/>
    </xf>
    <xf numFmtId="175" fontId="0" fillId="39" borderId="2" xfId="0" applyNumberFormat="1" applyFill="1" applyBorder="1" applyAlignment="1">
      <alignment horizontal="center" vertical="center"/>
    </xf>
    <xf numFmtId="0" fontId="11" fillId="35" borderId="83" xfId="0" applyFont="1" applyFill="1" applyBorder="1" applyAlignment="1">
      <alignment horizontal="center" vertical="center"/>
    </xf>
    <xf numFmtId="0" fontId="3" fillId="39" borderId="109" xfId="0" applyFont="1" applyFill="1" applyBorder="1" applyAlignment="1">
      <alignment horizontal="center" vertical="center"/>
    </xf>
    <xf numFmtId="3" fontId="0" fillId="46" borderId="107" xfId="0" applyNumberFormat="1" applyFill="1" applyBorder="1" applyAlignment="1">
      <alignment horizontal="center" vertical="center"/>
    </xf>
    <xf numFmtId="175" fontId="86" fillId="47" borderId="42" xfId="0" applyNumberFormat="1" applyFont="1" applyFill="1" applyBorder="1" applyAlignment="1">
      <alignment horizontal="center" vertical="center"/>
    </xf>
    <xf numFmtId="3" fontId="0" fillId="46" borderId="44" xfId="0" applyNumberFormat="1" applyFill="1" applyBorder="1" applyAlignment="1">
      <alignment horizontal="center" vertical="center"/>
    </xf>
    <xf numFmtId="3" fontId="0" fillId="46" borderId="4" xfId="0" applyNumberFormat="1" applyFill="1" applyBorder="1" applyAlignment="1">
      <alignment horizontal="center" vertical="center"/>
    </xf>
    <xf numFmtId="175" fontId="86" fillId="47" borderId="2" xfId="0" applyNumberFormat="1" applyFont="1" applyFill="1" applyBorder="1" applyAlignment="1">
      <alignment horizontal="center" vertical="center"/>
    </xf>
    <xf numFmtId="3" fontId="17" fillId="47" borderId="41" xfId="0" applyNumberFormat="1" applyFont="1" applyFill="1" applyBorder="1" applyAlignment="1">
      <alignment horizontal="center" vertical="center"/>
    </xf>
    <xf numFmtId="175" fontId="86" fillId="47" borderId="105" xfId="0" applyNumberFormat="1" applyFont="1" applyFill="1" applyBorder="1" applyAlignment="1">
      <alignment horizontal="center" vertical="center"/>
    </xf>
    <xf numFmtId="3" fontId="17" fillId="37" borderId="4" xfId="0" applyNumberFormat="1" applyFont="1" applyFill="1" applyBorder="1" applyAlignment="1">
      <alignment horizontal="center" vertical="center"/>
    </xf>
    <xf numFmtId="175" fontId="86" fillId="37" borderId="10" xfId="0" applyNumberFormat="1" applyFont="1" applyFill="1" applyBorder="1" applyAlignment="1">
      <alignment horizontal="center" vertical="center"/>
    </xf>
    <xf numFmtId="3" fontId="0" fillId="47" borderId="41" xfId="0" applyNumberFormat="1" applyFill="1" applyBorder="1" applyAlignment="1">
      <alignment horizontal="center" vertical="center"/>
    </xf>
    <xf numFmtId="175" fontId="86" fillId="47" borderId="1" xfId="0" applyNumberFormat="1" applyFont="1" applyFill="1" applyBorder="1" applyAlignment="1">
      <alignment horizontal="center" vertical="center"/>
    </xf>
    <xf numFmtId="3" fontId="15" fillId="47" borderId="108" xfId="0" applyNumberFormat="1" applyFont="1" applyFill="1" applyBorder="1" applyAlignment="1">
      <alignment horizontal="center" vertical="center"/>
    </xf>
    <xf numFmtId="0" fontId="63" fillId="48" borderId="86" xfId="0" applyFont="1" applyFill="1" applyBorder="1" applyAlignment="1">
      <alignment horizontal="center" vertical="center"/>
    </xf>
    <xf numFmtId="0" fontId="3" fillId="39" borderId="47" xfId="0" applyFont="1" applyFill="1" applyBorder="1" applyAlignment="1">
      <alignment horizontal="center" vertical="center"/>
    </xf>
    <xf numFmtId="0" fontId="63" fillId="48" borderId="46" xfId="0" applyFont="1" applyFill="1" applyBorder="1" applyAlignment="1">
      <alignment horizontal="center" vertical="center"/>
    </xf>
    <xf numFmtId="175" fontId="86" fillId="49" borderId="42" xfId="0" applyNumberFormat="1" applyFont="1" applyFill="1" applyBorder="1" applyAlignment="1">
      <alignment horizontal="center" vertical="center"/>
    </xf>
    <xf numFmtId="0" fontId="74" fillId="39" borderId="47" xfId="0" applyFont="1" applyFill="1" applyBorder="1" applyAlignment="1">
      <alignment horizontal="center" vertical="center"/>
    </xf>
    <xf numFmtId="3" fontId="17" fillId="46" borderId="44" xfId="0" applyNumberFormat="1" applyFont="1" applyFill="1" applyBorder="1" applyAlignment="1">
      <alignment horizontal="center" vertical="center"/>
    </xf>
    <xf numFmtId="0" fontId="38" fillId="48" borderId="46" xfId="0" applyFont="1" applyFill="1" applyBorder="1" applyAlignment="1">
      <alignment horizontal="center" vertical="center"/>
    </xf>
    <xf numFmtId="0" fontId="3" fillId="39" borderId="110" xfId="0" applyFont="1" applyFill="1" applyBorder="1" applyAlignment="1">
      <alignment horizontal="center" vertical="center"/>
    </xf>
    <xf numFmtId="3" fontId="11" fillId="39" borderId="107" xfId="0" applyNumberFormat="1" applyFont="1" applyFill="1" applyBorder="1" applyAlignment="1">
      <alignment horizontal="center" vertical="center"/>
    </xf>
    <xf numFmtId="175" fontId="87" fillId="39" borderId="42" xfId="0" applyNumberFormat="1" applyFont="1" applyFill="1" applyBorder="1" applyAlignment="1">
      <alignment horizontal="center" vertical="center"/>
    </xf>
    <xf numFmtId="3" fontId="11" fillId="39" borderId="44" xfId="0" applyNumberFormat="1" applyFont="1" applyFill="1" applyBorder="1" applyAlignment="1">
      <alignment horizontal="center" vertical="center"/>
    </xf>
    <xf numFmtId="3" fontId="11" fillId="39" borderId="4" xfId="0" applyNumberFormat="1" applyFont="1" applyFill="1" applyBorder="1" applyAlignment="1">
      <alignment horizontal="center" vertical="center"/>
    </xf>
    <xf numFmtId="175" fontId="87" fillId="39" borderId="2" xfId="0" applyNumberFormat="1" applyFont="1" applyFill="1" applyBorder="1" applyAlignment="1">
      <alignment horizontal="center" vertical="center"/>
    </xf>
    <xf numFmtId="3" fontId="11" fillId="39" borderId="111" xfId="0" applyNumberFormat="1" applyFont="1" applyFill="1" applyBorder="1" applyAlignment="1">
      <alignment horizontal="center" vertical="center"/>
    </xf>
    <xf numFmtId="3" fontId="11" fillId="39" borderId="112" xfId="0" applyNumberFormat="1" applyFont="1" applyFill="1" applyBorder="1" applyAlignment="1">
      <alignment horizontal="center" vertical="center"/>
    </xf>
    <xf numFmtId="3" fontId="11" fillId="39" borderId="113" xfId="0" applyNumberFormat="1" applyFont="1" applyFill="1" applyBorder="1" applyAlignment="1">
      <alignment horizontal="center" vertical="center"/>
    </xf>
    <xf numFmtId="175" fontId="87" fillId="39" borderId="114" xfId="0" applyNumberFormat="1" applyFont="1" applyFill="1" applyBorder="1" applyAlignment="1">
      <alignment horizontal="center" vertical="center"/>
    </xf>
    <xf numFmtId="3" fontId="11" fillId="39" borderId="115" xfId="0" applyNumberFormat="1" applyFont="1" applyFill="1" applyBorder="1" applyAlignment="1">
      <alignment horizontal="center" vertical="center"/>
    </xf>
    <xf numFmtId="175" fontId="87" fillId="39" borderId="116" xfId="0" applyNumberFormat="1" applyFont="1" applyFill="1" applyBorder="1" applyAlignment="1">
      <alignment horizontal="center" vertical="center"/>
    </xf>
    <xf numFmtId="3" fontId="38" fillId="39" borderId="117" xfId="0" applyNumberFormat="1" applyFont="1" applyFill="1" applyBorder="1" applyAlignment="1">
      <alignment horizontal="center" vertical="center"/>
    </xf>
    <xf numFmtId="0" fontId="3" fillId="48" borderId="118" xfId="0" applyFont="1" applyFill="1" applyBorder="1" applyAlignment="1">
      <alignment horizontal="center" vertical="center"/>
    </xf>
    <xf numFmtId="0" fontId="88" fillId="35" borderId="124" xfId="0" applyFont="1" applyFill="1" applyBorder="1" applyAlignment="1">
      <alignment horizontal="left" vertical="center"/>
    </xf>
    <xf numFmtId="0" fontId="11" fillId="35" borderId="0" xfId="0" applyFont="1" applyFill="1" applyAlignment="1">
      <alignment horizontal="center" vertical="center"/>
    </xf>
    <xf numFmtId="0" fontId="17" fillId="35" borderId="0" xfId="0" applyFont="1" applyFill="1"/>
    <xf numFmtId="0" fontId="0" fillId="35" borderId="0" xfId="0" applyFill="1" applyAlignment="1">
      <alignment horizontal="center" vertical="center"/>
    </xf>
    <xf numFmtId="0" fontId="17" fillId="44" borderId="0" xfId="0" applyFont="1" applyFill="1"/>
    <xf numFmtId="0" fontId="66" fillId="44" borderId="0" xfId="0" applyFont="1" applyFill="1" applyAlignment="1">
      <alignment horizontal="left"/>
    </xf>
    <xf numFmtId="0" fontId="90" fillId="35" borderId="0" xfId="0" applyFont="1" applyFill="1"/>
    <xf numFmtId="0" fontId="47" fillId="35" borderId="0" xfId="0" applyFont="1" applyFill="1"/>
    <xf numFmtId="0" fontId="2" fillId="35" borderId="0" xfId="0" applyFont="1" applyFill="1"/>
    <xf numFmtId="9" fontId="17" fillId="35" borderId="0" xfId="0" applyNumberFormat="1" applyFont="1" applyFill="1"/>
    <xf numFmtId="0" fontId="0" fillId="51" borderId="0" xfId="0" applyFill="1"/>
    <xf numFmtId="0" fontId="47" fillId="2" borderId="0" xfId="0" applyFont="1" applyFill="1"/>
    <xf numFmtId="0" fontId="93" fillId="2" borderId="0" xfId="0" applyFont="1" applyFill="1"/>
    <xf numFmtId="178" fontId="6" fillId="31" borderId="41" xfId="0" applyNumberFormat="1" applyFont="1" applyFill="1" applyBorder="1" applyAlignment="1">
      <alignment horizontal="center" vertical="center"/>
    </xf>
    <xf numFmtId="178" fontId="6" fillId="31" borderId="1" xfId="0" applyNumberFormat="1" applyFont="1" applyFill="1" applyBorder="1" applyAlignment="1">
      <alignment horizontal="center" vertical="center"/>
    </xf>
    <xf numFmtId="178" fontId="6" fillId="31" borderId="10" xfId="0" applyNumberFormat="1" applyFont="1" applyFill="1" applyBorder="1" applyAlignment="1">
      <alignment horizontal="center" vertical="center"/>
    </xf>
    <xf numFmtId="178" fontId="6" fillId="31" borderId="4" xfId="0" applyNumberFormat="1" applyFont="1" applyFill="1" applyBorder="1" applyAlignment="1">
      <alignment horizontal="center" vertical="center"/>
    </xf>
    <xf numFmtId="0" fontId="9" fillId="44" borderId="0" xfId="0" applyFont="1" applyFill="1" applyAlignment="1">
      <alignment horizontal="center" vertical="center"/>
    </xf>
    <xf numFmtId="175" fontId="3" fillId="30" borderId="2" xfId="0" applyNumberFormat="1" applyFont="1" applyFill="1" applyBorder="1" applyAlignment="1">
      <alignment horizontal="center" vertical="center" wrapText="1"/>
    </xf>
    <xf numFmtId="178" fontId="0" fillId="31" borderId="41" xfId="0" applyNumberFormat="1" applyFill="1" applyBorder="1" applyAlignment="1">
      <alignment horizontal="center" vertical="center"/>
    </xf>
    <xf numFmtId="178" fontId="0" fillId="31" borderId="1" xfId="0" applyNumberFormat="1" applyFill="1" applyBorder="1" applyAlignment="1">
      <alignment horizontal="center" vertical="center"/>
    </xf>
    <xf numFmtId="178" fontId="0" fillId="31" borderId="10" xfId="0" applyNumberFormat="1" applyFill="1" applyBorder="1" applyAlignment="1">
      <alignment horizontal="center" vertical="center"/>
    </xf>
    <xf numFmtId="178" fontId="0" fillId="31" borderId="4" xfId="0" applyNumberFormat="1" applyFill="1" applyBorder="1" applyAlignment="1">
      <alignment horizontal="center" vertical="center"/>
    </xf>
    <xf numFmtId="0" fontId="10" fillId="52" borderId="141" xfId="0" applyFont="1" applyFill="1" applyBorder="1" applyAlignment="1">
      <alignment horizontal="center" vertical="center"/>
    </xf>
    <xf numFmtId="0" fontId="10" fillId="52"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142" xfId="0" applyFont="1" applyFill="1" applyBorder="1" applyAlignment="1">
      <alignment horizontal="center" vertical="center"/>
    </xf>
    <xf numFmtId="0" fontId="11" fillId="38" borderId="109" xfId="0" applyFont="1" applyFill="1" applyBorder="1" applyAlignment="1">
      <alignment horizontal="center" vertical="center"/>
    </xf>
    <xf numFmtId="3" fontId="11" fillId="33" borderId="47" xfId="0" applyNumberFormat="1" applyFont="1" applyFill="1" applyBorder="1" applyAlignment="1">
      <alignment horizontal="center" vertical="center"/>
    </xf>
    <xf numFmtId="175" fontId="65" fillId="0" borderId="42" xfId="0" applyNumberFormat="1" applyFont="1" applyBorder="1" applyAlignment="1">
      <alignment horizontal="center" vertical="center"/>
    </xf>
    <xf numFmtId="0" fontId="40" fillId="38" borderId="109" xfId="0" applyFont="1" applyFill="1" applyBorder="1" applyAlignment="1">
      <alignment horizontal="center" vertical="center"/>
    </xf>
    <xf numFmtId="175" fontId="96" fillId="0" borderId="41" xfId="0" applyNumberFormat="1" applyFont="1" applyBorder="1" applyAlignment="1">
      <alignment horizontal="center" vertical="center"/>
    </xf>
    <xf numFmtId="175" fontId="96" fillId="0" borderId="1" xfId="0" applyNumberFormat="1" applyFont="1" applyBorder="1" applyAlignment="1">
      <alignment horizontal="center" vertical="center"/>
    </xf>
    <xf numFmtId="175" fontId="96" fillId="0" borderId="10" xfId="0" applyNumberFormat="1" applyFont="1" applyBorder="1" applyAlignment="1">
      <alignment horizontal="center" vertical="center"/>
    </xf>
    <xf numFmtId="175" fontId="96" fillId="0" borderId="4" xfId="0" applyNumberFormat="1" applyFont="1" applyBorder="1" applyAlignment="1">
      <alignment horizontal="center" vertical="center"/>
    </xf>
    <xf numFmtId="0" fontId="11" fillId="38" borderId="84" xfId="0" applyFont="1" applyFill="1" applyBorder="1" applyAlignment="1">
      <alignment horizontal="center" vertical="center"/>
    </xf>
    <xf numFmtId="175" fontId="97" fillId="53" borderId="141" xfId="0" applyNumberFormat="1" applyFont="1" applyFill="1" applyBorder="1" applyAlignment="1">
      <alignment horizontal="center" vertical="center"/>
    </xf>
    <xf numFmtId="175" fontId="98" fillId="53" borderId="1" xfId="0" applyNumberFormat="1" applyFont="1" applyFill="1" applyBorder="1" applyAlignment="1">
      <alignment horizontal="center" vertical="center"/>
    </xf>
    <xf numFmtId="175" fontId="99" fillId="2" borderId="1" xfId="0" applyNumberFormat="1" applyFont="1" applyFill="1" applyBorder="1" applyAlignment="1">
      <alignment horizontal="center" vertical="center"/>
    </xf>
    <xf numFmtId="175" fontId="99" fillId="2" borderId="142" xfId="0" applyNumberFormat="1" applyFont="1" applyFill="1" applyBorder="1" applyAlignment="1">
      <alignment horizontal="center" vertical="center"/>
    </xf>
    <xf numFmtId="0" fontId="11" fillId="38" borderId="47" xfId="0" applyFont="1" applyFill="1" applyBorder="1" applyAlignment="1">
      <alignment horizontal="center" vertical="center"/>
    </xf>
    <xf numFmtId="0" fontId="40" fillId="38" borderId="47" xfId="0" applyFont="1" applyFill="1" applyBorder="1" applyAlignment="1">
      <alignment horizontal="center" vertical="center"/>
    </xf>
    <xf numFmtId="0" fontId="11" fillId="38" borderId="3" xfId="0" applyFont="1" applyFill="1" applyBorder="1" applyAlignment="1">
      <alignment horizontal="center" vertical="center"/>
    </xf>
    <xf numFmtId="0" fontId="38" fillId="38" borderId="47" xfId="0" applyFont="1" applyFill="1" applyBorder="1" applyAlignment="1">
      <alignment horizontal="center" vertical="center"/>
    </xf>
    <xf numFmtId="0" fontId="100" fillId="38" borderId="110" xfId="0" applyFont="1" applyFill="1" applyBorder="1" applyAlignment="1">
      <alignment horizontal="center" vertical="center"/>
    </xf>
    <xf numFmtId="175" fontId="96" fillId="0" borderId="111" xfId="0" applyNumberFormat="1" applyFont="1" applyBorder="1" applyAlignment="1">
      <alignment horizontal="center" vertical="center"/>
    </xf>
    <xf numFmtId="175" fontId="96" fillId="0" borderId="143" xfId="0" applyNumberFormat="1" applyFont="1" applyBorder="1" applyAlignment="1">
      <alignment horizontal="center" vertical="center"/>
    </xf>
    <xf numFmtId="175" fontId="96" fillId="0" borderId="114" xfId="0" applyNumberFormat="1" applyFont="1" applyBorder="1" applyAlignment="1">
      <alignment horizontal="center" vertical="center"/>
    </xf>
    <xf numFmtId="175" fontId="96" fillId="0" borderId="113" xfId="0" applyNumberFormat="1" applyFont="1" applyBorder="1" applyAlignment="1">
      <alignment horizontal="center" vertical="center"/>
    </xf>
    <xf numFmtId="0" fontId="38" fillId="38" borderId="18" xfId="0" applyFont="1" applyFill="1" applyBorder="1" applyAlignment="1">
      <alignment horizontal="center" vertical="center"/>
    </xf>
    <xf numFmtId="0" fontId="11" fillId="38" borderId="110" xfId="0" applyFont="1" applyFill="1" applyBorder="1" applyAlignment="1">
      <alignment horizontal="center" vertical="center" wrapText="1"/>
    </xf>
    <xf numFmtId="3" fontId="9" fillId="31" borderId="60" xfId="0" applyNumberFormat="1" applyFont="1" applyFill="1" applyBorder="1" applyAlignment="1">
      <alignment horizontal="center" vertical="center"/>
    </xf>
    <xf numFmtId="175" fontId="31" fillId="31" borderId="62" xfId="0" applyNumberFormat="1" applyFont="1" applyFill="1" applyBorder="1" applyAlignment="1">
      <alignment horizontal="center" vertical="center"/>
    </xf>
    <xf numFmtId="0" fontId="67" fillId="2" borderId="144" xfId="0" applyFont="1" applyFill="1" applyBorder="1" applyAlignment="1">
      <alignment horizontal="right" vertical="center"/>
    </xf>
    <xf numFmtId="175" fontId="101" fillId="53" borderId="4" xfId="0" applyNumberFormat="1" applyFont="1" applyFill="1" applyBorder="1" applyAlignment="1">
      <alignment horizontal="center" vertical="center"/>
    </xf>
    <xf numFmtId="175" fontId="101" fillId="53" borderId="1" xfId="0" applyNumberFormat="1" applyFont="1" applyFill="1" applyBorder="1" applyAlignment="1">
      <alignment horizontal="center" vertical="center"/>
    </xf>
    <xf numFmtId="175" fontId="31" fillId="2" borderId="1" xfId="0" applyNumberFormat="1" applyFont="1" applyFill="1" applyBorder="1" applyAlignment="1">
      <alignment horizontal="center" vertical="center"/>
    </xf>
    <xf numFmtId="175" fontId="31" fillId="2" borderId="142" xfId="0" applyNumberFormat="1" applyFont="1" applyFill="1" applyBorder="1" applyAlignment="1">
      <alignment horizontal="center" vertical="center"/>
    </xf>
    <xf numFmtId="0" fontId="3" fillId="54" borderId="145" xfId="0" applyFont="1" applyFill="1" applyBorder="1" applyAlignment="1">
      <alignment horizontal="center" vertical="center" wrapText="1"/>
    </xf>
    <xf numFmtId="0" fontId="3" fillId="54" borderId="146" xfId="0" applyFont="1" applyFill="1" applyBorder="1" applyAlignment="1">
      <alignment horizontal="center" vertical="center" wrapText="1"/>
    </xf>
    <xf numFmtId="0" fontId="0" fillId="31" borderId="146" xfId="0" applyFill="1" applyBorder="1" applyAlignment="1">
      <alignment horizontal="center" vertical="center" wrapText="1"/>
    </xf>
    <xf numFmtId="0" fontId="15" fillId="31" borderId="147" xfId="0" applyFont="1" applyFill="1" applyBorder="1" applyAlignment="1">
      <alignment horizontal="center" vertical="center" wrapText="1"/>
    </xf>
    <xf numFmtId="178" fontId="6" fillId="9" borderId="41" xfId="0" applyNumberFormat="1" applyFont="1" applyFill="1" applyBorder="1" applyAlignment="1">
      <alignment horizontal="center" vertical="center"/>
    </xf>
    <xf numFmtId="178" fontId="6" fillId="9" borderId="1" xfId="0" applyNumberFormat="1" applyFont="1" applyFill="1" applyBorder="1" applyAlignment="1">
      <alignment horizontal="center" vertical="center"/>
    </xf>
    <xf numFmtId="178" fontId="6" fillId="9" borderId="10" xfId="0" applyNumberFormat="1" applyFont="1" applyFill="1" applyBorder="1" applyAlignment="1">
      <alignment horizontal="center" vertical="center"/>
    </xf>
    <xf numFmtId="175" fontId="3" fillId="9" borderId="16" xfId="0" applyNumberFormat="1" applyFont="1" applyFill="1" applyBorder="1" applyAlignment="1">
      <alignment horizontal="center" vertical="center" wrapText="1"/>
    </xf>
    <xf numFmtId="178" fontId="0" fillId="9" borderId="41" xfId="0" applyNumberFormat="1" applyFill="1" applyBorder="1" applyAlignment="1">
      <alignment horizontal="center" vertical="center"/>
    </xf>
    <xf numFmtId="178" fontId="0" fillId="9" borderId="1" xfId="0" applyNumberFormat="1" applyFill="1" applyBorder="1" applyAlignment="1">
      <alignment horizontal="center" vertical="center"/>
    </xf>
    <xf numFmtId="178" fontId="0" fillId="9" borderId="10" xfId="0" applyNumberFormat="1" applyFill="1" applyBorder="1" applyAlignment="1">
      <alignment horizontal="center" vertical="center"/>
    </xf>
    <xf numFmtId="0" fontId="27" fillId="2" borderId="1" xfId="0" applyFont="1" applyFill="1" applyBorder="1" applyAlignment="1">
      <alignment horizontal="center" vertical="center"/>
    </xf>
    <xf numFmtId="0" fontId="11" fillId="40" borderId="89" xfId="0" applyFont="1" applyFill="1" applyBorder="1" applyAlignment="1">
      <alignment horizontal="center" vertical="center"/>
    </xf>
    <xf numFmtId="0" fontId="11" fillId="40" borderId="2" xfId="0" applyFont="1" applyFill="1" applyBorder="1" applyAlignment="1">
      <alignment horizontal="center" vertical="center"/>
    </xf>
    <xf numFmtId="175" fontId="65" fillId="0" borderId="41" xfId="0" applyNumberFormat="1" applyFont="1" applyBorder="1" applyAlignment="1">
      <alignment horizontal="center" vertical="center"/>
    </xf>
    <xf numFmtId="175" fontId="65" fillId="0" borderId="1" xfId="0" applyNumberFormat="1" applyFont="1" applyBorder="1" applyAlignment="1">
      <alignment horizontal="center" vertical="center"/>
    </xf>
    <xf numFmtId="175" fontId="65" fillId="0" borderId="10" xfId="0" applyNumberFormat="1" applyFont="1" applyBorder="1" applyAlignment="1">
      <alignment horizontal="center" vertical="center"/>
    </xf>
    <xf numFmtId="0" fontId="11" fillId="40" borderId="84" xfId="0" applyFont="1" applyFill="1" applyBorder="1" applyAlignment="1">
      <alignment horizontal="center" vertical="center"/>
    </xf>
    <xf numFmtId="0" fontId="11" fillId="40" borderId="91" xfId="0" applyFont="1" applyFill="1" applyBorder="1" applyAlignment="1">
      <alignment horizontal="center" vertical="center"/>
    </xf>
    <xf numFmtId="0" fontId="11" fillId="40" borderId="3" xfId="0" applyFont="1" applyFill="1" applyBorder="1" applyAlignment="1">
      <alignment horizontal="center" vertical="center"/>
    </xf>
    <xf numFmtId="0" fontId="38" fillId="40" borderId="91" xfId="0" applyFont="1" applyFill="1" applyBorder="1" applyAlignment="1">
      <alignment horizontal="center" vertical="center"/>
    </xf>
    <xf numFmtId="0" fontId="38" fillId="40" borderId="2" xfId="0" applyFont="1" applyFill="1" applyBorder="1" applyAlignment="1">
      <alignment horizontal="center" vertical="center"/>
    </xf>
    <xf numFmtId="175" fontId="65" fillId="0" borderId="111" xfId="0" applyNumberFormat="1" applyFont="1" applyBorder="1" applyAlignment="1">
      <alignment horizontal="center" vertical="center"/>
    </xf>
    <xf numFmtId="175" fontId="65" fillId="0" borderId="143" xfId="0" applyNumberFormat="1" applyFont="1" applyBorder="1" applyAlignment="1">
      <alignment horizontal="center" vertical="center"/>
    </xf>
    <xf numFmtId="175" fontId="65" fillId="0" borderId="114" xfId="0" applyNumberFormat="1" applyFont="1" applyBorder="1" applyAlignment="1">
      <alignment horizontal="center" vertical="center"/>
    </xf>
    <xf numFmtId="0" fontId="38" fillId="40" borderId="18" xfId="0" applyFont="1" applyFill="1" applyBorder="1" applyAlignment="1">
      <alignment horizontal="center" vertical="center"/>
    </xf>
    <xf numFmtId="0" fontId="11" fillId="40" borderId="153" xfId="0" applyFont="1" applyFill="1" applyBorder="1" applyAlignment="1">
      <alignment horizontal="center" vertical="center" wrapText="1"/>
    </xf>
    <xf numFmtId="0" fontId="3" fillId="56" borderId="145" xfId="0" applyFont="1" applyFill="1" applyBorder="1" applyAlignment="1">
      <alignment horizontal="center" vertical="center" wrapText="1"/>
    </xf>
    <xf numFmtId="0" fontId="3" fillId="56" borderId="146" xfId="0" applyFont="1" applyFill="1" applyBorder="1" applyAlignment="1">
      <alignment horizontal="center" vertical="center" wrapText="1"/>
    </xf>
    <xf numFmtId="0" fontId="0" fillId="9" borderId="146" xfId="0" applyFill="1" applyBorder="1" applyAlignment="1">
      <alignment horizontal="center" vertical="center" wrapText="1"/>
    </xf>
    <xf numFmtId="0" fontId="15" fillId="9" borderId="147" xfId="0" applyFont="1" applyFill="1" applyBorder="1" applyAlignment="1">
      <alignment horizontal="center" vertical="center" wrapText="1"/>
    </xf>
    <xf numFmtId="14" fontId="0" fillId="57" borderId="0" xfId="0" applyNumberFormat="1" applyFill="1" applyAlignment="1">
      <alignment horizontal="left"/>
    </xf>
    <xf numFmtId="0" fontId="0" fillId="57" borderId="0" xfId="0" applyFill="1"/>
    <xf numFmtId="0" fontId="0" fillId="57" borderId="0" xfId="0" applyFill="1" applyAlignment="1">
      <alignment horizontal="right"/>
    </xf>
    <xf numFmtId="0" fontId="104" fillId="2" borderId="55" xfId="0" applyFont="1" applyFill="1" applyBorder="1" applyAlignment="1">
      <alignment horizontal="center" vertical="center"/>
    </xf>
    <xf numFmtId="175" fontId="105" fillId="2" borderId="154" xfId="0" applyNumberFormat="1" applyFont="1" applyFill="1" applyBorder="1" applyAlignment="1">
      <alignment horizontal="center" vertical="center"/>
    </xf>
    <xf numFmtId="175" fontId="105" fillId="2" borderId="155" xfId="0" applyNumberFormat="1" applyFont="1" applyFill="1" applyBorder="1" applyAlignment="1">
      <alignment horizontal="center" vertical="center"/>
    </xf>
    <xf numFmtId="175" fontId="105" fillId="2" borderId="156" xfId="0" applyNumberFormat="1" applyFont="1" applyFill="1" applyBorder="1" applyAlignment="1">
      <alignment horizontal="center" vertical="center"/>
    </xf>
    <xf numFmtId="0" fontId="104" fillId="2" borderId="18" xfId="0" applyFont="1" applyFill="1" applyBorder="1" applyAlignment="1">
      <alignment horizontal="center" vertical="center"/>
    </xf>
    <xf numFmtId="0" fontId="107" fillId="2" borderId="40" xfId="0" applyFont="1" applyFill="1" applyBorder="1" applyAlignment="1">
      <alignment horizontal="center" vertical="center"/>
    </xf>
    <xf numFmtId="0" fontId="108" fillId="2" borderId="2" xfId="0" applyFont="1" applyFill="1" applyBorder="1" applyAlignment="1">
      <alignment horizontal="center" vertical="center"/>
    </xf>
    <xf numFmtId="175" fontId="109" fillId="2" borderId="157" xfId="0" applyNumberFormat="1" applyFont="1" applyFill="1" applyBorder="1" applyAlignment="1">
      <alignment horizontal="center" vertical="center"/>
    </xf>
    <xf numFmtId="175" fontId="109" fillId="2" borderId="1" xfId="0" applyNumberFormat="1" applyFont="1" applyFill="1" applyBorder="1" applyAlignment="1">
      <alignment horizontal="center" vertical="center"/>
    </xf>
    <xf numFmtId="175" fontId="109" fillId="2" borderId="158" xfId="0" applyNumberFormat="1" applyFont="1" applyFill="1" applyBorder="1" applyAlignment="1">
      <alignment horizontal="center" vertical="center"/>
    </xf>
    <xf numFmtId="0" fontId="108" fillId="2" borderId="3" xfId="0" applyFont="1" applyFill="1" applyBorder="1" applyAlignment="1">
      <alignment horizontal="center"/>
    </xf>
    <xf numFmtId="175" fontId="109" fillId="2" borderId="157" xfId="0" applyNumberFormat="1" applyFont="1" applyFill="1" applyBorder="1" applyAlignment="1">
      <alignment horizontal="center"/>
    </xf>
    <xf numFmtId="175" fontId="109" fillId="2" borderId="1" xfId="0" applyNumberFormat="1" applyFont="1" applyFill="1" applyBorder="1" applyAlignment="1">
      <alignment horizontal="center"/>
    </xf>
    <xf numFmtId="175" fontId="109" fillId="2" borderId="158" xfId="0" applyNumberFormat="1" applyFont="1" applyFill="1" applyBorder="1" applyAlignment="1">
      <alignment horizontal="center"/>
    </xf>
    <xf numFmtId="0" fontId="107" fillId="2" borderId="44" xfId="0" applyFont="1" applyFill="1" applyBorder="1" applyAlignment="1">
      <alignment horizontal="center" vertical="center"/>
    </xf>
    <xf numFmtId="0" fontId="107" fillId="2" borderId="52" xfId="0" applyFont="1" applyFill="1" applyBorder="1" applyAlignment="1">
      <alignment horizontal="center" vertical="center"/>
    </xf>
    <xf numFmtId="0" fontId="108" fillId="2" borderId="16" xfId="0" applyFont="1" applyFill="1" applyBorder="1" applyAlignment="1">
      <alignment horizontal="center" vertical="center"/>
    </xf>
    <xf numFmtId="175" fontId="109" fillId="2" borderId="159" xfId="0" applyNumberFormat="1" applyFont="1" applyFill="1" applyBorder="1" applyAlignment="1">
      <alignment horizontal="center" vertical="center"/>
    </xf>
    <xf numFmtId="175" fontId="109" fillId="2" borderId="6" xfId="0" applyNumberFormat="1" applyFont="1" applyFill="1" applyBorder="1" applyAlignment="1">
      <alignment horizontal="center" vertical="center"/>
    </xf>
    <xf numFmtId="175" fontId="109" fillId="2" borderId="160" xfId="0" applyNumberFormat="1" applyFont="1" applyFill="1" applyBorder="1" applyAlignment="1">
      <alignment horizontal="center" vertical="center"/>
    </xf>
    <xf numFmtId="0" fontId="108" fillId="2" borderId="18" xfId="0" applyFont="1" applyFill="1" applyBorder="1" applyAlignment="1">
      <alignment horizontal="center"/>
    </xf>
    <xf numFmtId="175" fontId="109" fillId="2" borderId="159" xfId="0" applyNumberFormat="1" applyFont="1" applyFill="1" applyBorder="1" applyAlignment="1">
      <alignment horizontal="center"/>
    </xf>
    <xf numFmtId="175" fontId="109" fillId="2" borderId="6" xfId="0" applyNumberFormat="1" applyFont="1" applyFill="1" applyBorder="1" applyAlignment="1">
      <alignment horizontal="center"/>
    </xf>
    <xf numFmtId="175" fontId="109" fillId="2" borderId="160" xfId="0" applyNumberFormat="1" applyFont="1" applyFill="1" applyBorder="1" applyAlignment="1">
      <alignment horizontal="center"/>
    </xf>
    <xf numFmtId="0" fontId="107" fillId="2" borderId="161" xfId="0" applyFont="1" applyFill="1" applyBorder="1" applyAlignment="1">
      <alignment horizontal="center" vertical="center"/>
    </xf>
    <xf numFmtId="0" fontId="108" fillId="2" borderId="162" xfId="0" applyFont="1" applyFill="1" applyBorder="1" applyAlignment="1">
      <alignment horizontal="center" vertical="center"/>
    </xf>
    <xf numFmtId="175" fontId="109" fillId="2" borderId="163" xfId="0" applyNumberFormat="1" applyFont="1" applyFill="1" applyBorder="1" applyAlignment="1">
      <alignment horizontal="center" vertical="center"/>
    </xf>
    <xf numFmtId="175" fontId="109" fillId="2" borderId="164" xfId="0" applyNumberFormat="1" applyFont="1" applyFill="1" applyBorder="1" applyAlignment="1">
      <alignment horizontal="center" vertical="center"/>
    </xf>
    <xf numFmtId="0" fontId="108" fillId="2" borderId="165" xfId="0" applyFont="1" applyFill="1" applyBorder="1" applyAlignment="1">
      <alignment horizontal="center"/>
    </xf>
    <xf numFmtId="175" fontId="109" fillId="2" borderId="163" xfId="0" applyNumberFormat="1" applyFont="1" applyFill="1" applyBorder="1" applyAlignment="1">
      <alignment horizontal="center"/>
    </xf>
    <xf numFmtId="175" fontId="109" fillId="2" borderId="164" xfId="0" applyNumberFormat="1" applyFont="1" applyFill="1" applyBorder="1" applyAlignment="1">
      <alignment horizontal="center"/>
    </xf>
    <xf numFmtId="0" fontId="110" fillId="2" borderId="166" xfId="0" applyFont="1" applyFill="1" applyBorder="1" applyAlignment="1">
      <alignment horizontal="center" vertical="center"/>
    </xf>
    <xf numFmtId="3" fontId="111" fillId="2" borderId="167" xfId="0" applyNumberFormat="1" applyFont="1" applyFill="1" applyBorder="1" applyAlignment="1">
      <alignment horizontal="center" vertical="center"/>
    </xf>
    <xf numFmtId="175" fontId="112" fillId="2" borderId="168" xfId="0" applyNumberFormat="1" applyFont="1" applyFill="1" applyBorder="1" applyAlignment="1">
      <alignment horizontal="center" vertical="center"/>
    </xf>
    <xf numFmtId="175" fontId="112" fillId="2" borderId="169" xfId="0" applyNumberFormat="1" applyFont="1" applyFill="1" applyBorder="1" applyAlignment="1">
      <alignment horizontal="center" vertical="center"/>
    </xf>
    <xf numFmtId="175" fontId="112" fillId="2" borderId="170" xfId="0" applyNumberFormat="1" applyFont="1" applyFill="1" applyBorder="1" applyAlignment="1">
      <alignment horizontal="center" vertical="center"/>
    </xf>
    <xf numFmtId="3" fontId="111" fillId="2" borderId="171" xfId="0" applyNumberFormat="1" applyFont="1" applyFill="1" applyBorder="1" applyAlignment="1">
      <alignment horizontal="center"/>
    </xf>
    <xf numFmtId="175" fontId="112" fillId="2" borderId="168" xfId="0" applyNumberFormat="1" applyFont="1" applyFill="1" applyBorder="1" applyAlignment="1">
      <alignment horizontal="center"/>
    </xf>
    <xf numFmtId="175" fontId="112" fillId="2" borderId="169" xfId="0" applyNumberFormat="1" applyFont="1" applyFill="1" applyBorder="1" applyAlignment="1">
      <alignment horizontal="center"/>
    </xf>
    <xf numFmtId="175" fontId="112" fillId="2" borderId="170" xfId="0" applyNumberFormat="1" applyFont="1" applyFill="1" applyBorder="1" applyAlignment="1">
      <alignment horizontal="center"/>
    </xf>
    <xf numFmtId="0" fontId="92" fillId="57" borderId="0" xfId="0" applyFont="1" applyFill="1"/>
    <xf numFmtId="0" fontId="113" fillId="57" borderId="0" xfId="0" applyFont="1" applyFill="1"/>
    <xf numFmtId="0" fontId="113" fillId="57" borderId="0" xfId="0" applyFont="1" applyFill="1" applyAlignment="1">
      <alignment horizontal="left"/>
    </xf>
    <xf numFmtId="0" fontId="113" fillId="57" borderId="0" xfId="0" applyFont="1" applyFill="1" applyAlignment="1">
      <alignment horizontal="right"/>
    </xf>
    <xf numFmtId="0" fontId="114" fillId="57" borderId="0" xfId="0" applyFont="1" applyFill="1"/>
    <xf numFmtId="0" fontId="47" fillId="57" borderId="0" xfId="0" applyFont="1" applyFill="1" applyAlignment="1">
      <alignment horizontal="right"/>
    </xf>
    <xf numFmtId="0" fontId="47" fillId="57" borderId="0" xfId="0" applyFont="1" applyFill="1"/>
    <xf numFmtId="179" fontId="47" fillId="57" borderId="0" xfId="0" applyNumberFormat="1" applyFont="1" applyFill="1"/>
    <xf numFmtId="0" fontId="0" fillId="2" borderId="172" xfId="0" applyFill="1" applyBorder="1" applyAlignment="1" applyProtection="1">
      <alignment horizontal="center"/>
      <protection locked="0"/>
    </xf>
    <xf numFmtId="17" fontId="9" fillId="7" borderId="4" xfId="0" applyNumberFormat="1" applyFont="1" applyFill="1" applyBorder="1" applyAlignment="1" applyProtection="1">
      <alignment horizontal="center" vertical="center"/>
      <protection locked="0"/>
    </xf>
    <xf numFmtId="166" fontId="9" fillId="7" borderId="173" xfId="0" applyNumberFormat="1" applyFont="1" applyFill="1" applyBorder="1" applyAlignment="1" applyProtection="1">
      <alignment horizontal="center" vertical="center"/>
      <protection locked="0"/>
    </xf>
    <xf numFmtId="176" fontId="3" fillId="7" borderId="60" xfId="0" applyNumberFormat="1" applyFont="1" applyFill="1" applyBorder="1" applyAlignment="1">
      <alignment horizontal="center" vertical="center"/>
    </xf>
    <xf numFmtId="175" fontId="64" fillId="7" borderId="61" xfId="0" applyNumberFormat="1" applyFont="1" applyFill="1" applyBorder="1" applyAlignment="1">
      <alignment horizontal="center" vertical="center"/>
    </xf>
    <xf numFmtId="175" fontId="64" fillId="7" borderId="62" xfId="0" applyNumberFormat="1" applyFont="1" applyFill="1" applyBorder="1" applyAlignment="1">
      <alignment horizontal="center" vertical="center"/>
    </xf>
    <xf numFmtId="175" fontId="46" fillId="7" borderId="62" xfId="0" applyNumberFormat="1" applyFont="1" applyFill="1" applyBorder="1" applyAlignment="1">
      <alignment horizontal="center" vertical="center"/>
    </xf>
    <xf numFmtId="175" fontId="65" fillId="7" borderId="60" xfId="0" applyNumberFormat="1" applyFont="1" applyFill="1" applyBorder="1" applyAlignment="1">
      <alignment horizontal="center" vertical="center"/>
    </xf>
    <xf numFmtId="175" fontId="65" fillId="7" borderId="17" xfId="0" applyNumberFormat="1" applyFont="1" applyFill="1" applyBorder="1" applyAlignment="1">
      <alignment horizontal="center" vertical="center"/>
    </xf>
    <xf numFmtId="3" fontId="11" fillId="7" borderId="63" xfId="0" applyNumberFormat="1" applyFont="1" applyFill="1" applyBorder="1" applyAlignment="1">
      <alignment horizontal="center" vertical="center"/>
    </xf>
    <xf numFmtId="175" fontId="65" fillId="7" borderId="64" xfId="0" applyNumberFormat="1" applyFont="1" applyFill="1" applyBorder="1" applyAlignment="1">
      <alignment horizontal="center" vertical="center"/>
    </xf>
    <xf numFmtId="175" fontId="65" fillId="7" borderId="65" xfId="0" applyNumberFormat="1" applyFont="1" applyFill="1" applyBorder="1" applyAlignment="1">
      <alignment horizontal="center" vertical="center"/>
    </xf>
    <xf numFmtId="3" fontId="67" fillId="30" borderId="1" xfId="0" applyNumberFormat="1" applyFont="1" applyFill="1" applyBorder="1" applyAlignment="1">
      <alignment horizontal="center" vertical="center"/>
    </xf>
    <xf numFmtId="2" fontId="35" fillId="0" borderId="0" xfId="2" applyNumberFormat="1" applyFont="1" applyFill="1" applyBorder="1" applyAlignment="1">
      <alignment horizontal="right"/>
    </xf>
    <xf numFmtId="2" fontId="35" fillId="0" borderId="0" xfId="0" applyNumberFormat="1" applyFont="1" applyAlignment="1">
      <alignment horizontal="right"/>
    </xf>
    <xf numFmtId="4" fontId="73" fillId="42" borderId="44" xfId="8" applyNumberFormat="1" applyFont="1" applyFill="1" applyBorder="1" applyAlignment="1">
      <alignment horizontal="center" vertical="center"/>
    </xf>
    <xf numFmtId="0" fontId="26" fillId="0" borderId="0" xfId="0" applyFont="1"/>
    <xf numFmtId="167" fontId="31" fillId="0" borderId="9" xfId="0" applyNumberFormat="1" applyFont="1" applyBorder="1" applyAlignment="1">
      <alignment horizontal="center" vertical="center" wrapText="1"/>
    </xf>
    <xf numFmtId="0" fontId="118" fillId="58" borderId="174" xfId="0" applyFont="1" applyFill="1" applyBorder="1"/>
    <xf numFmtId="0" fontId="0" fillId="4" borderId="0" xfId="0" applyFill="1"/>
    <xf numFmtId="0" fontId="11" fillId="37" borderId="76" xfId="8" applyFont="1" applyFill="1" applyBorder="1" applyAlignment="1">
      <alignment horizontal="center" vertical="center"/>
    </xf>
    <xf numFmtId="0" fontId="11" fillId="37" borderId="77" xfId="8" applyFont="1" applyFill="1" applyBorder="1" applyAlignment="1">
      <alignment horizontal="center" vertical="center"/>
    </xf>
    <xf numFmtId="0" fontId="11" fillId="37" borderId="79" xfId="8" applyFont="1" applyFill="1" applyBorder="1" applyAlignment="1">
      <alignment horizontal="center" vertical="center"/>
    </xf>
    <xf numFmtId="0" fontId="11" fillId="37" borderId="80" xfId="8" applyFont="1" applyFill="1" applyBorder="1" applyAlignment="1">
      <alignment horizontal="center" vertical="center"/>
    </xf>
    <xf numFmtId="0" fontId="11" fillId="37" borderId="83" xfId="8" applyFont="1" applyFill="1" applyBorder="1" applyAlignment="1">
      <alignment horizontal="center" vertical="center"/>
    </xf>
    <xf numFmtId="0" fontId="6" fillId="37" borderId="79" xfId="8" applyFont="1" applyFill="1" applyBorder="1" applyAlignment="1">
      <alignment horizontal="center" vertical="center"/>
    </xf>
    <xf numFmtId="0" fontId="6" fillId="37" borderId="80" xfId="8" applyFont="1" applyFill="1" applyBorder="1" applyAlignment="1">
      <alignment horizontal="center" vertical="center"/>
    </xf>
    <xf numFmtId="0" fontId="6" fillId="37" borderId="83" xfId="8" applyFont="1" applyFill="1" applyBorder="1" applyAlignment="1">
      <alignment horizontal="center" vertical="center"/>
    </xf>
    <xf numFmtId="0" fontId="77" fillId="0" borderId="0" xfId="8" applyFont="1" applyAlignment="1">
      <alignment horizontal="center" vertical="top"/>
    </xf>
    <xf numFmtId="0" fontId="71" fillId="36" borderId="73" xfId="8" applyFont="1" applyFill="1" applyBorder="1" applyAlignment="1">
      <alignment horizontal="center" vertical="center"/>
    </xf>
    <xf numFmtId="0" fontId="71" fillId="36" borderId="74" xfId="8" applyFont="1" applyFill="1" applyBorder="1" applyAlignment="1">
      <alignment horizontal="center" vertical="center"/>
    </xf>
    <xf numFmtId="0" fontId="71" fillId="36" borderId="75" xfId="8" applyFont="1" applyFill="1" applyBorder="1" applyAlignment="1">
      <alignment horizontal="center" vertical="center"/>
    </xf>
    <xf numFmtId="0" fontId="71" fillId="36" borderId="76" xfId="8" applyFont="1" applyFill="1" applyBorder="1" applyAlignment="1">
      <alignment horizontal="center" vertical="center"/>
    </xf>
    <xf numFmtId="0" fontId="71" fillId="36" borderId="77" xfId="8" applyFont="1" applyFill="1" applyBorder="1" applyAlignment="1">
      <alignment horizontal="center" vertical="center"/>
    </xf>
    <xf numFmtId="0" fontId="71" fillId="36" borderId="78" xfId="8" applyFont="1" applyFill="1" applyBorder="1" applyAlignment="1">
      <alignment horizontal="center" vertical="center"/>
    </xf>
    <xf numFmtId="0" fontId="6" fillId="37" borderId="81" xfId="8" applyFont="1" applyFill="1" applyBorder="1" applyAlignment="1">
      <alignment horizontal="center" vertical="center"/>
    </xf>
    <xf numFmtId="0" fontId="6" fillId="37" borderId="82" xfId="8" applyFont="1" applyFill="1" applyBorder="1" applyAlignment="1">
      <alignment horizontal="center" vertical="center"/>
    </xf>
    <xf numFmtId="0" fontId="26" fillId="4" borderId="1" xfId="0" applyFont="1" applyFill="1" applyBorder="1" applyAlignment="1">
      <alignment horizontal="center"/>
    </xf>
    <xf numFmtId="0" fontId="26" fillId="4" borderId="2" xfId="0" applyFont="1" applyFill="1" applyBorder="1" applyAlignment="1">
      <alignment horizontal="center"/>
    </xf>
    <xf numFmtId="0" fontId="26" fillId="4" borderId="3" xfId="0" applyFont="1" applyFill="1" applyBorder="1" applyAlignment="1">
      <alignment horizontal="center"/>
    </xf>
    <xf numFmtId="0" fontId="26" fillId="4" borderId="4" xfId="0" applyFont="1" applyFill="1" applyBorder="1" applyAlignment="1">
      <alignment horizontal="center"/>
    </xf>
    <xf numFmtId="0" fontId="3" fillId="4" borderId="20" xfId="0" applyFont="1" applyFill="1" applyBorder="1" applyAlignment="1">
      <alignment horizontal="center" vertical="center"/>
    </xf>
    <xf numFmtId="0" fontId="5" fillId="2" borderId="0" xfId="0" applyFont="1" applyFill="1" applyAlignment="1" applyProtection="1">
      <alignment horizontal="center"/>
      <protection locked="0"/>
    </xf>
    <xf numFmtId="0" fontId="8" fillId="6" borderId="2" xfId="0" applyFont="1" applyFill="1" applyBorder="1" applyAlignment="1" applyProtection="1">
      <alignment horizontal="center"/>
      <protection locked="0"/>
    </xf>
    <xf numFmtId="0" fontId="8" fillId="6" borderId="3" xfId="0" applyFont="1" applyFill="1" applyBorder="1" applyAlignment="1" applyProtection="1">
      <alignment horizontal="center"/>
      <protection locked="0"/>
    </xf>
    <xf numFmtId="0" fontId="8" fillId="6" borderId="4" xfId="0" applyFont="1" applyFill="1" applyBorder="1" applyAlignment="1" applyProtection="1">
      <alignment horizontal="center"/>
      <protection locked="0"/>
    </xf>
    <xf numFmtId="0" fontId="9" fillId="6" borderId="6" xfId="0" applyFont="1" applyFill="1" applyBorder="1" applyAlignment="1" applyProtection="1">
      <alignment horizontal="center"/>
      <protection locked="0"/>
    </xf>
    <xf numFmtId="0" fontId="10" fillId="6" borderId="16" xfId="0" applyFont="1" applyFill="1" applyBorder="1" applyAlignment="1" applyProtection="1">
      <alignment horizontal="center"/>
      <protection locked="0"/>
    </xf>
    <xf numFmtId="0" fontId="10" fillId="6" borderId="18" xfId="0" applyFont="1" applyFill="1" applyBorder="1" applyAlignment="1" applyProtection="1">
      <alignment horizontal="center"/>
      <protection locked="0"/>
    </xf>
    <xf numFmtId="0" fontId="10" fillId="6" borderId="5" xfId="0" applyFont="1" applyFill="1" applyBorder="1" applyAlignment="1" applyProtection="1">
      <alignment horizontal="center"/>
      <protection locked="0"/>
    </xf>
    <xf numFmtId="175" fontId="3" fillId="39" borderId="97" xfId="0" applyNumberFormat="1" applyFont="1" applyFill="1" applyBorder="1" applyAlignment="1">
      <alignment horizontal="center" wrapText="1"/>
    </xf>
    <xf numFmtId="175" fontId="3" fillId="39" borderId="41" xfId="0" applyNumberFormat="1" applyFont="1" applyFill="1" applyBorder="1" applyAlignment="1">
      <alignment horizontal="center" wrapText="1"/>
    </xf>
    <xf numFmtId="0" fontId="3" fillId="39" borderId="98" xfId="0" applyFont="1" applyFill="1" applyBorder="1" applyAlignment="1">
      <alignment horizontal="center" wrapText="1"/>
    </xf>
    <xf numFmtId="0" fontId="3" fillId="39" borderId="1" xfId="0" applyFont="1" applyFill="1" applyBorder="1" applyAlignment="1">
      <alignment horizontal="center" wrapText="1"/>
    </xf>
    <xf numFmtId="0" fontId="3" fillId="39" borderId="106" xfId="0" applyFont="1" applyFill="1" applyBorder="1" applyAlignment="1">
      <alignment horizontal="center" vertical="center" wrapText="1"/>
    </xf>
    <xf numFmtId="0" fontId="3" fillId="39" borderId="108" xfId="0" applyFont="1" applyFill="1" applyBorder="1" applyAlignment="1">
      <alignment horizontal="center" vertical="center" wrapText="1"/>
    </xf>
    <xf numFmtId="0" fontId="11" fillId="39" borderId="119" xfId="0" applyFont="1" applyFill="1" applyBorder="1" applyAlignment="1">
      <alignment horizontal="center" vertical="center"/>
    </xf>
    <xf numFmtId="0" fontId="11" fillId="39" borderId="120" xfId="0" applyFont="1" applyFill="1" applyBorder="1" applyAlignment="1">
      <alignment horizontal="center" vertical="center"/>
    </xf>
    <xf numFmtId="0" fontId="11" fillId="39" borderId="121" xfId="0" applyFont="1" applyFill="1" applyBorder="1" applyAlignment="1">
      <alignment horizontal="center" vertical="center"/>
    </xf>
    <xf numFmtId="0" fontId="11" fillId="39" borderId="122" xfId="0" applyFont="1" applyFill="1" applyBorder="1" applyAlignment="1">
      <alignment horizontal="center" vertical="center"/>
    </xf>
    <xf numFmtId="0" fontId="11" fillId="39" borderId="123" xfId="0" applyFont="1" applyFill="1" applyBorder="1" applyAlignment="1">
      <alignment horizontal="center" vertical="center"/>
    </xf>
    <xf numFmtId="0" fontId="11" fillId="39" borderId="101" xfId="0" applyFont="1" applyFill="1" applyBorder="1" applyAlignment="1">
      <alignment horizontal="center" vertical="center"/>
    </xf>
    <xf numFmtId="0" fontId="11" fillId="39" borderId="102" xfId="0" applyFont="1" applyFill="1" applyBorder="1" applyAlignment="1">
      <alignment horizontal="center" vertical="center"/>
    </xf>
    <xf numFmtId="0" fontId="11" fillId="39" borderId="103" xfId="0" applyFont="1" applyFill="1" applyBorder="1" applyAlignment="1">
      <alignment horizontal="center" vertical="center"/>
    </xf>
    <xf numFmtId="0" fontId="11" fillId="39" borderId="104" xfId="0" applyFont="1" applyFill="1" applyBorder="1" applyAlignment="1">
      <alignment horizontal="center" vertical="center"/>
    </xf>
    <xf numFmtId="0" fontId="54" fillId="39" borderId="41" xfId="0" applyFont="1" applyFill="1" applyBorder="1" applyAlignment="1">
      <alignment horizontal="center" wrapText="1"/>
    </xf>
    <xf numFmtId="0" fontId="54" fillId="39" borderId="105" xfId="0" applyFont="1" applyFill="1" applyBorder="1" applyAlignment="1">
      <alignment horizontal="center" wrapText="1"/>
    </xf>
    <xf numFmtId="0" fontId="54" fillId="39" borderId="4" xfId="0" applyFont="1" applyFill="1" applyBorder="1" applyAlignment="1">
      <alignment horizontal="center" wrapText="1"/>
    </xf>
    <xf numFmtId="0" fontId="54" fillId="39" borderId="10" xfId="0" applyFont="1" applyFill="1" applyBorder="1" applyAlignment="1">
      <alignment horizontal="center" wrapText="1"/>
    </xf>
    <xf numFmtId="14" fontId="0" fillId="35" borderId="0" xfId="0" applyNumberFormat="1" applyFill="1" applyAlignment="1">
      <alignment horizontal="center"/>
    </xf>
    <xf numFmtId="14" fontId="6" fillId="37" borderId="97" xfId="0" applyNumberFormat="1" applyFont="1" applyFill="1" applyBorder="1" applyAlignment="1">
      <alignment horizontal="center" vertical="center"/>
    </xf>
    <xf numFmtId="14" fontId="6" fillId="37" borderId="98" xfId="0" applyNumberFormat="1" applyFont="1" applyFill="1" applyBorder="1" applyAlignment="1">
      <alignment horizontal="center" vertical="center"/>
    </xf>
    <xf numFmtId="14" fontId="6" fillId="37" borderId="99" xfId="0" applyNumberFormat="1" applyFont="1" applyFill="1" applyBorder="1" applyAlignment="1">
      <alignment horizontal="center" vertical="center"/>
    </xf>
    <xf numFmtId="174" fontId="79" fillId="6" borderId="6" xfId="0" applyNumberFormat="1" applyFont="1" applyFill="1" applyBorder="1" applyAlignment="1">
      <alignment horizontal="center" vertical="center"/>
    </xf>
    <xf numFmtId="174" fontId="79" fillId="6" borderId="16" xfId="0" applyNumberFormat="1" applyFont="1" applyFill="1" applyBorder="1" applyAlignment="1">
      <alignment horizontal="center" vertical="center"/>
    </xf>
    <xf numFmtId="14" fontId="80" fillId="37" borderId="41" xfId="0" applyNumberFormat="1" applyFont="1" applyFill="1" applyBorder="1" applyAlignment="1">
      <alignment horizontal="center" vertical="center"/>
    </xf>
    <xf numFmtId="14" fontId="81" fillId="37" borderId="1" xfId="0" applyNumberFormat="1" applyFont="1" applyFill="1" applyBorder="1" applyAlignment="1">
      <alignment horizontal="center" vertical="center"/>
    </xf>
    <xf numFmtId="14" fontId="80" fillId="37" borderId="1" xfId="0" applyNumberFormat="1" applyFont="1" applyFill="1" applyBorder="1" applyAlignment="1">
      <alignment horizontal="center" vertical="center"/>
    </xf>
    <xf numFmtId="14" fontId="81" fillId="37" borderId="10" xfId="0" applyNumberFormat="1" applyFont="1" applyFill="1" applyBorder="1" applyAlignment="1">
      <alignment horizontal="center" vertical="center"/>
    </xf>
    <xf numFmtId="0" fontId="117" fillId="50" borderId="125" xfId="0" applyFont="1" applyFill="1" applyBorder="1" applyAlignment="1" applyProtection="1">
      <alignment horizontal="center" vertical="center"/>
      <protection locked="0"/>
    </xf>
    <xf numFmtId="0" fontId="117" fillId="50" borderId="126" xfId="0" applyFont="1" applyFill="1" applyBorder="1" applyAlignment="1" applyProtection="1">
      <alignment horizontal="center" vertical="center"/>
      <protection locked="0"/>
    </xf>
    <xf numFmtId="0" fontId="117" fillId="50" borderId="127" xfId="0" applyFont="1" applyFill="1" applyBorder="1" applyAlignment="1" applyProtection="1">
      <alignment horizontal="center" vertical="center"/>
      <protection locked="0"/>
    </xf>
    <xf numFmtId="0" fontId="10" fillId="30" borderId="73" xfId="0" applyFont="1" applyFill="1" applyBorder="1" applyAlignment="1">
      <alignment horizontal="center" vertical="center"/>
    </xf>
    <xf numFmtId="0" fontId="10" fillId="30" borderId="75" xfId="0" applyFont="1" applyFill="1" applyBorder="1" applyAlignment="1">
      <alignment horizontal="center" vertical="center"/>
    </xf>
    <xf numFmtId="0" fontId="27" fillId="30" borderId="128" xfId="0" applyFont="1" applyFill="1" applyBorder="1" applyAlignment="1">
      <alignment horizontal="center" vertical="center"/>
    </xf>
    <xf numFmtId="0" fontId="27" fillId="30" borderId="129" xfId="0" applyFont="1" applyFill="1" applyBorder="1" applyAlignment="1">
      <alignment horizontal="center" vertical="center"/>
    </xf>
    <xf numFmtId="0" fontId="27" fillId="30" borderId="130" xfId="0" applyFont="1" applyFill="1" applyBorder="1" applyAlignment="1">
      <alignment horizontal="center" vertical="center"/>
    </xf>
    <xf numFmtId="0" fontId="27" fillId="30" borderId="133" xfId="0" applyFont="1" applyFill="1" applyBorder="1" applyAlignment="1">
      <alignment horizontal="center" vertical="center"/>
    </xf>
    <xf numFmtId="0" fontId="27" fillId="30" borderId="100" xfId="0" applyFont="1" applyFill="1" applyBorder="1" applyAlignment="1">
      <alignment horizontal="center" vertical="center"/>
    </xf>
    <xf numFmtId="0" fontId="27" fillId="30" borderId="117" xfId="0" applyFont="1" applyFill="1" applyBorder="1" applyAlignment="1">
      <alignment horizontal="center" vertical="center"/>
    </xf>
    <xf numFmtId="0" fontId="94" fillId="0" borderId="0" xfId="0" applyFont="1" applyAlignment="1">
      <alignment horizontal="center" vertical="center" wrapText="1"/>
    </xf>
    <xf numFmtId="0" fontId="63" fillId="30" borderId="131" xfId="0" applyFont="1" applyFill="1" applyBorder="1" applyAlignment="1">
      <alignment horizontal="center" vertical="center"/>
    </xf>
    <xf numFmtId="0" fontId="63" fillId="30" borderId="132" xfId="0" applyFont="1" applyFill="1" applyBorder="1" applyAlignment="1">
      <alignment horizontal="center" vertical="center"/>
    </xf>
    <xf numFmtId="0" fontId="10" fillId="9" borderId="97" xfId="0" applyFont="1" applyFill="1" applyBorder="1" applyAlignment="1">
      <alignment horizontal="center" vertical="center"/>
    </xf>
    <xf numFmtId="0" fontId="10" fillId="9" borderId="98" xfId="0" applyFont="1" applyFill="1" applyBorder="1" applyAlignment="1">
      <alignment horizontal="center" vertical="center"/>
    </xf>
    <xf numFmtId="0" fontId="10" fillId="9" borderId="99" xfId="0" applyFont="1" applyFill="1" applyBorder="1" applyAlignment="1">
      <alignment horizontal="center" vertical="center"/>
    </xf>
    <xf numFmtId="0" fontId="95" fillId="0" borderId="148" xfId="0" applyFont="1" applyBorder="1" applyAlignment="1">
      <alignment horizontal="center" vertical="center"/>
    </xf>
    <xf numFmtId="0" fontId="95" fillId="0" borderId="149" xfId="0" applyFont="1" applyBorder="1" applyAlignment="1">
      <alignment horizontal="center" vertical="center"/>
    </xf>
    <xf numFmtId="0" fontId="95" fillId="0" borderId="150" xfId="0" applyFont="1" applyBorder="1" applyAlignment="1">
      <alignment horizontal="center" vertical="center"/>
    </xf>
    <xf numFmtId="0" fontId="95" fillId="0" borderId="151" xfId="0" applyFont="1" applyBorder="1" applyAlignment="1">
      <alignment horizontal="center" vertical="center"/>
    </xf>
    <xf numFmtId="0" fontId="95" fillId="0" borderId="6" xfId="0" applyFont="1" applyBorder="1" applyAlignment="1">
      <alignment horizontal="center" vertical="center"/>
    </xf>
    <xf numFmtId="0" fontId="95" fillId="0" borderId="152" xfId="0" applyFont="1" applyBorder="1" applyAlignment="1">
      <alignment horizontal="center" vertical="center"/>
    </xf>
    <xf numFmtId="175" fontId="6" fillId="9" borderId="131" xfId="0" applyNumberFormat="1" applyFont="1" applyFill="1" applyBorder="1" applyAlignment="1">
      <alignment horizontal="center"/>
    </xf>
    <xf numFmtId="175" fontId="6" fillId="9" borderId="132" xfId="0" applyNumberFormat="1" applyFont="1" applyFill="1" applyBorder="1" applyAlignment="1">
      <alignment horizontal="center"/>
    </xf>
    <xf numFmtId="0" fontId="95" fillId="0" borderId="136" xfId="0" applyFont="1" applyBorder="1" applyAlignment="1">
      <alignment horizontal="center" vertical="center"/>
    </xf>
    <xf numFmtId="0" fontId="95" fillId="0" borderId="137" xfId="0" applyFont="1" applyBorder="1" applyAlignment="1">
      <alignment horizontal="center" vertical="center"/>
    </xf>
    <xf numFmtId="0" fontId="95" fillId="0" borderId="138" xfId="0" applyFont="1" applyBorder="1" applyAlignment="1">
      <alignment horizontal="center" vertical="center"/>
    </xf>
    <xf numFmtId="0" fontId="95" fillId="0" borderId="139" xfId="0" applyFont="1" applyBorder="1" applyAlignment="1">
      <alignment horizontal="center" vertical="center"/>
    </xf>
    <xf numFmtId="0" fontId="95" fillId="0" borderId="0" xfId="0" applyFont="1" applyAlignment="1">
      <alignment horizontal="center" vertical="center"/>
    </xf>
    <xf numFmtId="0" fontId="95" fillId="0" borderId="140" xfId="0" applyFont="1" applyBorder="1" applyAlignment="1">
      <alignment horizontal="center" vertical="center"/>
    </xf>
    <xf numFmtId="175" fontId="6" fillId="31" borderId="52" xfId="0" applyNumberFormat="1" applyFont="1" applyFill="1" applyBorder="1" applyAlignment="1">
      <alignment horizontal="center"/>
    </xf>
    <xf numFmtId="175" fontId="6" fillId="31" borderId="48" xfId="0" applyNumberFormat="1" applyFont="1" applyFill="1" applyBorder="1" applyAlignment="1">
      <alignment horizontal="center"/>
    </xf>
    <xf numFmtId="175" fontId="6" fillId="31" borderId="53" xfId="0" applyNumberFormat="1" applyFont="1" applyFill="1" applyBorder="1" applyAlignment="1">
      <alignment horizontal="center"/>
    </xf>
    <xf numFmtId="175" fontId="6" fillId="31" borderId="49" xfId="0" applyNumberFormat="1" applyFont="1" applyFill="1" applyBorder="1" applyAlignment="1">
      <alignment horizontal="center"/>
    </xf>
    <xf numFmtId="0" fontId="10" fillId="55" borderId="73" xfId="0" applyFont="1" applyFill="1" applyBorder="1" applyAlignment="1">
      <alignment horizontal="center" vertical="center"/>
    </xf>
    <xf numFmtId="0" fontId="10" fillId="55" borderId="75" xfId="0" applyFont="1" applyFill="1" applyBorder="1" applyAlignment="1">
      <alignment horizontal="center" vertical="center"/>
    </xf>
    <xf numFmtId="0" fontId="27" fillId="55" borderId="128" xfId="0" applyFont="1" applyFill="1" applyBorder="1" applyAlignment="1">
      <alignment horizontal="center" vertical="center"/>
    </xf>
    <xf numFmtId="0" fontId="27" fillId="55" borderId="129" xfId="0" applyFont="1" applyFill="1" applyBorder="1" applyAlignment="1">
      <alignment horizontal="center" vertical="center"/>
    </xf>
    <xf numFmtId="0" fontId="27" fillId="55" borderId="130" xfId="0" applyFont="1" applyFill="1" applyBorder="1" applyAlignment="1">
      <alignment horizontal="center" vertical="center"/>
    </xf>
    <xf numFmtId="0" fontId="27" fillId="55" borderId="133" xfId="0" applyFont="1" applyFill="1" applyBorder="1" applyAlignment="1">
      <alignment horizontal="center" vertical="center"/>
    </xf>
    <xf numFmtId="0" fontId="27" fillId="55" borderId="100" xfId="0" applyFont="1" applyFill="1" applyBorder="1" applyAlignment="1">
      <alignment horizontal="center" vertical="center"/>
    </xf>
    <xf numFmtId="0" fontId="27" fillId="55" borderId="117" xfId="0" applyFont="1" applyFill="1" applyBorder="1" applyAlignment="1">
      <alignment horizontal="center" vertical="center"/>
    </xf>
    <xf numFmtId="0" fontId="63" fillId="55" borderId="131" xfId="0" applyFont="1" applyFill="1" applyBorder="1" applyAlignment="1">
      <alignment horizontal="center"/>
    </xf>
    <xf numFmtId="0" fontId="63" fillId="55" borderId="132" xfId="0" applyFont="1" applyFill="1" applyBorder="1" applyAlignment="1">
      <alignment horizontal="center"/>
    </xf>
    <xf numFmtId="174" fontId="79" fillId="30" borderId="134" xfId="0" applyNumberFormat="1" applyFont="1" applyFill="1" applyBorder="1" applyAlignment="1">
      <alignment horizontal="center" vertical="center"/>
    </xf>
    <xf numFmtId="174" fontId="79" fillId="30" borderId="87" xfId="0" applyNumberFormat="1" applyFont="1" applyFill="1" applyBorder="1" applyAlignment="1">
      <alignment horizontal="center" vertical="center"/>
    </xf>
    <xf numFmtId="0" fontId="10" fillId="31" borderId="97" xfId="0" applyFont="1" applyFill="1" applyBorder="1" applyAlignment="1">
      <alignment horizontal="center" vertical="center"/>
    </xf>
    <xf numFmtId="0" fontId="10" fillId="31" borderId="98" xfId="0" applyFont="1" applyFill="1" applyBorder="1" applyAlignment="1">
      <alignment horizontal="center" vertical="center"/>
    </xf>
    <xf numFmtId="0" fontId="10" fillId="31" borderId="99" xfId="0" applyFont="1" applyFill="1" applyBorder="1" applyAlignment="1">
      <alignment horizontal="center" vertical="center"/>
    </xf>
    <xf numFmtId="0" fontId="10" fillId="31" borderId="135" xfId="0" applyFont="1" applyFill="1" applyBorder="1" applyAlignment="1">
      <alignment horizontal="center" vertical="center"/>
    </xf>
    <xf numFmtId="175" fontId="65" fillId="0" borderId="47" xfId="0" applyNumberFormat="1" applyFont="1" applyBorder="1" applyAlignment="1">
      <alignment horizontal="center" vertical="center"/>
    </xf>
    <xf numFmtId="175" fontId="65" fillId="0" borderId="46" xfId="0" applyNumberFormat="1" applyFont="1" applyBorder="1" applyAlignment="1">
      <alignment horizontal="center" vertical="center"/>
    </xf>
    <xf numFmtId="174" fontId="79" fillId="55" borderId="131" xfId="0" applyNumberFormat="1" applyFont="1" applyFill="1" applyBorder="1" applyAlignment="1">
      <alignment horizontal="center" vertical="center"/>
    </xf>
    <xf numFmtId="174" fontId="79" fillId="55" borderId="132" xfId="0" applyNumberFormat="1" applyFont="1" applyFill="1" applyBorder="1" applyAlignment="1">
      <alignment horizontal="center" vertical="center"/>
    </xf>
    <xf numFmtId="175" fontId="102" fillId="9" borderId="79" xfId="0" applyNumberFormat="1" applyFont="1" applyFill="1" applyBorder="1" applyAlignment="1">
      <alignment horizontal="center" vertical="center"/>
    </xf>
    <xf numFmtId="175" fontId="102" fillId="9" borderId="83" xfId="0" applyNumberFormat="1" applyFont="1" applyFill="1" applyBorder="1" applyAlignment="1">
      <alignment horizontal="center" vertical="center"/>
    </xf>
    <xf numFmtId="0" fontId="57" fillId="7" borderId="40" xfId="0" applyFont="1" applyFill="1" applyBorder="1" applyAlignment="1">
      <alignment horizontal="center" vertical="center" wrapText="1"/>
    </xf>
    <xf numFmtId="0" fontId="57" fillId="7" borderId="44" xfId="0" applyFont="1" applyFill="1" applyBorder="1" applyAlignment="1">
      <alignment horizontal="center" vertical="center" wrapText="1"/>
    </xf>
    <xf numFmtId="14" fontId="9" fillId="0" borderId="0" xfId="0" applyNumberFormat="1" applyFont="1" applyAlignment="1">
      <alignment horizontal="center"/>
    </xf>
    <xf numFmtId="0" fontId="9" fillId="0" borderId="0" xfId="0" applyFont="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14" fontId="49" fillId="0" borderId="2" xfId="0" applyNumberFormat="1" applyFont="1" applyBorder="1" applyAlignment="1">
      <alignment horizontal="center"/>
    </xf>
    <xf numFmtId="14" fontId="49" fillId="0" borderId="4" xfId="0" applyNumberFormat="1" applyFont="1" applyBorder="1" applyAlignment="1">
      <alignment horizontal="center"/>
    </xf>
    <xf numFmtId="14" fontId="0" fillId="0" borderId="0" xfId="0" applyNumberFormat="1" applyAlignment="1">
      <alignment horizontal="center"/>
    </xf>
    <xf numFmtId="174" fontId="53" fillId="0" borderId="0" xfId="0" applyNumberFormat="1" applyFont="1" applyAlignment="1">
      <alignment horizontal="center" vertical="center"/>
    </xf>
    <xf numFmtId="0" fontId="11" fillId="0" borderId="6" xfId="0" applyFont="1" applyBorder="1" applyAlignment="1">
      <alignment horizontal="center" vertical="center"/>
    </xf>
    <xf numFmtId="0" fontId="57" fillId="7" borderId="39" xfId="0" applyFont="1" applyFill="1" applyBorder="1" applyAlignment="1">
      <alignment horizontal="center" vertical="center" wrapText="1"/>
    </xf>
    <xf numFmtId="0" fontId="57" fillId="7" borderId="42" xfId="0" applyFont="1" applyFill="1" applyBorder="1" applyAlignment="1">
      <alignment horizontal="center" vertical="center" wrapText="1"/>
    </xf>
    <xf numFmtId="0" fontId="11" fillId="7" borderId="31" xfId="0" applyFont="1" applyFill="1" applyBorder="1" applyAlignment="1">
      <alignment horizontal="center" vertical="center"/>
    </xf>
    <xf numFmtId="0" fontId="11" fillId="7" borderId="32" xfId="0" applyFont="1" applyFill="1" applyBorder="1" applyAlignment="1">
      <alignment horizontal="center" vertical="center"/>
    </xf>
    <xf numFmtId="0" fontId="11" fillId="7" borderId="33" xfId="0" applyFont="1" applyFill="1" applyBorder="1" applyAlignment="1">
      <alignment horizontal="center" vertical="center"/>
    </xf>
    <xf numFmtId="0" fontId="11" fillId="7" borderId="34" xfId="0" applyFont="1" applyFill="1" applyBorder="1" applyAlignment="1">
      <alignment horizontal="center" vertical="center"/>
    </xf>
    <xf numFmtId="0" fontId="11" fillId="7" borderId="35" xfId="0" applyFont="1" applyFill="1" applyBorder="1" applyAlignment="1">
      <alignment horizontal="center" vertical="center"/>
    </xf>
    <xf numFmtId="0" fontId="11" fillId="7" borderId="36" xfId="0" applyFont="1" applyFill="1" applyBorder="1" applyAlignment="1">
      <alignment horizontal="center" vertical="center"/>
    </xf>
    <xf numFmtId="0" fontId="11" fillId="7" borderId="37" xfId="0" applyFont="1" applyFill="1" applyBorder="1" applyAlignment="1">
      <alignment horizontal="center" vertical="center"/>
    </xf>
    <xf numFmtId="0" fontId="57" fillId="7" borderId="38" xfId="0" applyFont="1" applyFill="1" applyBorder="1" applyAlignment="1">
      <alignment horizontal="center" vertical="center" wrapText="1"/>
    </xf>
    <xf numFmtId="0" fontId="57" fillId="7" borderId="4" xfId="0" applyFont="1" applyFill="1" applyBorder="1" applyAlignment="1">
      <alignment horizontal="center" vertical="center" wrapText="1"/>
    </xf>
    <xf numFmtId="0" fontId="32" fillId="0" borderId="2" xfId="0" applyFont="1" applyBorder="1" applyAlignment="1">
      <alignment horizontal="center" vertical="center"/>
    </xf>
    <xf numFmtId="0" fontId="32" fillId="0" borderId="4" xfId="0" applyFont="1" applyBorder="1" applyAlignment="1">
      <alignment horizontal="center" vertical="center"/>
    </xf>
    <xf numFmtId="14" fontId="49" fillId="0" borderId="2" xfId="0" applyNumberFormat="1" applyFont="1" applyBorder="1" applyAlignment="1">
      <alignment horizontal="center" vertical="center"/>
    </xf>
    <xf numFmtId="14" fontId="49" fillId="0" borderId="4" xfId="0" applyNumberFormat="1" applyFont="1" applyBorder="1" applyAlignment="1">
      <alignment horizontal="center" vertical="center"/>
    </xf>
    <xf numFmtId="175" fontId="49" fillId="0" borderId="60" xfId="0" applyNumberFormat="1" applyFont="1" applyBorder="1" applyAlignment="1">
      <alignment horizontal="center" vertical="center"/>
    </xf>
    <xf numFmtId="0" fontId="49" fillId="0" borderId="62" xfId="0" applyFont="1" applyBorder="1" applyAlignment="1">
      <alignment horizontal="center" vertical="center"/>
    </xf>
    <xf numFmtId="0" fontId="11" fillId="7" borderId="66" xfId="0" applyFont="1" applyFill="1" applyBorder="1" applyAlignment="1">
      <alignment horizontal="center" vertical="center"/>
    </xf>
    <xf numFmtId="0" fontId="11" fillId="7" borderId="67" xfId="0" applyFont="1" applyFill="1" applyBorder="1" applyAlignment="1">
      <alignment horizontal="center" vertical="center"/>
    </xf>
    <xf numFmtId="0" fontId="11" fillId="7" borderId="68" xfId="0" applyFont="1" applyFill="1" applyBorder="1" applyAlignment="1">
      <alignment horizontal="center" vertical="center"/>
    </xf>
    <xf numFmtId="0" fontId="11" fillId="7" borderId="69" xfId="0" applyFont="1" applyFill="1" applyBorder="1" applyAlignment="1">
      <alignment horizontal="center" vertical="center"/>
    </xf>
    <xf numFmtId="3" fontId="49" fillId="0" borderId="60" xfId="0" applyNumberFormat="1" applyFont="1" applyBorder="1" applyAlignment="1">
      <alignment horizontal="center" vertical="center"/>
    </xf>
    <xf numFmtId="0" fontId="0" fillId="57" borderId="0" xfId="0" applyFill="1" applyAlignment="1">
      <alignment horizontal="center"/>
    </xf>
    <xf numFmtId="0" fontId="103" fillId="57" borderId="132" xfId="0" applyFont="1" applyFill="1" applyBorder="1" applyAlignment="1">
      <alignment horizontal="center" vertical="center"/>
    </xf>
    <xf numFmtId="0" fontId="103" fillId="57" borderId="78" xfId="0" applyFont="1" applyFill="1" applyBorder="1" applyAlignment="1">
      <alignment horizontal="center" vertical="center"/>
    </xf>
    <xf numFmtId="0" fontId="9" fillId="2" borderId="109" xfId="0" applyFont="1" applyFill="1" applyBorder="1" applyAlignment="1">
      <alignment horizontal="center" vertical="center"/>
    </xf>
    <xf numFmtId="0" fontId="9" fillId="2" borderId="74" xfId="0" applyFont="1" applyFill="1" applyBorder="1" applyAlignment="1">
      <alignment horizontal="center" vertical="center"/>
    </xf>
    <xf numFmtId="0" fontId="9" fillId="2" borderId="75" xfId="0" applyFont="1" applyFill="1" applyBorder="1" applyAlignment="1">
      <alignment horizontal="center" vertical="center"/>
    </xf>
  </cellXfs>
  <cellStyles count="9">
    <cellStyle name="Comma 3" xfId="3" xr:uid="{F0B3D6BE-7A5D-4116-A9A0-210D300B8735}"/>
    <cellStyle name="Migliaia" xfId="1" builtinId="3"/>
    <cellStyle name="Migliaia 2" xfId="2" xr:uid="{5F59F813-F2AF-4D79-AD2C-647B2982DE8B}"/>
    <cellStyle name="Normal 370" xfId="8" xr:uid="{377FEB7D-0A30-4BF0-8348-0F145B98E5DD}"/>
    <cellStyle name="Normale" xfId="0" builtinId="0"/>
    <cellStyle name="Normale 10" xfId="7" xr:uid="{C724278E-CE8E-4A48-AAEB-CA4DBBF623C7}"/>
    <cellStyle name="Normale 2 2" xfId="4" xr:uid="{19EDF065-4A89-44CB-9AE9-E94CEA6D8663}"/>
    <cellStyle name="Normale 2 2 2" xfId="6" xr:uid="{1ACE7A79-BA1D-4576-9D7D-2BD459148D3A}"/>
    <cellStyle name="Normale 2 2 4" xfId="5" xr:uid="{D87A222B-C9E1-479D-B3F6-CEB7A2EEA7A5}"/>
  </cellStyles>
  <dxfs count="89">
    <dxf>
      <font>
        <color rgb="FFC00000"/>
      </font>
    </dxf>
    <dxf>
      <font>
        <color rgb="FF339966"/>
      </font>
    </dxf>
    <dxf>
      <font>
        <color rgb="FFC00000"/>
      </font>
    </dxf>
    <dxf>
      <font>
        <color rgb="FF339966"/>
      </font>
    </dxf>
    <dxf>
      <font>
        <color theme="6" tint="0.79998168889431442"/>
      </font>
      <fill>
        <patternFill>
          <bgColor theme="6" tint="0.79998168889431442"/>
        </patternFill>
      </fill>
    </dxf>
    <dxf>
      <font>
        <color rgb="FFC00000"/>
      </font>
    </dxf>
    <dxf>
      <font>
        <color rgb="FF339966"/>
      </font>
    </dxf>
    <dxf>
      <font>
        <color rgb="FFC00000"/>
      </font>
    </dxf>
    <dxf>
      <font>
        <color rgb="FF339966"/>
      </font>
    </dxf>
    <dxf>
      <font>
        <color rgb="FFC00000"/>
      </font>
    </dxf>
    <dxf>
      <font>
        <color rgb="FF339966"/>
      </font>
    </dxf>
    <dxf>
      <font>
        <color theme="4" tint="0.79998168889431442"/>
      </font>
      <fill>
        <patternFill>
          <bgColor theme="4" tint="0.79998168889431442"/>
        </patternFill>
      </fill>
    </dxf>
    <dxf>
      <font>
        <b val="0"/>
        <i val="0"/>
        <color theme="0" tint="-0.499984740745262"/>
      </font>
    </dxf>
    <dxf>
      <font>
        <b val="0"/>
        <i val="0"/>
        <color rgb="FFFF0000"/>
      </font>
    </dxf>
    <dxf>
      <font>
        <b val="0"/>
        <i val="0"/>
        <color rgb="FF339966"/>
      </font>
    </dxf>
    <dxf>
      <font>
        <b val="0"/>
        <i val="0"/>
        <color rgb="FFFF0000"/>
      </font>
    </dxf>
    <dxf>
      <font>
        <b val="0"/>
        <i val="0"/>
        <color rgb="FF339966"/>
      </font>
    </dxf>
    <dxf>
      <font>
        <b val="0"/>
        <i val="0"/>
        <color rgb="FFFF0000"/>
      </font>
      <fill>
        <patternFill>
          <bgColor theme="0"/>
        </patternFill>
      </fill>
    </dxf>
    <dxf>
      <font>
        <b val="0"/>
        <i val="0"/>
        <color rgb="FF339966"/>
      </font>
      <fill>
        <patternFill>
          <bgColor theme="0"/>
        </patternFill>
      </fill>
    </dxf>
    <dxf>
      <font>
        <color theme="9" tint="0.79998168889431442"/>
      </font>
      <fill>
        <patternFill>
          <bgColor theme="9" tint="0.79998168889431442"/>
        </patternFill>
      </fill>
    </dxf>
    <dxf>
      <font>
        <color theme="9" tint="0.79998168889431442"/>
      </font>
      <fill>
        <patternFill>
          <bgColor theme="9" tint="0.79998168889431442"/>
        </patternFill>
      </fill>
    </dxf>
    <dxf>
      <font>
        <color theme="0"/>
      </font>
      <fill>
        <patternFill patternType="gray0625">
          <fgColor theme="0"/>
          <bgColor theme="6" tint="0.59996337778862885"/>
        </patternFill>
      </fill>
    </dxf>
    <dxf>
      <font>
        <color theme="0"/>
      </font>
      <fill>
        <patternFill patternType="gray0625">
          <fgColor theme="0"/>
          <bgColor theme="6" tint="0.59996337778862885"/>
        </patternFill>
      </fill>
    </dxf>
    <dxf>
      <font>
        <color theme="9" tint="0.79998168889431442"/>
      </font>
      <fill>
        <patternFill>
          <bgColor theme="9" tint="0.79998168889431442"/>
        </patternFill>
      </fill>
    </dxf>
    <dxf>
      <font>
        <b/>
        <i val="0"/>
      </font>
      <fill>
        <patternFill>
          <bgColor theme="0"/>
        </patternFill>
      </fill>
    </dxf>
    <dxf>
      <font>
        <b val="0"/>
        <i/>
      </font>
      <fill>
        <patternFill>
          <bgColor theme="0" tint="-0.14996795556505021"/>
        </patternFill>
      </fill>
    </dxf>
    <dxf>
      <font>
        <color theme="0"/>
      </font>
      <fill>
        <patternFill patternType="gray0625">
          <fgColor theme="0"/>
          <bgColor theme="6" tint="0.59996337778862885"/>
        </patternFill>
      </fill>
    </dxf>
    <dxf>
      <font>
        <b/>
        <i val="0"/>
        <color theme="0"/>
      </font>
      <fill>
        <patternFill patternType="gray0625">
          <fgColor theme="0"/>
          <bgColor theme="7" tint="0.79995117038483843"/>
        </patternFill>
      </fill>
    </dxf>
    <dxf>
      <font>
        <color theme="0"/>
      </font>
      <fill>
        <patternFill patternType="gray0625">
          <fgColor theme="0"/>
          <bgColor theme="6" tint="0.59996337778862885"/>
        </patternFill>
      </fill>
    </dxf>
    <dxf>
      <font>
        <b val="0"/>
        <i val="0"/>
        <color rgb="FFFF0000"/>
      </font>
    </dxf>
    <dxf>
      <font>
        <b val="0"/>
        <i val="0"/>
        <color rgb="FF339966"/>
      </font>
    </dxf>
    <dxf>
      <font>
        <b val="0"/>
        <i val="0"/>
        <color rgb="FFFF0000"/>
      </font>
      <fill>
        <patternFill>
          <bgColor theme="0"/>
        </patternFill>
      </fill>
    </dxf>
    <dxf>
      <font>
        <b val="0"/>
        <i val="0"/>
        <color rgb="FF339966"/>
      </font>
      <fill>
        <patternFill>
          <bgColor theme="0"/>
        </patternFill>
      </fill>
    </dxf>
    <dxf>
      <font>
        <color theme="0"/>
      </font>
      <fill>
        <patternFill>
          <bgColor theme="0"/>
        </patternFill>
      </fill>
    </dxf>
    <dxf>
      <font>
        <color theme="4" tint="0.39994506668294322"/>
      </font>
      <fill>
        <patternFill>
          <bgColor theme="4" tint="0.39994506668294322"/>
        </patternFill>
      </fill>
    </dxf>
    <dxf>
      <font>
        <color rgb="FFF0F3F8"/>
      </font>
      <fill>
        <patternFill>
          <bgColor rgb="FFF0F3F8"/>
        </patternFill>
      </fill>
    </dxf>
    <dxf>
      <font>
        <color theme="3" tint="-0.24994659260841701"/>
      </font>
      <numFmt numFmtId="180" formatCode="&quot;€&quot;\ #,##0.0"/>
    </dxf>
    <dxf>
      <font>
        <color theme="3" tint="-0.24994659260841701"/>
      </font>
      <numFmt numFmtId="180" formatCode="&quot;€&quot;\ #,##0.0"/>
    </dxf>
    <dxf>
      <font>
        <color theme="3" tint="-0.24994659260841701"/>
      </font>
      <numFmt numFmtId="180" formatCode="&quot;€&quot;\ #,##0.0"/>
    </dxf>
    <dxf>
      <font>
        <color theme="3" tint="-0.24994659260841701"/>
      </font>
      <numFmt numFmtId="180" formatCode="&quot;€&quot;\ #,##0.0"/>
    </dxf>
    <dxf>
      <font>
        <color theme="3" tint="-0.24994659260841701"/>
      </font>
      <numFmt numFmtId="180" formatCode="&quot;€&quot;\ #,##0.0"/>
    </dxf>
    <dxf>
      <font>
        <color theme="3" tint="-0.24994659260841701"/>
      </font>
      <numFmt numFmtId="180" formatCode="&quot;€&quot;\ #,##0.0"/>
    </dxf>
    <dxf>
      <font>
        <color theme="3" tint="-0.24994659260841701"/>
      </font>
      <numFmt numFmtId="180" formatCode="&quot;€&quot;\ #,##0.0"/>
    </dxf>
    <dxf>
      <font>
        <color theme="3" tint="-0.24994659260841701"/>
      </font>
      <numFmt numFmtId="180" formatCode="&quot;€&quot;\ #,##0.0"/>
    </dxf>
    <dxf>
      <font>
        <color theme="3" tint="-0.24994659260841701"/>
      </font>
      <numFmt numFmtId="180" formatCode="&quot;€&quot;\ #,##0.0"/>
    </dxf>
    <dxf>
      <font>
        <b/>
        <i val="0"/>
        <color rgb="FF339966"/>
      </font>
    </dxf>
    <dxf>
      <font>
        <b/>
        <i val="0"/>
        <color rgb="FF7030A0"/>
      </font>
    </dxf>
    <dxf>
      <font>
        <color rgb="FFFF0000"/>
      </font>
    </dxf>
    <dxf>
      <font>
        <color rgb="FFF0F3F8"/>
      </font>
      <fill>
        <patternFill>
          <bgColor rgb="FFF0F3F8"/>
        </patternFill>
      </fill>
    </dxf>
    <dxf>
      <font>
        <color rgb="FFF0F3F8"/>
      </font>
      <fill>
        <patternFill>
          <bgColor rgb="FFF0F3F8"/>
        </patternFill>
      </fill>
    </dxf>
    <dxf>
      <font>
        <color rgb="FFF0F3F8"/>
      </font>
      <fill>
        <patternFill>
          <bgColor rgb="FFF0F3F8"/>
        </patternFill>
      </fill>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3"/>
        <name val="Calibri"/>
        <family val="2"/>
        <scheme val="minor"/>
      </font>
      <numFmt numFmtId="167" formatCode="&quot;€&quot;\ #,##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6"/>
        <color theme="1"/>
        <name val="Calibri"/>
        <family val="2"/>
        <scheme val="minor"/>
      </font>
      <alignment horizontal="right"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1" indent="0" justifyLastLine="0" shrinkToFit="0" readingOrder="0"/>
    </dxf>
    <dxf>
      <font>
        <b/>
        <i val="0"/>
        <strike val="0"/>
        <condense val="0"/>
        <extend val="0"/>
        <outline val="0"/>
        <shadow val="0"/>
        <u val="none"/>
        <vertAlign val="baseline"/>
        <sz val="18"/>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6"/>
        <color theme="3"/>
        <name val="Calibri"/>
        <family val="2"/>
        <scheme val="minor"/>
      </font>
      <numFmt numFmtId="167" formatCode="&quot;€&quot;\ #,##0.0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6"/>
        <color theme="1"/>
        <name val="Calibri"/>
        <family val="2"/>
        <scheme val="minor"/>
      </font>
      <fill>
        <patternFill patternType="none">
          <fgColor indexed="64"/>
          <bgColor indexed="65"/>
        </patternFill>
      </fill>
      <alignment horizontal="righ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8"/>
        <color theme="0"/>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patternType="solid">
          <bgColor theme="7"/>
        </patternFill>
      </fill>
    </dxf>
    <dxf>
      <fill>
        <patternFill patternType="solid">
          <bgColor theme="7"/>
        </patternFill>
      </fill>
    </dxf>
    <dxf>
      <fill>
        <patternFill patternType="solid">
          <bgColor theme="7"/>
        </patternFill>
      </fill>
    </dxf>
    <dxf>
      <font>
        <b val="0"/>
        <strike val="0"/>
        <outline val="0"/>
        <shadow val="0"/>
        <u val="none"/>
        <vertAlign val="baseline"/>
        <sz val="10"/>
        <color auto="1"/>
        <name val="Calibri"/>
        <scheme val="minor"/>
      </font>
      <numFmt numFmtId="169" formatCode="_-* #,##0\ [$€-410]_-;\-* #,##0\ [$€-410]_-;_-* &quot;-&quot;??\ [$€-410]_-;_-@_-"/>
      <fill>
        <patternFill patternType="none">
          <fgColor indexed="64"/>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0"/>
        <color auto="1"/>
        <name val="Calibri"/>
        <scheme val="minor"/>
      </font>
      <numFmt numFmtId="2"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numFmt numFmtId="169" formatCode="_-* #,##0\ [$€-410]_-;\-* #,##0\ [$€-410]_-;_-* &quot;-&quot;??\ [$€-410]_-;_-@_-"/>
      <fill>
        <patternFill patternType="none">
          <fgColor indexed="64"/>
          <bgColor auto="1"/>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top" textRotation="0" wrapText="0" indent="0" justifyLastLine="0" shrinkToFit="0" readingOrder="0"/>
      <protection locked="0" hidden="0"/>
    </dxf>
    <dxf>
      <numFmt numFmtId="2" formatCode="0.00"/>
      <fill>
        <patternFill patternType="solid">
          <fgColor indexed="64"/>
          <bgColor theme="9" tint="0.59999389629810485"/>
        </patternFill>
      </fill>
      <alignment horizontal="center" vertical="bottom" textRotation="0" wrapText="0" indent="0" justifyLastLine="0" shrinkToFit="0" readingOrder="0"/>
      <protection locked="1" hidden="0"/>
    </dxf>
    <dxf>
      <numFmt numFmtId="2" formatCode="0.00"/>
      <fill>
        <patternFill patternType="solid">
          <fgColor indexed="64"/>
          <bgColor theme="9" tint="0.59999389629810485"/>
        </patternFill>
      </fill>
      <alignment horizontal="center" vertical="bottom" textRotation="0" wrapText="0" indent="0" justifyLastLine="0" shrinkToFit="0" readingOrder="0"/>
      <protection locked="1" hidden="0"/>
    </dxf>
    <dxf>
      <font>
        <color auto="1"/>
      </font>
      <numFmt numFmtId="2" formatCode="0.00"/>
      <fill>
        <patternFill patternType="solid">
          <fgColor indexed="64"/>
          <bgColor theme="9" tint="0.59999389629810485"/>
        </patternFill>
      </fill>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9" tint="0.59999389629810485"/>
        </patternFill>
      </fill>
      <protection locked="1" hidden="0"/>
    </dxf>
    <dxf>
      <protection locked="0" hidden="0"/>
    </dxf>
    <dxf>
      <font>
        <b/>
        <i val="0"/>
        <strike val="0"/>
        <condense val="0"/>
        <extend val="0"/>
        <outline val="0"/>
        <shadow val="0"/>
        <u val="none"/>
        <vertAlign val="baseline"/>
        <sz val="12"/>
        <color auto="1"/>
        <name val="Calibri"/>
        <scheme val="minor"/>
      </font>
      <numFmt numFmtId="30" formatCode="@"/>
      <fill>
        <patternFill patternType="none">
          <fgColor indexed="64"/>
          <bgColor indexed="65"/>
        </patternFill>
      </fill>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dk1">
                    <a:lumMod val="50000"/>
                    <a:lumOff val="50000"/>
                  </a:schemeClr>
                </a:solidFill>
                <a:latin typeface="Century Gothic" panose="020B0502020202020204" pitchFamily="34" charset="0"/>
                <a:ea typeface="+mj-ea"/>
                <a:cs typeface="+mj-cs"/>
              </a:defRPr>
            </a:pPr>
            <a:r>
              <a:rPr lang="it-IT" sz="1800">
                <a:latin typeface="Century Gothic" panose="020B0502020202020204" pitchFamily="34" charset="0"/>
              </a:rPr>
              <a:t>FORECAST ORE</a:t>
            </a:r>
            <a:r>
              <a:rPr lang="it-IT" sz="1800" baseline="0">
                <a:latin typeface="Century Gothic" panose="020B0502020202020204" pitchFamily="34" charset="0"/>
              </a:rPr>
              <a:t> YTE</a:t>
            </a:r>
            <a:endParaRPr lang="it-IT" sz="1800">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800" b="1" i="0" u="none" strike="noStrike" kern="1200" cap="none" spc="0" normalizeH="0" baseline="0">
              <a:solidFill>
                <a:schemeClr val="dk1">
                  <a:lumMod val="50000"/>
                  <a:lumOff val="50000"/>
                </a:schemeClr>
              </a:solidFill>
              <a:latin typeface="Century Gothic" panose="020B0502020202020204" pitchFamily="34" charset="0"/>
              <a:ea typeface="+mj-ea"/>
              <a:cs typeface="+mj-cs"/>
            </a:defRPr>
          </a:pPr>
          <a:endParaRPr lang="en-US"/>
        </a:p>
      </c:txPr>
    </c:title>
    <c:autoTitleDeleted val="0"/>
    <c:plotArea>
      <c:layout/>
      <c:barChart>
        <c:barDir val="col"/>
        <c:grouping val="clustered"/>
        <c:varyColors val="0"/>
        <c:ser>
          <c:idx val="1"/>
          <c:order val="1"/>
          <c:spPr>
            <a:solidFill>
              <a:schemeClr val="accent3"/>
            </a:solidFill>
            <a:ln>
              <a:noFill/>
            </a:ln>
            <a:effectLst/>
          </c:spPr>
          <c:invertIfNegative val="0"/>
          <c:dLbls>
            <c:dLbl>
              <c:idx val="5"/>
              <c:layout>
                <c:manualLayout>
                  <c:x val="2.2460351069435469E-3"/>
                  <c:y val="-8.65740772300262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364-4DD6-8C83-32FE51495A28}"/>
                </c:ext>
              </c:extLst>
            </c:dLbl>
            <c:dLbl>
              <c:idx val="8"/>
              <c:layout>
                <c:manualLayout>
                  <c:x val="-4.4920702138871761E-3"/>
                  <c:y val="-6.296296525820083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364-4DD6-8C83-32FE51495A28}"/>
                </c:ext>
              </c:extLst>
            </c:dLbl>
            <c:numFmt formatCode="#,##0" sourceLinked="0"/>
            <c:spPr>
              <a:solidFill>
                <a:schemeClr val="accent3"/>
              </a:solidFill>
              <a:ln>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'PREVISIONE A FINIRE'!$F$6:$F$17</c:f>
              <c:strCache>
                <c:ptCount val="12"/>
                <c:pt idx="0">
                  <c:v>Baldanza</c:v>
                </c:pt>
                <c:pt idx="1">
                  <c:v>Ferrari</c:v>
                </c:pt>
                <c:pt idx="2">
                  <c:v>Fortini</c:v>
                </c:pt>
                <c:pt idx="3">
                  <c:v>Guidotti</c:v>
                </c:pt>
                <c:pt idx="4">
                  <c:v>Lanzarini</c:v>
                </c:pt>
                <c:pt idx="5">
                  <c:v>Mengoli</c:v>
                </c:pt>
                <c:pt idx="6">
                  <c:v>Parmeggiani</c:v>
                </c:pt>
                <c:pt idx="7">
                  <c:v>Polloni</c:v>
                </c:pt>
                <c:pt idx="8">
                  <c:v>Seren</c:v>
                </c:pt>
                <c:pt idx="9">
                  <c:v>Squarzoni</c:v>
                </c:pt>
                <c:pt idx="10">
                  <c:v>Zanotti</c:v>
                </c:pt>
                <c:pt idx="11">
                  <c:v>Gamberini</c:v>
                </c:pt>
              </c:strCache>
            </c:strRef>
          </c:cat>
          <c:val>
            <c:numRef>
              <c:f>'PREVISIONE A FINIRE'!$Q$6:$Q$17</c:f>
              <c:numCache>
                <c:formatCode>#,##0</c:formatCode>
                <c:ptCount val="12"/>
                <c:pt idx="0">
                  <c:v>0</c:v>
                </c:pt>
                <c:pt idx="1">
                  <c:v>0</c:v>
                </c:pt>
                <c:pt idx="2">
                  <c:v>0</c:v>
                </c:pt>
                <c:pt idx="3">
                  <c:v>0</c:v>
                </c:pt>
                <c:pt idx="4">
                  <c:v>0</c:v>
                </c:pt>
                <c:pt idx="5">
                  <c:v>0</c:v>
                </c:pt>
                <c:pt idx="6">
                  <c:v>0</c:v>
                </c:pt>
                <c:pt idx="7">
                  <c:v>12836.628571428571</c:v>
                </c:pt>
                <c:pt idx="8">
                  <c:v>0</c:v>
                </c:pt>
                <c:pt idx="9">
                  <c:v>0</c:v>
                </c:pt>
                <c:pt idx="10">
                  <c:v>0</c:v>
                </c:pt>
                <c:pt idx="11">
                  <c:v>0</c:v>
                </c:pt>
              </c:numCache>
            </c:numRef>
          </c:val>
          <c:extLst>
            <c:ext xmlns:c16="http://schemas.microsoft.com/office/drawing/2014/chart" uri="{C3380CC4-5D6E-409C-BE32-E72D297353CC}">
              <c16:uniqueId val="{00000002-1364-4DD6-8C83-32FE51495A28}"/>
            </c:ext>
          </c:extLst>
        </c:ser>
        <c:dLbls>
          <c:dLblPos val="outEnd"/>
          <c:showLegendKey val="0"/>
          <c:showVal val="1"/>
          <c:showCatName val="0"/>
          <c:showSerName val="0"/>
          <c:showPercent val="0"/>
          <c:showBubbleSize val="0"/>
        </c:dLbls>
        <c:gapWidth val="247"/>
        <c:axId val="1043686672"/>
        <c:axId val="1043688312"/>
      </c:barChart>
      <c:lineChart>
        <c:grouping val="stacked"/>
        <c:varyColors val="0"/>
        <c:ser>
          <c:idx val="0"/>
          <c:order val="0"/>
          <c:spPr>
            <a:ln w="28575" cap="rnd">
              <a:solidFill>
                <a:schemeClr val="tx1">
                  <a:lumMod val="75000"/>
                  <a:lumOff val="25000"/>
                </a:schemeClr>
              </a:solidFill>
              <a:round/>
            </a:ln>
            <a:effectLst/>
          </c:spPr>
          <c:marker>
            <c:symbol val="circle"/>
            <c:size val="6"/>
            <c:spPr>
              <a:solidFill>
                <a:schemeClr val="lt1"/>
              </a:solidFill>
              <a:ln w="28575">
                <a:solidFill>
                  <a:schemeClr val="tx1">
                    <a:lumMod val="75000"/>
                    <a:lumOff val="25000"/>
                  </a:schemeClr>
                </a:solidFill>
                <a:round/>
              </a:ln>
              <a:effectLst/>
            </c:spPr>
          </c:marker>
          <c:dLbls>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'PREVISIONE A FINIRE'!$F$6:$F$17</c:f>
              <c:strCache>
                <c:ptCount val="12"/>
                <c:pt idx="0">
                  <c:v>Baldanza</c:v>
                </c:pt>
                <c:pt idx="1">
                  <c:v>Ferrari</c:v>
                </c:pt>
                <c:pt idx="2">
                  <c:v>Fortini</c:v>
                </c:pt>
                <c:pt idx="3">
                  <c:v>Guidotti</c:v>
                </c:pt>
                <c:pt idx="4">
                  <c:v>Lanzarini</c:v>
                </c:pt>
                <c:pt idx="5">
                  <c:v>Mengoli</c:v>
                </c:pt>
                <c:pt idx="6">
                  <c:v>Parmeggiani</c:v>
                </c:pt>
                <c:pt idx="7">
                  <c:v>Polloni</c:v>
                </c:pt>
                <c:pt idx="8">
                  <c:v>Seren</c:v>
                </c:pt>
                <c:pt idx="9">
                  <c:v>Squarzoni</c:v>
                </c:pt>
                <c:pt idx="10">
                  <c:v>Zanotti</c:v>
                </c:pt>
                <c:pt idx="11">
                  <c:v>Gamberini</c:v>
                </c:pt>
              </c:strCache>
            </c:strRef>
          </c:cat>
          <c:val>
            <c:numRef>
              <c:f>'PREVISIONE A FINIRE'!$I$6:$I$17</c:f>
              <c:numCache>
                <c:formatCode>#,##0</c:formatCode>
                <c:ptCount val="12"/>
                <c:pt idx="0">
                  <c:v>0</c:v>
                </c:pt>
                <c:pt idx="1">
                  <c:v>0</c:v>
                </c:pt>
                <c:pt idx="2">
                  <c:v>0</c:v>
                </c:pt>
                <c:pt idx="3">
                  <c:v>0</c:v>
                </c:pt>
                <c:pt idx="4">
                  <c:v>0</c:v>
                </c:pt>
                <c:pt idx="5">
                  <c:v>0</c:v>
                </c:pt>
                <c:pt idx="6">
                  <c:v>0</c:v>
                </c:pt>
                <c:pt idx="7">
                  <c:v>10000</c:v>
                </c:pt>
                <c:pt idx="8">
                  <c:v>0</c:v>
                </c:pt>
                <c:pt idx="9">
                  <c:v>0</c:v>
                </c:pt>
                <c:pt idx="10">
                  <c:v>0</c:v>
                </c:pt>
                <c:pt idx="11">
                  <c:v>10000</c:v>
                </c:pt>
              </c:numCache>
            </c:numRef>
          </c:val>
          <c:smooth val="0"/>
          <c:extLst>
            <c:ext xmlns:c16="http://schemas.microsoft.com/office/drawing/2014/chart" uri="{C3380CC4-5D6E-409C-BE32-E72D297353CC}">
              <c16:uniqueId val="{00000003-1364-4DD6-8C83-32FE51495A28}"/>
            </c:ext>
          </c:extLst>
        </c:ser>
        <c:dLbls>
          <c:showLegendKey val="0"/>
          <c:showVal val="1"/>
          <c:showCatName val="0"/>
          <c:showSerName val="0"/>
          <c:showPercent val="0"/>
          <c:showBubbleSize val="0"/>
        </c:dLbls>
        <c:marker val="1"/>
        <c:smooth val="0"/>
        <c:axId val="1043686672"/>
        <c:axId val="1043688312"/>
      </c:lineChart>
      <c:catAx>
        <c:axId val="10436866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43688312"/>
        <c:crosses val="autoZero"/>
        <c:auto val="1"/>
        <c:lblAlgn val="ctr"/>
        <c:lblOffset val="100"/>
        <c:noMultiLvlLbl val="0"/>
      </c:catAx>
      <c:valAx>
        <c:axId val="1043688312"/>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43686672"/>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a:glow rad="63500">
        <a:schemeClr val="accent3">
          <a:satMod val="175000"/>
          <a:alpha val="40000"/>
        </a:schemeClr>
      </a:glo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dk1">
                    <a:lumMod val="50000"/>
                    <a:lumOff val="50000"/>
                  </a:schemeClr>
                </a:solidFill>
                <a:latin typeface="Century Gothic" panose="020B0502020202020204" pitchFamily="34" charset="0"/>
                <a:ea typeface="+mj-ea"/>
                <a:cs typeface="+mj-cs"/>
              </a:defRPr>
            </a:pPr>
            <a:r>
              <a:rPr lang="it-IT" sz="1800">
                <a:latin typeface="Century Gothic" panose="020B0502020202020204" pitchFamily="34" charset="0"/>
              </a:rPr>
              <a:t>FORECAST EURO LUMP</a:t>
            </a:r>
          </a:p>
        </c:rich>
      </c:tx>
      <c:overlay val="0"/>
      <c:spPr>
        <a:noFill/>
        <a:ln>
          <a:noFill/>
        </a:ln>
        <a:effectLst/>
      </c:spPr>
      <c:txPr>
        <a:bodyPr rot="0" spcFirstLastPara="1" vertOverflow="ellipsis" vert="horz" wrap="square" anchor="ctr" anchorCtr="1"/>
        <a:lstStyle/>
        <a:p>
          <a:pPr>
            <a:defRPr sz="1800" b="1" i="0" u="none" strike="noStrike" kern="1200" cap="none" spc="0" normalizeH="0" baseline="0">
              <a:solidFill>
                <a:schemeClr val="dk1">
                  <a:lumMod val="50000"/>
                  <a:lumOff val="50000"/>
                </a:schemeClr>
              </a:solidFill>
              <a:latin typeface="Century Gothic" panose="020B0502020202020204" pitchFamily="34" charset="0"/>
              <a:ea typeface="+mj-ea"/>
              <a:cs typeface="+mj-cs"/>
            </a:defRPr>
          </a:pPr>
          <a:endParaRPr lang="en-US"/>
        </a:p>
      </c:txPr>
    </c:title>
    <c:autoTitleDeleted val="0"/>
    <c:plotArea>
      <c:layout/>
      <c:barChart>
        <c:barDir val="col"/>
        <c:grouping val="clustered"/>
        <c:varyColors val="0"/>
        <c:ser>
          <c:idx val="1"/>
          <c:order val="1"/>
          <c:spPr>
            <a:solidFill>
              <a:schemeClr val="accent1">
                <a:lumMod val="60000"/>
                <a:lumOff val="40000"/>
              </a:schemeClr>
            </a:solidFill>
            <a:ln>
              <a:noFill/>
            </a:ln>
            <a:effectLst/>
          </c:spPr>
          <c:invertIfNegative val="0"/>
          <c:dLbls>
            <c:numFmt formatCode="&quot;€&quot;\ #,##0" sourceLinked="0"/>
            <c:spPr>
              <a:solidFill>
                <a:schemeClr val="accent1">
                  <a:lumMod val="60000"/>
                  <a:lumOff val="40000"/>
                </a:schemeClr>
              </a:solidFill>
              <a:ln>
                <a:solidFill>
                  <a:schemeClr val="tx1">
                    <a:lumMod val="50000"/>
                    <a:lumOff val="50000"/>
                  </a:schemeClr>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'PREVISIONE A FINIRE'!$F$6:$F$17</c:f>
              <c:strCache>
                <c:ptCount val="12"/>
                <c:pt idx="0">
                  <c:v>Baldanza</c:v>
                </c:pt>
                <c:pt idx="1">
                  <c:v>Ferrari</c:v>
                </c:pt>
                <c:pt idx="2">
                  <c:v>Fortini</c:v>
                </c:pt>
                <c:pt idx="3">
                  <c:v>Guidotti</c:v>
                </c:pt>
                <c:pt idx="4">
                  <c:v>Lanzarini</c:v>
                </c:pt>
                <c:pt idx="5">
                  <c:v>Mengoli</c:v>
                </c:pt>
                <c:pt idx="6">
                  <c:v>Parmeggiani</c:v>
                </c:pt>
                <c:pt idx="7">
                  <c:v>Polloni</c:v>
                </c:pt>
                <c:pt idx="8">
                  <c:v>Seren</c:v>
                </c:pt>
                <c:pt idx="9">
                  <c:v>Squarzoni</c:v>
                </c:pt>
                <c:pt idx="10">
                  <c:v>Zanotti</c:v>
                </c:pt>
                <c:pt idx="11">
                  <c:v>Gamberini</c:v>
                </c:pt>
              </c:strCache>
            </c:strRef>
          </c:cat>
          <c:val>
            <c:numRef>
              <c:f>'PREVISIONE A FINIRE'!$R$6:$R$17</c:f>
              <c:numCache>
                <c:formatCode>"€"\ #,##0</c:formatCode>
                <c:ptCount val="12"/>
                <c:pt idx="0">
                  <c:v>0</c:v>
                </c:pt>
                <c:pt idx="1">
                  <c:v>0</c:v>
                </c:pt>
                <c:pt idx="2">
                  <c:v>0</c:v>
                </c:pt>
                <c:pt idx="3">
                  <c:v>0</c:v>
                </c:pt>
                <c:pt idx="4">
                  <c:v>0</c:v>
                </c:pt>
                <c:pt idx="5">
                  <c:v>0</c:v>
                </c:pt>
                <c:pt idx="6">
                  <c:v>0</c:v>
                </c:pt>
                <c:pt idx="7">
                  <c:v>107793</c:v>
                </c:pt>
                <c:pt idx="8">
                  <c:v>0</c:v>
                </c:pt>
                <c:pt idx="9">
                  <c:v>0</c:v>
                </c:pt>
                <c:pt idx="10">
                  <c:v>0</c:v>
                </c:pt>
                <c:pt idx="11">
                  <c:v>0</c:v>
                </c:pt>
              </c:numCache>
            </c:numRef>
          </c:val>
          <c:extLst>
            <c:ext xmlns:c16="http://schemas.microsoft.com/office/drawing/2014/chart" uri="{C3380CC4-5D6E-409C-BE32-E72D297353CC}">
              <c16:uniqueId val="{00000000-ACD6-47D4-A480-F90CB7C4F8AC}"/>
            </c:ext>
          </c:extLst>
        </c:ser>
        <c:dLbls>
          <c:dLblPos val="outEnd"/>
          <c:showLegendKey val="0"/>
          <c:showVal val="1"/>
          <c:showCatName val="0"/>
          <c:showSerName val="0"/>
          <c:showPercent val="0"/>
          <c:showBubbleSize val="0"/>
        </c:dLbls>
        <c:gapWidth val="247"/>
        <c:axId val="1043686672"/>
        <c:axId val="1043688312"/>
      </c:barChart>
      <c:lineChart>
        <c:grouping val="stacked"/>
        <c:varyColors val="0"/>
        <c:ser>
          <c:idx val="0"/>
          <c:order val="0"/>
          <c:spPr>
            <a:ln w="28575" cap="rnd">
              <a:solidFill>
                <a:schemeClr val="tx1">
                  <a:lumMod val="75000"/>
                  <a:lumOff val="25000"/>
                </a:schemeClr>
              </a:solidFill>
              <a:round/>
            </a:ln>
            <a:effectLst/>
          </c:spPr>
          <c:marker>
            <c:symbol val="circle"/>
            <c:size val="6"/>
            <c:spPr>
              <a:solidFill>
                <a:schemeClr val="lt1"/>
              </a:solidFill>
              <a:ln w="28575">
                <a:solidFill>
                  <a:schemeClr val="tx1">
                    <a:lumMod val="75000"/>
                    <a:lumOff val="25000"/>
                  </a:schemeClr>
                </a:solidFill>
                <a:round/>
              </a:ln>
              <a:effectLst/>
            </c:spPr>
          </c:marker>
          <c:dLbls>
            <c:numFmt formatCode="&quot;€&quot;\ #,##0" sourceLinked="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'PREVISIONE A FINIRE'!$F$6:$F$17</c:f>
              <c:strCache>
                <c:ptCount val="12"/>
                <c:pt idx="0">
                  <c:v>Baldanza</c:v>
                </c:pt>
                <c:pt idx="1">
                  <c:v>Ferrari</c:v>
                </c:pt>
                <c:pt idx="2">
                  <c:v>Fortini</c:v>
                </c:pt>
                <c:pt idx="3">
                  <c:v>Guidotti</c:v>
                </c:pt>
                <c:pt idx="4">
                  <c:v>Lanzarini</c:v>
                </c:pt>
                <c:pt idx="5">
                  <c:v>Mengoli</c:v>
                </c:pt>
                <c:pt idx="6">
                  <c:v>Parmeggiani</c:v>
                </c:pt>
                <c:pt idx="7">
                  <c:v>Polloni</c:v>
                </c:pt>
                <c:pt idx="8">
                  <c:v>Seren</c:v>
                </c:pt>
                <c:pt idx="9">
                  <c:v>Squarzoni</c:v>
                </c:pt>
                <c:pt idx="10">
                  <c:v>Zanotti</c:v>
                </c:pt>
                <c:pt idx="11">
                  <c:v>Gamberini</c:v>
                </c:pt>
              </c:strCache>
            </c:strRef>
          </c:cat>
          <c:val>
            <c:numRef>
              <c:f>'PREVISIONE A FINIRE'!$J$6:$J$17</c:f>
              <c:numCache>
                <c:formatCode>"€"\ #,##0</c:formatCode>
                <c:ptCount val="12"/>
                <c:pt idx="0">
                  <c:v>0</c:v>
                </c:pt>
                <c:pt idx="1">
                  <c:v>0</c:v>
                </c:pt>
                <c:pt idx="2">
                  <c:v>0</c:v>
                </c:pt>
                <c:pt idx="3">
                  <c:v>0</c:v>
                </c:pt>
                <c:pt idx="4">
                  <c:v>0</c:v>
                </c:pt>
                <c:pt idx="5">
                  <c:v>0</c:v>
                </c:pt>
                <c:pt idx="6">
                  <c:v>0</c:v>
                </c:pt>
                <c:pt idx="7">
                  <c:v>10000</c:v>
                </c:pt>
                <c:pt idx="8">
                  <c:v>0</c:v>
                </c:pt>
                <c:pt idx="9">
                  <c:v>0</c:v>
                </c:pt>
                <c:pt idx="10">
                  <c:v>0</c:v>
                </c:pt>
                <c:pt idx="11">
                  <c:v>10000</c:v>
                </c:pt>
              </c:numCache>
            </c:numRef>
          </c:val>
          <c:smooth val="0"/>
          <c:extLst>
            <c:ext xmlns:c16="http://schemas.microsoft.com/office/drawing/2014/chart" uri="{C3380CC4-5D6E-409C-BE32-E72D297353CC}">
              <c16:uniqueId val="{00000001-ACD6-47D4-A480-F90CB7C4F8AC}"/>
            </c:ext>
          </c:extLst>
        </c:ser>
        <c:dLbls>
          <c:showLegendKey val="0"/>
          <c:showVal val="1"/>
          <c:showCatName val="0"/>
          <c:showSerName val="0"/>
          <c:showPercent val="0"/>
          <c:showBubbleSize val="0"/>
        </c:dLbls>
        <c:marker val="1"/>
        <c:smooth val="0"/>
        <c:axId val="1043686672"/>
        <c:axId val="1043688312"/>
      </c:lineChart>
      <c:catAx>
        <c:axId val="10436866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43688312"/>
        <c:crosses val="autoZero"/>
        <c:auto val="1"/>
        <c:lblAlgn val="ctr"/>
        <c:lblOffset val="100"/>
        <c:noMultiLvlLbl val="0"/>
      </c:catAx>
      <c:valAx>
        <c:axId val="1043688312"/>
        <c:scaling>
          <c:orientation val="minMax"/>
        </c:scaling>
        <c:delete val="0"/>
        <c:axPos val="l"/>
        <c:majorGridlines>
          <c:spPr>
            <a:ln w="9525" cap="flat" cmpd="sng" algn="ctr">
              <a:solidFill>
                <a:schemeClr val="dk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43686672"/>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a:glow rad="63500">
        <a:schemeClr val="accent1">
          <a:satMod val="175000"/>
          <a:alpha val="40000"/>
        </a:schemeClr>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u="sng">
                <a:solidFill>
                  <a:schemeClr val="tx1">
                    <a:lumMod val="50000"/>
                    <a:lumOff val="50000"/>
                  </a:schemeClr>
                </a:solidFill>
                <a:latin typeface="+mn-lt"/>
              </a:defRPr>
            </a:pPr>
            <a:r>
              <a:rPr lang="it-IT" sz="1600" u="sng">
                <a:solidFill>
                  <a:schemeClr val="tx1">
                    <a:lumMod val="50000"/>
                    <a:lumOff val="50000"/>
                  </a:schemeClr>
                </a:solidFill>
                <a:latin typeface="+mn-lt"/>
              </a:rPr>
              <a:t>Ore Allocate</a:t>
            </a:r>
          </a:p>
        </c:rich>
      </c:tx>
      <c:layout>
        <c:manualLayout>
          <c:xMode val="edge"/>
          <c:yMode val="edge"/>
          <c:x val="0.39170742731145497"/>
          <c:y val="5.2464885556355111E-2"/>
        </c:manualLayout>
      </c:layout>
      <c:overlay val="0"/>
    </c:title>
    <c:autoTitleDeleted val="0"/>
    <c:plotArea>
      <c:layout>
        <c:manualLayout>
          <c:layoutTarget val="inner"/>
          <c:xMode val="edge"/>
          <c:yMode val="edge"/>
          <c:x val="0.1806861111111111"/>
          <c:y val="0.21983703703703705"/>
          <c:w val="0.66845039018952057"/>
          <c:h val="0.73887847645247662"/>
        </c:manualLayout>
      </c:layout>
      <c:doughnutChart>
        <c:varyColors val="1"/>
        <c:ser>
          <c:idx val="0"/>
          <c:order val="0"/>
          <c:spPr>
            <a:solidFill>
              <a:schemeClr val="accent3">
                <a:lumMod val="75000"/>
              </a:schemeClr>
            </a:solidFill>
            <a:ln w="28575">
              <a:solidFill>
                <a:schemeClr val="bg1"/>
              </a:solidFill>
            </a:ln>
          </c:spPr>
          <c:dPt>
            <c:idx val="0"/>
            <c:bubble3D val="0"/>
            <c:extLst>
              <c:ext xmlns:c16="http://schemas.microsoft.com/office/drawing/2014/chart" uri="{C3380CC4-5D6E-409C-BE32-E72D297353CC}">
                <c16:uniqueId val="{00000000-9D6F-49C6-9DB0-F9D094B69C5D}"/>
              </c:ext>
            </c:extLst>
          </c:dPt>
          <c:dPt>
            <c:idx val="1"/>
            <c:bubble3D val="0"/>
            <c:spPr>
              <a:solidFill>
                <a:schemeClr val="bg1">
                  <a:lumMod val="95000"/>
                </a:schemeClr>
              </a:solidFill>
              <a:ln w="28575">
                <a:solidFill>
                  <a:schemeClr val="bg1"/>
                </a:solidFill>
              </a:ln>
            </c:spPr>
            <c:extLst>
              <c:ext xmlns:c16="http://schemas.microsoft.com/office/drawing/2014/chart" uri="{C3380CC4-5D6E-409C-BE32-E72D297353CC}">
                <c16:uniqueId val="{00000002-9D6F-49C6-9DB0-F9D094B69C5D}"/>
              </c:ext>
            </c:extLst>
          </c:dPt>
          <c:val>
            <c:numRef>
              <c:f>REPORTISTICA!$B$50:$B$51</c:f>
              <c:numCache>
                <c:formatCode>0%</c:formatCode>
                <c:ptCount val="2"/>
                <c:pt idx="0">
                  <c:v>0.69950000000000001</c:v>
                </c:pt>
                <c:pt idx="1">
                  <c:v>0.30049999999999999</c:v>
                </c:pt>
              </c:numCache>
            </c:numRef>
          </c:val>
          <c:extLst>
            <c:ext xmlns:c16="http://schemas.microsoft.com/office/drawing/2014/chart" uri="{C3380CC4-5D6E-409C-BE32-E72D297353CC}">
              <c16:uniqueId val="{00000003-9D6F-49C6-9DB0-F9D094B69C5D}"/>
            </c:ext>
          </c:extLst>
        </c:ser>
        <c:dLbls>
          <c:showLegendKey val="0"/>
          <c:showVal val="0"/>
          <c:showCatName val="0"/>
          <c:showSerName val="0"/>
          <c:showPercent val="0"/>
          <c:showBubbleSize val="0"/>
          <c:showLeaderLines val="1"/>
        </c:dLbls>
        <c:firstSliceAng val="0"/>
        <c:holeSize val="67"/>
      </c:doughnutChart>
    </c:plotArea>
    <c:plotVisOnly val="1"/>
    <c:dispBlanksAs val="gap"/>
    <c:showDLblsOverMax val="0"/>
  </c:chart>
  <c:spPr>
    <a:ln w="3175">
      <a:noFill/>
    </a:ln>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u="sng">
                <a:solidFill>
                  <a:schemeClr val="tx1">
                    <a:lumMod val="50000"/>
                    <a:lumOff val="50000"/>
                  </a:schemeClr>
                </a:solidFill>
                <a:latin typeface="+mn-lt"/>
              </a:defRPr>
            </a:pPr>
            <a:r>
              <a:rPr lang="it-IT" sz="1600" u="sng">
                <a:solidFill>
                  <a:schemeClr val="tx1">
                    <a:lumMod val="50000"/>
                    <a:lumOff val="50000"/>
                  </a:schemeClr>
                </a:solidFill>
                <a:latin typeface="+mn-lt"/>
              </a:rPr>
              <a:t>€ EURO</a:t>
            </a:r>
            <a:r>
              <a:rPr lang="it-IT" sz="1600" u="sng" baseline="0">
                <a:solidFill>
                  <a:schemeClr val="tx1">
                    <a:lumMod val="50000"/>
                    <a:lumOff val="50000"/>
                  </a:schemeClr>
                </a:solidFill>
                <a:latin typeface="+mn-lt"/>
              </a:rPr>
              <a:t> ORE</a:t>
            </a:r>
            <a:endParaRPr lang="it-IT" sz="1600" u="sng">
              <a:solidFill>
                <a:schemeClr val="tx1">
                  <a:lumMod val="50000"/>
                  <a:lumOff val="50000"/>
                </a:schemeClr>
              </a:solidFill>
              <a:latin typeface="+mn-lt"/>
            </a:endParaRPr>
          </a:p>
        </c:rich>
      </c:tx>
      <c:layout>
        <c:manualLayout>
          <c:xMode val="edge"/>
          <c:yMode val="edge"/>
          <c:x val="0.39289784212319312"/>
          <c:y val="4.4052384970614908E-2"/>
        </c:manualLayout>
      </c:layout>
      <c:overlay val="0"/>
    </c:title>
    <c:autoTitleDeleted val="0"/>
    <c:plotArea>
      <c:layout>
        <c:manualLayout>
          <c:layoutTarget val="inner"/>
          <c:xMode val="edge"/>
          <c:yMode val="edge"/>
          <c:x val="0.1806861111111111"/>
          <c:y val="0.22314490740740742"/>
          <c:w val="0.66845039018952057"/>
          <c:h val="0.73887847645247662"/>
        </c:manualLayout>
      </c:layout>
      <c:doughnutChart>
        <c:varyColors val="1"/>
        <c:ser>
          <c:idx val="0"/>
          <c:order val="0"/>
          <c:spPr>
            <a:ln w="28575">
              <a:solidFill>
                <a:schemeClr val="bg1"/>
              </a:solidFill>
            </a:ln>
          </c:spPr>
          <c:dPt>
            <c:idx val="0"/>
            <c:bubble3D val="0"/>
            <c:spPr>
              <a:solidFill>
                <a:schemeClr val="accent1">
                  <a:lumMod val="40000"/>
                  <a:lumOff val="60000"/>
                </a:schemeClr>
              </a:solidFill>
              <a:ln w="28575">
                <a:solidFill>
                  <a:schemeClr val="bg1"/>
                </a:solidFill>
              </a:ln>
            </c:spPr>
            <c:extLst>
              <c:ext xmlns:c16="http://schemas.microsoft.com/office/drawing/2014/chart" uri="{C3380CC4-5D6E-409C-BE32-E72D297353CC}">
                <c16:uniqueId val="{00000001-B196-4A5D-AE80-7205983022E2}"/>
              </c:ext>
            </c:extLst>
          </c:dPt>
          <c:dPt>
            <c:idx val="1"/>
            <c:bubble3D val="0"/>
            <c:spPr>
              <a:solidFill>
                <a:schemeClr val="bg1">
                  <a:lumMod val="85000"/>
                </a:schemeClr>
              </a:solidFill>
              <a:ln w="28575">
                <a:solidFill>
                  <a:schemeClr val="bg1"/>
                </a:solidFill>
              </a:ln>
            </c:spPr>
            <c:extLst>
              <c:ext xmlns:c16="http://schemas.microsoft.com/office/drawing/2014/chart" uri="{C3380CC4-5D6E-409C-BE32-E72D297353CC}">
                <c16:uniqueId val="{00000003-B196-4A5D-AE80-7205983022E2}"/>
              </c:ext>
            </c:extLst>
          </c:dPt>
          <c:val>
            <c:numRef>
              <c:f>REPORTISTICA!$C$50:$C$51</c:f>
              <c:numCache>
                <c:formatCode>0%</c:formatCode>
                <c:ptCount val="2"/>
                <c:pt idx="0">
                  <c:v>1.1014999999999999</c:v>
                </c:pt>
                <c:pt idx="1">
                  <c:v>0</c:v>
                </c:pt>
              </c:numCache>
            </c:numRef>
          </c:val>
          <c:extLst>
            <c:ext xmlns:c16="http://schemas.microsoft.com/office/drawing/2014/chart" uri="{C3380CC4-5D6E-409C-BE32-E72D297353CC}">
              <c16:uniqueId val="{00000004-B196-4A5D-AE80-7205983022E2}"/>
            </c:ext>
          </c:extLst>
        </c:ser>
        <c:dLbls>
          <c:showLegendKey val="0"/>
          <c:showVal val="0"/>
          <c:showCatName val="0"/>
          <c:showSerName val="0"/>
          <c:showPercent val="0"/>
          <c:showBubbleSize val="0"/>
          <c:showLeaderLines val="1"/>
        </c:dLbls>
        <c:firstSliceAng val="0"/>
        <c:holeSize val="67"/>
      </c:doughnutChart>
    </c:plotArea>
    <c:plotVisOnly val="1"/>
    <c:dispBlanksAs val="gap"/>
    <c:showDLblsOverMax val="0"/>
  </c:chart>
  <c:spPr>
    <a:ln w="3175">
      <a:noFill/>
    </a:ln>
  </c:sp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u="sng">
                <a:solidFill>
                  <a:schemeClr val="tx1">
                    <a:lumMod val="50000"/>
                    <a:lumOff val="50000"/>
                  </a:schemeClr>
                </a:solidFill>
                <a:latin typeface="+mn-lt"/>
              </a:defRPr>
            </a:pPr>
            <a:r>
              <a:rPr lang="it-IT" sz="1600" u="sng">
                <a:solidFill>
                  <a:schemeClr val="tx1">
                    <a:lumMod val="50000"/>
                    <a:lumOff val="50000"/>
                  </a:schemeClr>
                </a:solidFill>
                <a:latin typeface="+mn-lt"/>
              </a:rPr>
              <a:t>€ EURO</a:t>
            </a:r>
            <a:r>
              <a:rPr lang="it-IT" sz="1600" u="sng" baseline="0">
                <a:solidFill>
                  <a:schemeClr val="tx1">
                    <a:lumMod val="50000"/>
                    <a:lumOff val="50000"/>
                  </a:schemeClr>
                </a:solidFill>
                <a:latin typeface="+mn-lt"/>
              </a:rPr>
              <a:t> LUMP</a:t>
            </a:r>
            <a:r>
              <a:rPr lang="it-IT" sz="1600" u="sng">
                <a:solidFill>
                  <a:schemeClr val="tx1">
                    <a:lumMod val="50000"/>
                    <a:lumOff val="50000"/>
                  </a:schemeClr>
                </a:solidFill>
                <a:latin typeface="+mn-lt"/>
              </a:rPr>
              <a:t> </a:t>
            </a:r>
          </a:p>
        </c:rich>
      </c:tx>
      <c:layout>
        <c:manualLayout>
          <c:xMode val="edge"/>
          <c:yMode val="edge"/>
          <c:x val="0.35885067750768918"/>
          <c:y val="3.4620242382017392E-2"/>
        </c:manualLayout>
      </c:layout>
      <c:overlay val="0"/>
    </c:title>
    <c:autoTitleDeleted val="0"/>
    <c:plotArea>
      <c:layout>
        <c:manualLayout>
          <c:layoutTarget val="inner"/>
          <c:xMode val="edge"/>
          <c:yMode val="edge"/>
          <c:x val="0.18068601939778986"/>
          <c:y val="0.22320856402429878"/>
          <c:w val="0.66845039018952057"/>
          <c:h val="0.73887847645247662"/>
        </c:manualLayout>
      </c:layout>
      <c:doughnutChart>
        <c:varyColors val="1"/>
        <c:ser>
          <c:idx val="0"/>
          <c:order val="0"/>
          <c:spPr>
            <a:ln w="28575">
              <a:solidFill>
                <a:schemeClr val="bg1"/>
              </a:solidFill>
            </a:ln>
          </c:spPr>
          <c:dPt>
            <c:idx val="0"/>
            <c:bubble3D val="0"/>
            <c:spPr>
              <a:solidFill>
                <a:schemeClr val="accent4">
                  <a:lumMod val="75000"/>
                </a:schemeClr>
              </a:solidFill>
              <a:ln w="28575">
                <a:solidFill>
                  <a:schemeClr val="bg1"/>
                </a:solidFill>
              </a:ln>
            </c:spPr>
            <c:extLst>
              <c:ext xmlns:c16="http://schemas.microsoft.com/office/drawing/2014/chart" uri="{C3380CC4-5D6E-409C-BE32-E72D297353CC}">
                <c16:uniqueId val="{00000001-B841-41F6-AA83-75BD01979378}"/>
              </c:ext>
            </c:extLst>
          </c:dPt>
          <c:dPt>
            <c:idx val="1"/>
            <c:bubble3D val="0"/>
            <c:spPr>
              <a:solidFill>
                <a:schemeClr val="bg1">
                  <a:lumMod val="85000"/>
                </a:schemeClr>
              </a:solidFill>
              <a:ln w="28575">
                <a:solidFill>
                  <a:schemeClr val="bg1"/>
                </a:solidFill>
              </a:ln>
            </c:spPr>
            <c:extLst>
              <c:ext xmlns:c16="http://schemas.microsoft.com/office/drawing/2014/chart" uri="{C3380CC4-5D6E-409C-BE32-E72D297353CC}">
                <c16:uniqueId val="{00000003-B841-41F6-AA83-75BD01979378}"/>
              </c:ext>
            </c:extLst>
          </c:dPt>
          <c:val>
            <c:numRef>
              <c:f>REPORTISTICA!$D$50:$D$51</c:f>
              <c:numCache>
                <c:formatCode>0%</c:formatCode>
                <c:ptCount val="2"/>
                <c:pt idx="0">
                  <c:v>7.4560000000000004</c:v>
                </c:pt>
                <c:pt idx="1">
                  <c:v>0</c:v>
                </c:pt>
              </c:numCache>
            </c:numRef>
          </c:val>
          <c:extLst>
            <c:ext xmlns:c16="http://schemas.microsoft.com/office/drawing/2014/chart" uri="{C3380CC4-5D6E-409C-BE32-E72D297353CC}">
              <c16:uniqueId val="{00000004-B841-41F6-AA83-75BD01979378}"/>
            </c:ext>
          </c:extLst>
        </c:ser>
        <c:dLbls>
          <c:showLegendKey val="0"/>
          <c:showVal val="0"/>
          <c:showCatName val="0"/>
          <c:showSerName val="0"/>
          <c:showPercent val="0"/>
          <c:showBubbleSize val="0"/>
          <c:showLeaderLines val="1"/>
        </c:dLbls>
        <c:firstSliceAng val="0"/>
        <c:holeSize val="67"/>
      </c:doughnutChart>
    </c:plotArea>
    <c:plotVisOnly val="1"/>
    <c:dispBlanksAs val="gap"/>
    <c:showDLblsOverMax val="0"/>
  </c:chart>
  <c:spPr>
    <a:ln w="3175">
      <a:noFill/>
    </a:ln>
  </c:sp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u="sng">
                <a:solidFill>
                  <a:schemeClr val="tx1">
                    <a:lumMod val="50000"/>
                    <a:lumOff val="50000"/>
                  </a:schemeClr>
                </a:solidFill>
                <a:latin typeface="Century Gothic" panose="020B0502020202020204" pitchFamily="34" charset="0"/>
              </a:defRPr>
            </a:pPr>
            <a:r>
              <a:rPr lang="it-IT" sz="1600" u="sng">
                <a:solidFill>
                  <a:schemeClr val="tx1">
                    <a:lumMod val="50000"/>
                    <a:lumOff val="50000"/>
                  </a:schemeClr>
                </a:solidFill>
                <a:latin typeface="Century Gothic" panose="020B0502020202020204" pitchFamily="34" charset="0"/>
              </a:rPr>
              <a:t>ORE consumate</a:t>
            </a:r>
            <a:r>
              <a:rPr lang="it-IT" sz="1600" u="sng" baseline="0">
                <a:solidFill>
                  <a:schemeClr val="tx1">
                    <a:lumMod val="50000"/>
                    <a:lumOff val="50000"/>
                  </a:schemeClr>
                </a:solidFill>
                <a:latin typeface="Century Gothic" panose="020B0502020202020204" pitchFamily="34" charset="0"/>
              </a:rPr>
              <a:t> </a:t>
            </a:r>
            <a:endParaRPr lang="it-IT" sz="1600" u="sng">
              <a:solidFill>
                <a:schemeClr val="tx1">
                  <a:lumMod val="50000"/>
                  <a:lumOff val="50000"/>
                </a:schemeClr>
              </a:solidFill>
              <a:latin typeface="Century Gothic" panose="020B0502020202020204" pitchFamily="34" charset="0"/>
            </a:endParaRPr>
          </a:p>
        </c:rich>
      </c:tx>
      <c:layout>
        <c:manualLayout>
          <c:xMode val="edge"/>
          <c:yMode val="edge"/>
          <c:x val="0.32010860186826889"/>
          <c:y val="2.3877022626545015E-2"/>
        </c:manualLayout>
      </c:layout>
      <c:overlay val="0"/>
    </c:title>
    <c:autoTitleDeleted val="0"/>
    <c:plotArea>
      <c:layout>
        <c:manualLayout>
          <c:layoutTarget val="inner"/>
          <c:xMode val="edge"/>
          <c:yMode val="edge"/>
          <c:x val="0.1806861111111111"/>
          <c:y val="0.21983703703703705"/>
          <c:w val="0.66845039018952057"/>
          <c:h val="0.73887847645247662"/>
        </c:manualLayout>
      </c:layout>
      <c:doughnutChart>
        <c:varyColors val="1"/>
        <c:ser>
          <c:idx val="0"/>
          <c:order val="0"/>
          <c:spPr>
            <a:ln w="28575">
              <a:solidFill>
                <a:schemeClr val="bg1"/>
              </a:solidFill>
            </a:ln>
          </c:spPr>
          <c:dPt>
            <c:idx val="0"/>
            <c:bubble3D val="0"/>
            <c:spPr>
              <a:solidFill>
                <a:schemeClr val="accent3">
                  <a:lumMod val="75000"/>
                </a:schemeClr>
              </a:solidFill>
              <a:ln w="28575">
                <a:solidFill>
                  <a:schemeClr val="bg1"/>
                </a:solidFill>
              </a:ln>
            </c:spPr>
            <c:extLst>
              <c:ext xmlns:c16="http://schemas.microsoft.com/office/drawing/2014/chart" uri="{C3380CC4-5D6E-409C-BE32-E72D297353CC}">
                <c16:uniqueId val="{00000001-BBA4-4452-B220-5D4FB917ADE7}"/>
              </c:ext>
            </c:extLst>
          </c:dPt>
          <c:dPt>
            <c:idx val="1"/>
            <c:bubble3D val="0"/>
            <c:spPr>
              <a:solidFill>
                <a:schemeClr val="bg1">
                  <a:lumMod val="85000"/>
                </a:schemeClr>
              </a:solidFill>
              <a:ln w="28575">
                <a:solidFill>
                  <a:schemeClr val="bg1"/>
                </a:solidFill>
              </a:ln>
            </c:spPr>
            <c:extLst>
              <c:ext xmlns:c16="http://schemas.microsoft.com/office/drawing/2014/chart" uri="{C3380CC4-5D6E-409C-BE32-E72D297353CC}">
                <c16:uniqueId val="{00000003-BBA4-4452-B220-5D4FB917ADE7}"/>
              </c:ext>
            </c:extLst>
          </c:dPt>
          <c:val>
            <c:numRef>
              <c:f>REPORTISTICA!$B$54:$B$55</c:f>
              <c:numCache>
                <c:formatCode>0%</c:formatCode>
                <c:ptCount val="2"/>
                <c:pt idx="0">
                  <c:v>3.4798949282683372E-2</c:v>
                </c:pt>
                <c:pt idx="1">
                  <c:v>0.96520105071731666</c:v>
                </c:pt>
              </c:numCache>
            </c:numRef>
          </c:val>
          <c:extLst>
            <c:ext xmlns:c16="http://schemas.microsoft.com/office/drawing/2014/chart" uri="{C3380CC4-5D6E-409C-BE32-E72D297353CC}">
              <c16:uniqueId val="{00000004-BBA4-4452-B220-5D4FB917ADE7}"/>
            </c:ext>
          </c:extLst>
        </c:ser>
        <c:dLbls>
          <c:showLegendKey val="0"/>
          <c:showVal val="0"/>
          <c:showCatName val="0"/>
          <c:showSerName val="0"/>
          <c:showPercent val="0"/>
          <c:showBubbleSize val="0"/>
          <c:showLeaderLines val="1"/>
        </c:dLbls>
        <c:firstSliceAng val="0"/>
        <c:holeSize val="62"/>
      </c:doughnutChart>
    </c:plotArea>
    <c:plotVisOnly val="1"/>
    <c:dispBlanksAs val="gap"/>
    <c:showDLblsOverMax val="0"/>
  </c:chart>
  <c:spPr>
    <a:ln w="3175">
      <a:noFill/>
    </a:ln>
  </c:sp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u="sng">
                <a:solidFill>
                  <a:schemeClr val="tx1">
                    <a:lumMod val="50000"/>
                    <a:lumOff val="50000"/>
                  </a:schemeClr>
                </a:solidFill>
                <a:latin typeface="Century Gothic" panose="020B0502020202020204" pitchFamily="34" charset="0"/>
              </a:defRPr>
            </a:pPr>
            <a:r>
              <a:rPr lang="it-IT" sz="1600" u="sng">
                <a:solidFill>
                  <a:schemeClr val="tx1">
                    <a:lumMod val="50000"/>
                    <a:lumOff val="50000"/>
                  </a:schemeClr>
                </a:solidFill>
                <a:latin typeface="Century Gothic" panose="020B0502020202020204" pitchFamily="34" charset="0"/>
              </a:rPr>
              <a:t>€ EURO</a:t>
            </a:r>
            <a:r>
              <a:rPr lang="it-IT" sz="1600" u="sng" baseline="0">
                <a:solidFill>
                  <a:schemeClr val="tx1">
                    <a:lumMod val="50000"/>
                    <a:lumOff val="50000"/>
                  </a:schemeClr>
                </a:solidFill>
                <a:latin typeface="Century Gothic" panose="020B0502020202020204" pitchFamily="34" charset="0"/>
              </a:rPr>
              <a:t> </a:t>
            </a:r>
            <a:r>
              <a:rPr lang="it-IT" sz="1600" u="sng">
                <a:solidFill>
                  <a:schemeClr val="tx1">
                    <a:lumMod val="50000"/>
                    <a:lumOff val="50000"/>
                  </a:schemeClr>
                </a:solidFill>
                <a:latin typeface="Century Gothic" panose="020B0502020202020204" pitchFamily="34" charset="0"/>
              </a:rPr>
              <a:t>ORE</a:t>
            </a:r>
            <a:r>
              <a:rPr lang="it-IT" sz="1600" u="sng" baseline="0">
                <a:solidFill>
                  <a:schemeClr val="tx1">
                    <a:lumMod val="50000"/>
                    <a:lumOff val="50000"/>
                  </a:schemeClr>
                </a:solidFill>
                <a:latin typeface="Century Gothic" panose="020B0502020202020204" pitchFamily="34" charset="0"/>
              </a:rPr>
              <a:t> </a:t>
            </a:r>
            <a:r>
              <a:rPr lang="it-IT" sz="1600" u="sng">
                <a:solidFill>
                  <a:schemeClr val="tx1">
                    <a:lumMod val="50000"/>
                    <a:lumOff val="50000"/>
                  </a:schemeClr>
                </a:solidFill>
                <a:latin typeface="Century Gothic" panose="020B0502020202020204" pitchFamily="34" charset="0"/>
              </a:rPr>
              <a:t>consumati</a:t>
            </a:r>
            <a:r>
              <a:rPr lang="it-IT" sz="1600" u="sng" baseline="0">
                <a:solidFill>
                  <a:schemeClr val="tx1">
                    <a:lumMod val="50000"/>
                    <a:lumOff val="50000"/>
                  </a:schemeClr>
                </a:solidFill>
                <a:latin typeface="Century Gothic" panose="020B0502020202020204" pitchFamily="34" charset="0"/>
              </a:rPr>
              <a:t> </a:t>
            </a:r>
            <a:endParaRPr lang="it-IT" sz="1600" u="sng">
              <a:solidFill>
                <a:schemeClr val="tx1">
                  <a:lumMod val="50000"/>
                  <a:lumOff val="50000"/>
                </a:schemeClr>
              </a:solidFill>
              <a:latin typeface="Century Gothic" panose="020B0502020202020204" pitchFamily="34" charset="0"/>
            </a:endParaRPr>
          </a:p>
        </c:rich>
      </c:tx>
      <c:layout>
        <c:manualLayout>
          <c:xMode val="edge"/>
          <c:yMode val="edge"/>
          <c:x val="0.24097499322568119"/>
          <c:y val="2.8475736993732417E-2"/>
        </c:manualLayout>
      </c:layout>
      <c:overlay val="0"/>
    </c:title>
    <c:autoTitleDeleted val="0"/>
    <c:plotArea>
      <c:layout>
        <c:manualLayout>
          <c:layoutTarget val="inner"/>
          <c:xMode val="edge"/>
          <c:yMode val="edge"/>
          <c:x val="0.1806861111111111"/>
          <c:y val="0.22314490740740742"/>
          <c:w val="0.66845039018952057"/>
          <c:h val="0.73887847645247662"/>
        </c:manualLayout>
      </c:layout>
      <c:doughnutChart>
        <c:varyColors val="1"/>
        <c:ser>
          <c:idx val="0"/>
          <c:order val="0"/>
          <c:spPr>
            <a:ln w="28575">
              <a:solidFill>
                <a:schemeClr val="bg1"/>
              </a:solidFill>
            </a:ln>
          </c:spPr>
          <c:dPt>
            <c:idx val="0"/>
            <c:bubble3D val="0"/>
            <c:spPr>
              <a:solidFill>
                <a:schemeClr val="accent1">
                  <a:lumMod val="40000"/>
                  <a:lumOff val="60000"/>
                </a:schemeClr>
              </a:solidFill>
              <a:ln w="28575">
                <a:solidFill>
                  <a:schemeClr val="bg1"/>
                </a:solidFill>
              </a:ln>
            </c:spPr>
            <c:extLst>
              <c:ext xmlns:c16="http://schemas.microsoft.com/office/drawing/2014/chart" uri="{C3380CC4-5D6E-409C-BE32-E72D297353CC}">
                <c16:uniqueId val="{00000001-A923-4F0D-9914-EF9AE753DFD8}"/>
              </c:ext>
            </c:extLst>
          </c:dPt>
          <c:dPt>
            <c:idx val="1"/>
            <c:bubble3D val="0"/>
            <c:spPr>
              <a:solidFill>
                <a:schemeClr val="bg1">
                  <a:lumMod val="85000"/>
                </a:schemeClr>
              </a:solidFill>
              <a:ln w="28575">
                <a:solidFill>
                  <a:schemeClr val="bg1"/>
                </a:solidFill>
              </a:ln>
            </c:spPr>
            <c:extLst>
              <c:ext xmlns:c16="http://schemas.microsoft.com/office/drawing/2014/chart" uri="{C3380CC4-5D6E-409C-BE32-E72D297353CC}">
                <c16:uniqueId val="{00000003-A923-4F0D-9914-EF9AE753DFD8}"/>
              </c:ext>
            </c:extLst>
          </c:dPt>
          <c:val>
            <c:numRef>
              <c:f>REPORTISTICA!$C$54:$C$55</c:f>
              <c:numCache>
                <c:formatCode>0%</c:formatCode>
                <c:ptCount val="2"/>
                <c:pt idx="0">
                  <c:v>4.852686308492201E-2</c:v>
                </c:pt>
                <c:pt idx="1">
                  <c:v>0.95147313691507795</c:v>
                </c:pt>
              </c:numCache>
            </c:numRef>
          </c:val>
          <c:extLst>
            <c:ext xmlns:c16="http://schemas.microsoft.com/office/drawing/2014/chart" uri="{C3380CC4-5D6E-409C-BE32-E72D297353CC}">
              <c16:uniqueId val="{00000004-A923-4F0D-9914-EF9AE753DFD8}"/>
            </c:ext>
          </c:extLst>
        </c:ser>
        <c:dLbls>
          <c:showLegendKey val="0"/>
          <c:showVal val="0"/>
          <c:showCatName val="0"/>
          <c:showSerName val="0"/>
          <c:showPercent val="0"/>
          <c:showBubbleSize val="0"/>
          <c:showLeaderLines val="1"/>
        </c:dLbls>
        <c:firstSliceAng val="0"/>
        <c:holeSize val="62"/>
      </c:doughnutChart>
    </c:plotArea>
    <c:plotVisOnly val="1"/>
    <c:dispBlanksAs val="gap"/>
    <c:showDLblsOverMax val="0"/>
  </c:chart>
  <c:spPr>
    <a:ln w="3175">
      <a:noFill/>
    </a:ln>
  </c:sp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u="sng">
                <a:solidFill>
                  <a:schemeClr val="tx1">
                    <a:lumMod val="50000"/>
                    <a:lumOff val="50000"/>
                  </a:schemeClr>
                </a:solidFill>
                <a:latin typeface="Century Gothic" panose="020B0502020202020204" pitchFamily="34" charset="0"/>
              </a:defRPr>
            </a:pPr>
            <a:r>
              <a:rPr lang="it-IT" sz="1600" u="sng">
                <a:solidFill>
                  <a:schemeClr val="tx1">
                    <a:lumMod val="50000"/>
                    <a:lumOff val="50000"/>
                  </a:schemeClr>
                </a:solidFill>
                <a:latin typeface="Century Gothic" panose="020B0502020202020204" pitchFamily="34" charset="0"/>
              </a:rPr>
              <a:t>€ EURO LUMP</a:t>
            </a:r>
            <a:r>
              <a:rPr lang="it-IT" sz="1600" u="sng" baseline="0">
                <a:solidFill>
                  <a:schemeClr val="tx1">
                    <a:lumMod val="50000"/>
                    <a:lumOff val="50000"/>
                  </a:schemeClr>
                </a:solidFill>
                <a:latin typeface="Century Gothic" panose="020B0502020202020204" pitchFamily="34" charset="0"/>
              </a:rPr>
              <a:t> </a:t>
            </a:r>
            <a:r>
              <a:rPr lang="it-IT" sz="1600" u="sng">
                <a:solidFill>
                  <a:schemeClr val="tx1">
                    <a:lumMod val="50000"/>
                    <a:lumOff val="50000"/>
                  </a:schemeClr>
                </a:solidFill>
                <a:latin typeface="Century Gothic" panose="020B0502020202020204" pitchFamily="34" charset="0"/>
              </a:rPr>
              <a:t>consumati</a:t>
            </a:r>
            <a:r>
              <a:rPr lang="it-IT" sz="1600" u="sng" baseline="0">
                <a:solidFill>
                  <a:schemeClr val="tx1">
                    <a:lumMod val="50000"/>
                    <a:lumOff val="50000"/>
                  </a:schemeClr>
                </a:solidFill>
                <a:latin typeface="Century Gothic" panose="020B0502020202020204" pitchFamily="34" charset="0"/>
              </a:rPr>
              <a:t> </a:t>
            </a:r>
            <a:endParaRPr lang="it-IT" sz="1600" u="sng">
              <a:solidFill>
                <a:schemeClr val="tx1">
                  <a:lumMod val="50000"/>
                  <a:lumOff val="50000"/>
                </a:schemeClr>
              </a:solidFill>
              <a:latin typeface="Century Gothic" panose="020B0502020202020204" pitchFamily="34" charset="0"/>
            </a:endParaRPr>
          </a:p>
        </c:rich>
      </c:tx>
      <c:layout>
        <c:manualLayout>
          <c:xMode val="edge"/>
          <c:yMode val="edge"/>
          <c:x val="0.17294005105513746"/>
          <c:y val="3.3222542936729126E-2"/>
        </c:manualLayout>
      </c:layout>
      <c:overlay val="0"/>
    </c:title>
    <c:autoTitleDeleted val="0"/>
    <c:plotArea>
      <c:layout>
        <c:manualLayout>
          <c:layoutTarget val="inner"/>
          <c:xMode val="edge"/>
          <c:yMode val="edge"/>
          <c:x val="0.1806861111111111"/>
          <c:y val="0.22314490740740742"/>
          <c:w val="0.66845039018952057"/>
          <c:h val="0.73887847645247662"/>
        </c:manualLayout>
      </c:layout>
      <c:doughnutChart>
        <c:varyColors val="1"/>
        <c:ser>
          <c:idx val="0"/>
          <c:order val="0"/>
          <c:spPr>
            <a:ln w="28575">
              <a:solidFill>
                <a:schemeClr val="bg1"/>
              </a:solidFill>
            </a:ln>
          </c:spPr>
          <c:dPt>
            <c:idx val="0"/>
            <c:bubble3D val="0"/>
            <c:spPr>
              <a:solidFill>
                <a:schemeClr val="accent4">
                  <a:lumMod val="75000"/>
                </a:schemeClr>
              </a:solidFill>
              <a:ln w="28575">
                <a:solidFill>
                  <a:schemeClr val="bg1"/>
                </a:solidFill>
              </a:ln>
            </c:spPr>
            <c:extLst>
              <c:ext xmlns:c16="http://schemas.microsoft.com/office/drawing/2014/chart" uri="{C3380CC4-5D6E-409C-BE32-E72D297353CC}">
                <c16:uniqueId val="{00000001-DF93-4BF6-8ED9-34DC6379202E}"/>
              </c:ext>
            </c:extLst>
          </c:dPt>
          <c:dPt>
            <c:idx val="1"/>
            <c:bubble3D val="0"/>
            <c:spPr>
              <a:solidFill>
                <a:schemeClr val="bg1">
                  <a:lumMod val="85000"/>
                </a:schemeClr>
              </a:solidFill>
              <a:ln w="28575">
                <a:solidFill>
                  <a:schemeClr val="bg1"/>
                </a:solidFill>
              </a:ln>
            </c:spPr>
            <c:extLst>
              <c:ext xmlns:c16="http://schemas.microsoft.com/office/drawing/2014/chart" uri="{C3380CC4-5D6E-409C-BE32-E72D297353CC}">
                <c16:uniqueId val="{00000003-DF93-4BF6-8ED9-34DC6379202E}"/>
              </c:ext>
            </c:extLst>
          </c:dPt>
          <c:val>
            <c:numRef>
              <c:f>REPORTISTICA!$D$54:$D$55</c:f>
              <c:numCache>
                <c:formatCode>0%</c:formatCode>
                <c:ptCount val="2"/>
                <c:pt idx="0">
                  <c:v>8.7692148973486027E-5</c:v>
                </c:pt>
                <c:pt idx="1">
                  <c:v>0.99991230785102647</c:v>
                </c:pt>
              </c:numCache>
            </c:numRef>
          </c:val>
          <c:extLst>
            <c:ext xmlns:c16="http://schemas.microsoft.com/office/drawing/2014/chart" uri="{C3380CC4-5D6E-409C-BE32-E72D297353CC}">
              <c16:uniqueId val="{00000004-DF93-4BF6-8ED9-34DC6379202E}"/>
            </c:ext>
          </c:extLst>
        </c:ser>
        <c:dLbls>
          <c:showLegendKey val="0"/>
          <c:showVal val="0"/>
          <c:showCatName val="0"/>
          <c:showSerName val="0"/>
          <c:showPercent val="0"/>
          <c:showBubbleSize val="0"/>
          <c:showLeaderLines val="1"/>
        </c:dLbls>
        <c:firstSliceAng val="0"/>
        <c:holeSize val="62"/>
      </c:doughnutChart>
    </c:plotArea>
    <c:plotVisOnly val="1"/>
    <c:dispBlanksAs val="gap"/>
    <c:showDLblsOverMax val="0"/>
  </c:chart>
  <c:spPr>
    <a:ln w="3175">
      <a:noFill/>
    </a:ln>
  </c:spPr>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56767904011996"/>
          <c:y val="0.15190040677904953"/>
          <c:w val="0.44925119654160878"/>
          <c:h val="0.73485762733266591"/>
        </c:manualLayout>
      </c:layout>
      <c:pieChart>
        <c:varyColors val="1"/>
        <c:ser>
          <c:idx val="0"/>
          <c:order val="0"/>
          <c:spPr>
            <a:ln>
              <a:solidFill>
                <a:schemeClr val="bg1"/>
              </a:solidFill>
            </a:ln>
          </c:spPr>
          <c:cat>
            <c:strRef>
              <c:f>'Reportistica per tipologia'!$I$5:$I$9</c:f>
              <c:strCache>
                <c:ptCount val="5"/>
                <c:pt idx="0">
                  <c:v>Esterni "veri"</c:v>
                </c:pt>
                <c:pt idx="1">
                  <c:v>Consociate</c:v>
                </c:pt>
                <c:pt idx="2">
                  <c:v>Filiali GD</c:v>
                </c:pt>
                <c:pt idx="3">
                  <c:v>Aziende Tob.</c:v>
                </c:pt>
                <c:pt idx="4">
                  <c:v>Altro</c:v>
                </c:pt>
              </c:strCache>
            </c:strRef>
          </c:cat>
          <c:val>
            <c:numRef>
              <c:f>'Reportistica per tipologia'!$J$5:$J$9</c:f>
              <c:numCache>
                <c:formatCode>General</c:formatCode>
                <c:ptCount val="5"/>
                <c:pt idx="0">
                  <c:v>446.62857142857143</c:v>
                </c:pt>
                <c:pt idx="1">
                  <c:v>0</c:v>
                </c:pt>
                <c:pt idx="2">
                  <c:v>0</c:v>
                </c:pt>
                <c:pt idx="3">
                  <c:v>0</c:v>
                </c:pt>
                <c:pt idx="4">
                  <c:v>0</c:v>
                </c:pt>
              </c:numCache>
            </c:numRef>
          </c:val>
          <c:extLst>
            <c:ext xmlns:c16="http://schemas.microsoft.com/office/drawing/2014/chart" uri="{C3380CC4-5D6E-409C-BE32-E72D297353CC}">
              <c16:uniqueId val="{00000000-D8CC-41A9-B92B-59C7CAD20CCA}"/>
            </c:ext>
          </c:extLst>
        </c:ser>
        <c:dLbls>
          <c:showLegendKey val="0"/>
          <c:showVal val="0"/>
          <c:showCatName val="0"/>
          <c:showSerName val="0"/>
          <c:showPercent val="0"/>
          <c:showBubbleSize val="0"/>
          <c:showLeaderLines val="0"/>
        </c:dLbls>
        <c:firstSliceAng val="0"/>
      </c:pieChart>
    </c:plotArea>
    <c:legend>
      <c:legendPos val="r"/>
      <c:overlay val="0"/>
      <c:txPr>
        <a:bodyPr/>
        <a:lstStyle/>
        <a:p>
          <a:pPr rtl="0">
            <a:defRPr sz="900">
              <a:solidFill>
                <a:schemeClr val="bg1"/>
              </a:solidFill>
            </a:defRPr>
          </a:pPr>
          <a:endParaRPr lang="en-US"/>
        </a:p>
      </c:txPr>
    </c:legend>
    <c:plotVisOnly val="1"/>
    <c:dispBlanksAs val="gap"/>
    <c:showDLblsOverMax val="0"/>
  </c:chart>
  <c:spPr>
    <a:solidFill>
      <a:schemeClr val="tx1">
        <a:lumMod val="75000"/>
        <a:lumOff val="25000"/>
      </a:schemeClr>
    </a:solidFill>
    <a:ln w="3175">
      <a:solidFill>
        <a:schemeClr val="accent3"/>
      </a:solidFill>
      <a:prstDash val="sysDash"/>
    </a:ln>
    <a:effectLst>
      <a:outerShdw blurRad="50800" dist="38100" dir="2700000" algn="tl" rotWithShape="0">
        <a:prstClr val="black">
          <a:alpha val="40000"/>
        </a:prstClr>
      </a:outerShdw>
    </a:effectLst>
  </c:sp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15412567294118"/>
          <c:y val="0.14018053131073066"/>
          <c:w val="0.44590170093768955"/>
          <c:h val="0.74675009483197208"/>
        </c:manualLayout>
      </c:layout>
      <c:pieChart>
        <c:varyColors val="1"/>
        <c:ser>
          <c:idx val="0"/>
          <c:order val="0"/>
          <c:spPr>
            <a:ln>
              <a:solidFill>
                <a:schemeClr val="bg1"/>
              </a:solidFill>
            </a:ln>
          </c:spPr>
          <c:dLbls>
            <c:numFmt formatCode="General" sourceLinked="0"/>
            <c:spPr>
              <a:noFill/>
              <a:ln>
                <a:noFill/>
              </a:ln>
              <a:effectLst/>
            </c:spPr>
            <c:txPr>
              <a:bodyPr/>
              <a:lstStyle/>
              <a:p>
                <a:pPr>
                  <a:defRPr sz="900">
                    <a:solidFill>
                      <a:schemeClr val="bg1"/>
                    </a:solidFill>
                  </a:defRPr>
                </a:pPr>
                <a:endParaRPr lang="en-US"/>
              </a:p>
            </c:txPr>
            <c:dLblPos val="inEnd"/>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'Reportistica per tipologia'!$I$5:$I$9</c:f>
              <c:strCache>
                <c:ptCount val="5"/>
                <c:pt idx="0">
                  <c:v>Esterni "veri"</c:v>
                </c:pt>
                <c:pt idx="1">
                  <c:v>Consociate</c:v>
                </c:pt>
                <c:pt idx="2">
                  <c:v>Filiali GD</c:v>
                </c:pt>
                <c:pt idx="3">
                  <c:v>Aziende Tob.</c:v>
                </c:pt>
                <c:pt idx="4">
                  <c:v>Altro</c:v>
                </c:pt>
              </c:strCache>
            </c:strRef>
          </c:cat>
          <c:val>
            <c:numRef>
              <c:f>'Reportistica per tipologia'!$K$5:$K$9</c:f>
              <c:numCache>
                <c:formatCode>"€"\ #,##0</c:formatCode>
                <c:ptCount val="5"/>
                <c:pt idx="0">
                  <c:v>802</c:v>
                </c:pt>
                <c:pt idx="1">
                  <c:v>0</c:v>
                </c:pt>
                <c:pt idx="2">
                  <c:v>0</c:v>
                </c:pt>
                <c:pt idx="3">
                  <c:v>0</c:v>
                </c:pt>
                <c:pt idx="4">
                  <c:v>0</c:v>
                </c:pt>
              </c:numCache>
            </c:numRef>
          </c:val>
          <c:extLst>
            <c:ext xmlns:c16="http://schemas.microsoft.com/office/drawing/2014/chart" uri="{C3380CC4-5D6E-409C-BE32-E72D297353CC}">
              <c16:uniqueId val="{00000000-E238-4717-BDAE-067755AEE4FE}"/>
            </c:ext>
          </c:extLst>
        </c:ser>
        <c:dLbls>
          <c:showLegendKey val="0"/>
          <c:showVal val="0"/>
          <c:showCatName val="0"/>
          <c:showSerName val="0"/>
          <c:showPercent val="0"/>
          <c:showBubbleSize val="0"/>
          <c:showLeaderLines val="0"/>
        </c:dLbls>
        <c:firstSliceAng val="0"/>
      </c:pieChart>
    </c:plotArea>
    <c:legend>
      <c:legendPos val="r"/>
      <c:layout>
        <c:manualLayout>
          <c:xMode val="edge"/>
          <c:yMode val="edge"/>
          <c:x val="0.69203500636040127"/>
          <c:y val="0.18320907798154418"/>
          <c:w val="0.30455667734784686"/>
          <c:h val="0.63358184403691165"/>
        </c:manualLayout>
      </c:layout>
      <c:overlay val="0"/>
      <c:txPr>
        <a:bodyPr/>
        <a:lstStyle/>
        <a:p>
          <a:pPr>
            <a:defRPr sz="900">
              <a:solidFill>
                <a:schemeClr val="bg1"/>
              </a:solidFill>
            </a:defRPr>
          </a:pPr>
          <a:endParaRPr lang="en-US"/>
        </a:p>
      </c:txPr>
    </c:legend>
    <c:plotVisOnly val="1"/>
    <c:dispBlanksAs val="gap"/>
    <c:showDLblsOverMax val="0"/>
  </c:chart>
  <c:spPr>
    <a:solidFill>
      <a:schemeClr val="tx1">
        <a:lumMod val="75000"/>
        <a:lumOff val="25000"/>
      </a:schemeClr>
    </a:solidFill>
    <a:ln w="3175">
      <a:solidFill>
        <a:schemeClr val="accent1"/>
      </a:solidFill>
      <a:prstDash val="sysDash"/>
    </a:ln>
    <a:effectLst>
      <a:outerShdw blurRad="50800" dist="38100" dir="2700000" algn="tl" rotWithShape="0">
        <a:prstClr val="black">
          <a:alpha val="40000"/>
        </a:prstClr>
      </a:outerShdw>
    </a:effectLst>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38263839469047"/>
          <c:y val="0.11734894749994157"/>
          <c:w val="0.43351978961813448"/>
          <c:h val="0.7638737826900639"/>
        </c:manualLayout>
      </c:layout>
      <c:pieChart>
        <c:varyColors val="1"/>
        <c:ser>
          <c:idx val="0"/>
          <c:order val="0"/>
          <c:spPr>
            <a:ln>
              <a:solidFill>
                <a:schemeClr val="bg1"/>
              </a:solidFill>
            </a:ln>
          </c:spPr>
          <c:dLbls>
            <c:numFmt formatCode="General" sourceLinked="0"/>
            <c:spPr>
              <a:noFill/>
              <a:ln>
                <a:noFill/>
              </a:ln>
              <a:effectLst/>
            </c:spPr>
            <c:txPr>
              <a:bodyPr/>
              <a:lstStyle/>
              <a:p>
                <a:pPr>
                  <a:defRPr sz="900">
                    <a:solidFill>
                      <a:schemeClr val="bg1"/>
                    </a:solidFill>
                  </a:defRPr>
                </a:pPr>
                <a:endParaRPr lang="en-US"/>
              </a:p>
            </c:txPr>
            <c:dLblPos val="inEnd"/>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'Reportistica per tipologia'!$I$5:$I$9</c:f>
              <c:strCache>
                <c:ptCount val="5"/>
                <c:pt idx="0">
                  <c:v>Esterni "veri"</c:v>
                </c:pt>
                <c:pt idx="1">
                  <c:v>Consociate</c:v>
                </c:pt>
                <c:pt idx="2">
                  <c:v>Filiali GD</c:v>
                </c:pt>
                <c:pt idx="3">
                  <c:v>Aziende Tob.</c:v>
                </c:pt>
                <c:pt idx="4">
                  <c:v>Altro</c:v>
                </c:pt>
              </c:strCache>
            </c:strRef>
          </c:cat>
          <c:val>
            <c:numRef>
              <c:f>'Reportistica per tipologia'!$L$5:$L$9</c:f>
              <c:numCache>
                <c:formatCode>"€"\ #,##0</c:formatCode>
                <c:ptCount val="5"/>
                <c:pt idx="0">
                  <c:v>11</c:v>
                </c:pt>
                <c:pt idx="1">
                  <c:v>1</c:v>
                </c:pt>
                <c:pt idx="2">
                  <c:v>1</c:v>
                </c:pt>
                <c:pt idx="3">
                  <c:v>0</c:v>
                </c:pt>
                <c:pt idx="4">
                  <c:v>0</c:v>
                </c:pt>
              </c:numCache>
            </c:numRef>
          </c:val>
          <c:extLst>
            <c:ext xmlns:c16="http://schemas.microsoft.com/office/drawing/2014/chart" uri="{C3380CC4-5D6E-409C-BE32-E72D297353CC}">
              <c16:uniqueId val="{00000000-D93F-4A24-954B-1C2D93E8F9F5}"/>
            </c:ext>
          </c:extLst>
        </c:ser>
        <c:dLbls>
          <c:showLegendKey val="0"/>
          <c:showVal val="0"/>
          <c:showCatName val="0"/>
          <c:showSerName val="0"/>
          <c:showPercent val="0"/>
          <c:showBubbleSize val="0"/>
          <c:showLeaderLines val="0"/>
        </c:dLbls>
        <c:firstSliceAng val="0"/>
      </c:pieChart>
    </c:plotArea>
    <c:legend>
      <c:legendPos val="r"/>
      <c:layout>
        <c:manualLayout>
          <c:xMode val="edge"/>
          <c:yMode val="edge"/>
          <c:x val="0.69519243767998384"/>
          <c:y val="0.21078495704246494"/>
          <c:w val="0.29832878033103005"/>
          <c:h val="0.57843008591507006"/>
        </c:manualLayout>
      </c:layout>
      <c:overlay val="0"/>
      <c:txPr>
        <a:bodyPr/>
        <a:lstStyle/>
        <a:p>
          <a:pPr>
            <a:defRPr sz="900" i="0">
              <a:solidFill>
                <a:schemeClr val="bg1"/>
              </a:solidFill>
            </a:defRPr>
          </a:pPr>
          <a:endParaRPr lang="en-US"/>
        </a:p>
      </c:txPr>
    </c:legend>
    <c:plotVisOnly val="1"/>
    <c:dispBlanksAs val="gap"/>
    <c:showDLblsOverMax val="0"/>
  </c:chart>
  <c:spPr>
    <a:solidFill>
      <a:schemeClr val="tx1">
        <a:lumMod val="75000"/>
        <a:lumOff val="25000"/>
      </a:schemeClr>
    </a:solidFill>
    <a:ln w="3175">
      <a:solidFill>
        <a:schemeClr val="accent1"/>
      </a:solidFill>
      <a:prstDash val="sysDash"/>
    </a:ln>
    <a:effectLst>
      <a:outerShdw blurRad="50800" dist="38100" dir="2700000" algn="tl" rotWithShape="0">
        <a:prstClr val="black">
          <a:alpha val="40000"/>
        </a:prstClr>
      </a:outerShdw>
    </a:effectLst>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4" Type="http://schemas.microsoft.com/office/2007/relationships/hdphoto" Target="../media/hdphoto2.wdp"/></Relationships>
</file>

<file path=xl/drawings/_rels/drawing5.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2.xml"/><Relationship Id="rId3" Type="http://schemas.microsoft.com/office/2007/relationships/hdphoto" Target="../media/hdphoto2.wdp"/><Relationship Id="rId7" Type="http://schemas.microsoft.com/office/2007/relationships/hdphoto" Target="../media/hdphoto3.wdp"/><Relationship Id="rId12" Type="http://schemas.microsoft.com/office/2007/relationships/hdphoto" Target="../media/hdphoto5.wdp"/><Relationship Id="rId2" Type="http://schemas.openxmlformats.org/officeDocument/2006/relationships/image" Target="../media/image2.png"/><Relationship Id="rId1" Type="http://schemas.openxmlformats.org/officeDocument/2006/relationships/image" Target="../media/image3.png"/><Relationship Id="rId6" Type="http://schemas.openxmlformats.org/officeDocument/2006/relationships/image" Target="../media/image4.png"/><Relationship Id="rId11" Type="http://schemas.openxmlformats.org/officeDocument/2006/relationships/image" Target="../media/image6.png"/><Relationship Id="rId5" Type="http://schemas.microsoft.com/office/2007/relationships/hdphoto" Target="../media/hdphoto1.wdp"/><Relationship Id="rId15" Type="http://schemas.microsoft.com/office/2007/relationships/hdphoto" Target="../media/hdphoto6.wdp"/><Relationship Id="rId10" Type="http://schemas.openxmlformats.org/officeDocument/2006/relationships/chart" Target="../charts/chart1.xml"/><Relationship Id="rId4" Type="http://schemas.openxmlformats.org/officeDocument/2006/relationships/image" Target="../media/image1.png"/><Relationship Id="rId9" Type="http://schemas.microsoft.com/office/2007/relationships/hdphoto" Target="../media/hdphoto4.wdp"/><Relationship Id="rId14"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07/relationships/hdphoto" Target="../media/hdphoto2.wdp"/><Relationship Id="rId1" Type="http://schemas.openxmlformats.org/officeDocument/2006/relationships/image" Target="../media/image2.png"/><Relationship Id="rId6" Type="http://schemas.openxmlformats.org/officeDocument/2006/relationships/image" Target="../media/image9.svg"/><Relationship Id="rId5" Type="http://schemas.openxmlformats.org/officeDocument/2006/relationships/image" Target="../media/image8.png"/><Relationship Id="rId4" Type="http://schemas.microsoft.com/office/2007/relationships/hdphoto" Target="../media/hdphoto1.wdp"/></Relationships>
</file>

<file path=xl/drawings/_rels/drawing7.xml.rels><?xml version="1.0" encoding="UTF-8" standalone="yes"?>
<Relationships xmlns="http://schemas.openxmlformats.org/package/2006/relationships"><Relationship Id="rId8" Type="http://schemas.microsoft.com/office/2007/relationships/hdphoto" Target="../media/hdphoto8.wdp"/><Relationship Id="rId13" Type="http://schemas.openxmlformats.org/officeDocument/2006/relationships/image" Target="../media/image13.png"/><Relationship Id="rId18" Type="http://schemas.microsoft.com/office/2007/relationships/hdphoto" Target="../media/hdphoto11.wdp"/><Relationship Id="rId3" Type="http://schemas.microsoft.com/office/2007/relationships/hdphoto" Target="../media/hdphoto7.wdp"/><Relationship Id="rId7" Type="http://schemas.openxmlformats.org/officeDocument/2006/relationships/image" Target="../media/image11.png"/><Relationship Id="rId12" Type="http://schemas.openxmlformats.org/officeDocument/2006/relationships/chart" Target="../charts/chart7.xml"/><Relationship Id="rId17" Type="http://schemas.openxmlformats.org/officeDocument/2006/relationships/image" Target="../media/image15.png"/><Relationship Id="rId2" Type="http://schemas.openxmlformats.org/officeDocument/2006/relationships/image" Target="../media/image10.png"/><Relationship Id="rId16" Type="http://schemas.microsoft.com/office/2007/relationships/hdphoto" Target="../media/hdphoto10.wdp"/><Relationship Id="rId20" Type="http://schemas.openxmlformats.org/officeDocument/2006/relationships/image" Target="../media/image17.svg"/><Relationship Id="rId1" Type="http://schemas.openxmlformats.org/officeDocument/2006/relationships/image" Target="../media/image3.png"/><Relationship Id="rId6" Type="http://schemas.openxmlformats.org/officeDocument/2006/relationships/chart" Target="../charts/chart5.xml"/><Relationship Id="rId11" Type="http://schemas.openxmlformats.org/officeDocument/2006/relationships/chart" Target="../charts/chart6.xml"/><Relationship Id="rId5" Type="http://schemas.openxmlformats.org/officeDocument/2006/relationships/chart" Target="../charts/chart4.xml"/><Relationship Id="rId15" Type="http://schemas.openxmlformats.org/officeDocument/2006/relationships/image" Target="../media/image14.png"/><Relationship Id="rId10" Type="http://schemas.microsoft.com/office/2007/relationships/hdphoto" Target="../media/hdphoto9.wdp"/><Relationship Id="rId19" Type="http://schemas.openxmlformats.org/officeDocument/2006/relationships/image" Target="../media/image16.png"/><Relationship Id="rId4" Type="http://schemas.openxmlformats.org/officeDocument/2006/relationships/chart" Target="../charts/chart3.xml"/><Relationship Id="rId9" Type="http://schemas.openxmlformats.org/officeDocument/2006/relationships/image" Target="../media/image12.png"/><Relationship Id="rId14" Type="http://schemas.openxmlformats.org/officeDocument/2006/relationships/chart" Target="../charts/chart8.xml"/></Relationships>
</file>

<file path=xl/drawings/_rels/drawing13.xml.rels><?xml version="1.0" encoding="UTF-8" standalone="yes"?>
<Relationships xmlns="http://schemas.openxmlformats.org/package/2006/relationships"><Relationship Id="rId2" Type="http://schemas.microsoft.com/office/2007/relationships/hdphoto" Target="../media/hdphoto9.wdp"/><Relationship Id="rId1" Type="http://schemas.openxmlformats.org/officeDocument/2006/relationships/image" Target="../media/image12.png"/></Relationships>
</file>

<file path=xl/drawings/_rels/drawing14.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image" Target="../media/image19.png"/><Relationship Id="rId7" Type="http://schemas.openxmlformats.org/officeDocument/2006/relationships/chart" Target="../charts/chart9.xml"/><Relationship Id="rId2" Type="http://schemas.openxmlformats.org/officeDocument/2006/relationships/image" Target="../media/image18.png"/><Relationship Id="rId1" Type="http://schemas.openxmlformats.org/officeDocument/2006/relationships/image" Target="../media/image3.png"/><Relationship Id="rId6" Type="http://schemas.microsoft.com/office/2007/relationships/hdphoto" Target="../media/hdphoto13.wdp"/><Relationship Id="rId5" Type="http://schemas.openxmlformats.org/officeDocument/2006/relationships/image" Target="../media/image20.png"/><Relationship Id="rId4" Type="http://schemas.microsoft.com/office/2007/relationships/hdphoto" Target="../media/hdphoto12.wdp"/><Relationship Id="rId9" Type="http://schemas.openxmlformats.org/officeDocument/2006/relationships/chart" Target="../charts/chart11.xml"/></Relationships>
</file>

<file path=xl/drawings/_rels/drawing15.xml.rels><?xml version="1.0" encoding="UTF-8" standalone="yes"?>
<Relationships xmlns="http://schemas.openxmlformats.org/package/2006/relationships"><Relationship Id="rId2" Type="http://schemas.microsoft.com/office/2007/relationships/hdphoto" Target="../media/hdphoto10.wdp"/><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11</xdr:col>
      <xdr:colOff>97971</xdr:colOff>
      <xdr:row>3</xdr:row>
      <xdr:rowOff>21771</xdr:rowOff>
    </xdr:from>
    <xdr:ext cx="8887097" cy="5040087"/>
    <xdr:sp macro="" textlink="">
      <xdr:nvSpPr>
        <xdr:cNvPr id="3" name="TextBox 2">
          <a:extLst>
            <a:ext uri="{FF2B5EF4-FFF2-40B4-BE49-F238E27FC236}">
              <a16:creationId xmlns:a16="http://schemas.microsoft.com/office/drawing/2014/main" id="{B4F9CE7C-80A0-4514-B847-FF3F4558B8AF}"/>
            </a:ext>
          </a:extLst>
        </xdr:cNvPr>
        <xdr:cNvSpPr txBox="1"/>
      </xdr:nvSpPr>
      <xdr:spPr>
        <a:xfrm>
          <a:off x="20090946" y="707571"/>
          <a:ext cx="8887097" cy="5040087"/>
        </a:xfrm>
        <a:prstGeom prst="rect">
          <a:avLst/>
        </a:prstGeom>
        <a:solidFill>
          <a:sysClr val="window" lastClr="FFFFFF"/>
        </a:solidFill>
        <a:ln w="28575">
          <a:solidFill>
            <a:schemeClr val="bg1">
              <a:lumMod val="8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it-IT" sz="2000" b="1"/>
            <a:t>PROCEDURA PER</a:t>
          </a:r>
          <a:r>
            <a:rPr lang="it-IT" sz="2000" b="1" baseline="0"/>
            <a:t> IMPORTARE L'AVANZAMENTO: </a:t>
          </a:r>
        </a:p>
        <a:p>
          <a:endParaRPr lang="it-IT" sz="1600" baseline="0"/>
        </a:p>
        <a:p>
          <a:r>
            <a:rPr lang="it-IT" sz="1600" b="1" baseline="0">
              <a:solidFill>
                <a:srgbClr val="FF0000"/>
              </a:solidFill>
            </a:rPr>
            <a:t>1)</a:t>
          </a:r>
          <a:r>
            <a:rPr lang="it-IT" sz="1600" baseline="0">
              <a:solidFill>
                <a:srgbClr val="FF0000"/>
              </a:solidFill>
            </a:rPr>
            <a:t> Se visibili, nascondere le colonne </a:t>
          </a:r>
          <a:r>
            <a:rPr lang="it-IT" sz="1600" b="1" baseline="0">
              <a:solidFill>
                <a:srgbClr val="FF0000"/>
              </a:solidFill>
            </a:rPr>
            <a:t>A</a:t>
          </a:r>
          <a:r>
            <a:rPr lang="it-IT" sz="1600" baseline="0">
              <a:solidFill>
                <a:srgbClr val="FF0000"/>
              </a:solidFill>
            </a:rPr>
            <a:t> , </a:t>
          </a:r>
          <a:r>
            <a:rPr lang="it-IT" sz="1600" b="1" baseline="0">
              <a:solidFill>
                <a:srgbClr val="FF0000"/>
              </a:solidFill>
            </a:rPr>
            <a:t>B</a:t>
          </a:r>
          <a:r>
            <a:rPr lang="it-IT" sz="1600" baseline="0">
              <a:solidFill>
                <a:srgbClr val="FF0000"/>
              </a:solidFill>
            </a:rPr>
            <a:t> , </a:t>
          </a:r>
          <a:r>
            <a:rPr lang="it-IT" sz="1600" b="1" baseline="0">
              <a:solidFill>
                <a:srgbClr val="FF0000"/>
              </a:solidFill>
            </a:rPr>
            <a:t>C</a:t>
          </a:r>
          <a:r>
            <a:rPr lang="it-IT" sz="1600" baseline="0">
              <a:solidFill>
                <a:srgbClr val="FF0000"/>
              </a:solidFill>
            </a:rPr>
            <a:t> , </a:t>
          </a:r>
          <a:r>
            <a:rPr lang="it-IT" sz="1600" b="1" baseline="0">
              <a:solidFill>
                <a:srgbClr val="FF0000"/>
              </a:solidFill>
            </a:rPr>
            <a:t>D</a:t>
          </a:r>
          <a:r>
            <a:rPr lang="it-IT" sz="1600" baseline="0">
              <a:solidFill>
                <a:srgbClr val="FF0000"/>
              </a:solidFill>
            </a:rPr>
            <a:t> che non vanno mai modificate o cancellate.</a:t>
          </a:r>
        </a:p>
        <a:p>
          <a:r>
            <a:rPr lang="it-IT" sz="1600" b="1" baseline="0"/>
            <a:t>2) </a:t>
          </a:r>
          <a:r>
            <a:rPr lang="it-IT" sz="1600" b="0" baseline="0"/>
            <a:t>Svuotare il contenuto della tabella a sinistra (colonne </a:t>
          </a:r>
          <a:r>
            <a:rPr lang="it-IT" sz="1600" b="1" baseline="0"/>
            <a:t>E:J</a:t>
          </a:r>
          <a:r>
            <a:rPr lang="it-IT" sz="1600" b="0" baseline="0"/>
            <a:t>), mantenendo i titoli e dopo aver tolto  </a:t>
          </a:r>
        </a:p>
        <a:p>
          <a:r>
            <a:rPr lang="it-IT" sz="1600" b="0" baseline="0"/>
            <a:t>     eventuali filtri (</a:t>
          </a:r>
          <a:r>
            <a:rPr lang="it-IT" sz="1600" b="0" i="1" baseline="0"/>
            <a:t>per svuotare: seleziona il contenuto e clicca 'Canc' su tastiera</a:t>
          </a:r>
          <a:r>
            <a:rPr lang="it-IT" sz="1600" b="0" baseline="0"/>
            <a:t>).</a:t>
          </a:r>
        </a:p>
        <a:p>
          <a:r>
            <a:rPr lang="it-IT" sz="1600" b="1" baseline="0"/>
            <a:t>3) </a:t>
          </a:r>
          <a:r>
            <a:rPr lang="it-IT" sz="1600" b="0" baseline="0"/>
            <a:t>Copiare i dati dal file avanzamento, nelle </a:t>
          </a:r>
          <a:r>
            <a:rPr lang="it-IT" sz="1800" b="1" baseline="0"/>
            <a:t>colonne E:J</a:t>
          </a:r>
          <a:r>
            <a:rPr lang="it-IT" sz="1800" b="0" baseline="0"/>
            <a:t> </a:t>
          </a:r>
          <a:r>
            <a:rPr lang="it-IT" sz="1600" b="0" baseline="0"/>
            <a:t>(i titoli delle colonne sono </a:t>
          </a:r>
        </a:p>
        <a:p>
          <a:r>
            <a:rPr lang="it-IT" sz="1600" b="0" baseline="0"/>
            <a:t>     uguali a quelli del file avanzamento) e assicurarsi che la tabella li includa tutti.</a:t>
          </a:r>
        </a:p>
        <a:p>
          <a:r>
            <a:rPr lang="it-IT" sz="1600" b="1" baseline="0"/>
            <a:t>4) </a:t>
          </a:r>
          <a:r>
            <a:rPr lang="it-IT" sz="1600" b="0" baseline="0"/>
            <a:t>Andare su </a:t>
          </a:r>
          <a:r>
            <a:rPr lang="it-IT" sz="1600" b="1" i="1" u="heavy" baseline="0"/>
            <a:t>Dati &gt;&gt; Aggiorna Tutto</a:t>
          </a:r>
          <a:r>
            <a:rPr lang="it-IT" sz="1600" b="1" i="1" u="none" baseline="0"/>
            <a:t>...  </a:t>
          </a:r>
          <a:r>
            <a:rPr lang="it-IT" sz="1600" b="0" i="0" u="none" baseline="0"/>
            <a:t>(questo punto è fondamentale affinché la reportistica si aggiorni</a:t>
          </a:r>
          <a:r>
            <a:rPr lang="it-IT" sz="1600" b="0" i="0" u="sng" baseline="0"/>
            <a:t>)</a:t>
          </a:r>
        </a:p>
        <a:p>
          <a:r>
            <a:rPr lang="it-IT" sz="1600" b="1" i="1" baseline="0"/>
            <a:t>5) </a:t>
          </a:r>
          <a:r>
            <a:rPr lang="it-IT" sz="1600" b="0" i="1" baseline="0"/>
            <a:t>Indicare la data in cui è stata fatta questa operazione nella casella M1 di questo foglio.</a:t>
          </a:r>
        </a:p>
        <a:p>
          <a:endParaRPr lang="it-IT" sz="1600" b="0" i="1" baseline="0"/>
        </a:p>
        <a:p>
          <a:r>
            <a:rPr lang="it-IT" sz="1600" b="1" i="1" baseline="0"/>
            <a:t>FINITO!</a:t>
          </a:r>
        </a:p>
        <a:p>
          <a:endParaRPr lang="it-IT" sz="1600" b="0" i="1" baseline="0"/>
        </a:p>
        <a:p>
          <a:r>
            <a:rPr lang="it-IT" sz="1600" b="1" i="1" baseline="0">
              <a:solidFill>
                <a:srgbClr val="FF0000"/>
              </a:solidFill>
            </a:rPr>
            <a:t>SPIEGAZIONE CASO PARTICOLARE SU ACTUAL IN REPORTISTICA</a:t>
          </a:r>
        </a:p>
        <a:p>
          <a:r>
            <a:rPr lang="it-IT" sz="1600" b="0" i="1" baseline="0"/>
            <a:t>Se, a titolo di esempio, esiste un </a:t>
          </a:r>
          <a:r>
            <a:rPr lang="it-IT" sz="1600" b="1" i="1" baseline="0"/>
            <a:t>actual</a:t>
          </a:r>
          <a:r>
            <a:rPr lang="it-IT" sz="1000" b="0" i="1" baseline="0"/>
            <a:t> </a:t>
          </a:r>
          <a:r>
            <a:rPr lang="it-IT" sz="1600" b="0" i="1" baseline="0"/>
            <a:t>sulla coppia Ferrari - Juno Design nella tabella di questo foglio, ma nel foglio '2022 sintesi' non c'è alcuna riga con la coppia 'Ferrari - Juno Design', il relativo avanzamento </a:t>
          </a:r>
          <a:r>
            <a:rPr lang="it-IT" sz="1600" b="1" i="1" baseline="0"/>
            <a:t>non</a:t>
          </a:r>
          <a:r>
            <a:rPr lang="it-IT" sz="1600" b="0" i="1" baseline="0"/>
            <a:t> sarà conteggiato nella colonna Actual del foglio REPORTISTICA.</a:t>
          </a:r>
        </a:p>
        <a:p>
          <a:endParaRPr lang="it-IT" sz="1600" b="0" i="1" baseline="0"/>
        </a:p>
        <a:p>
          <a:r>
            <a:rPr lang="it-IT" sz="1600" b="1" i="1" baseline="0"/>
            <a:t>Per queste casistiche bisogna fare riferimento alla tabella di questo foglio, che contiene tutti i dati actual e non è relazionata al foglio '2022 sintesi'.</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23</xdr:col>
      <xdr:colOff>581025</xdr:colOff>
      <xdr:row>0</xdr:row>
      <xdr:rowOff>85725</xdr:rowOff>
    </xdr:from>
    <xdr:ext cx="4474815" cy="312458"/>
    <xdr:sp macro="" textlink="">
      <xdr:nvSpPr>
        <xdr:cNvPr id="23" name="TextBox 22">
          <a:extLst>
            <a:ext uri="{FF2B5EF4-FFF2-40B4-BE49-F238E27FC236}">
              <a16:creationId xmlns:a16="http://schemas.microsoft.com/office/drawing/2014/main" id="{BC2B8576-D460-4565-9AAE-1BB75E93087B}"/>
            </a:ext>
          </a:extLst>
        </xdr:cNvPr>
        <xdr:cNvSpPr txBox="1"/>
      </xdr:nvSpPr>
      <xdr:spPr>
        <a:xfrm>
          <a:off x="14506575" y="85725"/>
          <a:ext cx="4474815"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latin typeface="Century Gothic" panose="020B0502020202020204" pitchFamily="34" charset="0"/>
            </a:rPr>
            <a:t>euro</a:t>
          </a:r>
          <a:r>
            <a:rPr lang="it-IT" sz="1400">
              <a:latin typeface="Century Gothic" panose="020B0502020202020204" pitchFamily="34" charset="0"/>
            </a:rPr>
            <a:t> : </a:t>
          </a:r>
          <a:r>
            <a:rPr lang="it-IT" sz="1400" b="1">
              <a:solidFill>
                <a:srgbClr val="FF0000"/>
              </a:solidFill>
              <a:latin typeface="Century Gothic" panose="020B0502020202020204" pitchFamily="34" charset="0"/>
            </a:rPr>
            <a:t>SOLO </a:t>
          </a:r>
          <a:r>
            <a:rPr lang="it-IT" sz="1400" b="1" u="sng">
              <a:solidFill>
                <a:srgbClr val="FF0000"/>
              </a:solidFill>
              <a:latin typeface="Century Gothic" panose="020B0502020202020204" pitchFamily="34" charset="0"/>
            </a:rPr>
            <a:t>EURO</a:t>
          </a:r>
          <a:r>
            <a:rPr lang="it-IT" sz="1400" b="1">
              <a:solidFill>
                <a:srgbClr val="FF0000"/>
              </a:solidFill>
              <a:latin typeface="Century Gothic" panose="020B0502020202020204" pitchFamily="34" charset="0"/>
            </a:rPr>
            <a:t> LUMP</a:t>
          </a:r>
          <a:r>
            <a:rPr lang="it-IT" sz="1400" b="1" baseline="0">
              <a:solidFill>
                <a:srgbClr val="FF0000"/>
              </a:solidFill>
              <a:latin typeface="Century Gothic" panose="020B0502020202020204" pitchFamily="34" charset="0"/>
            </a:rPr>
            <a:t> SUM</a:t>
          </a:r>
          <a:endParaRPr lang="it-IT" sz="1400" b="1">
            <a:solidFill>
              <a:srgbClr val="FF0000"/>
            </a:solidFill>
            <a:latin typeface="Century Gothic" panose="020B0502020202020204" pitchFamily="34" charset="0"/>
          </a:endParaRPr>
        </a:p>
      </xdr:txBody>
    </xdr:sp>
    <xdr:clientData/>
  </xdr:oneCellAnchor>
  <xdr:twoCellAnchor>
    <xdr:from>
      <xdr:col>21</xdr:col>
      <xdr:colOff>1362075</xdr:colOff>
      <xdr:row>2</xdr:row>
      <xdr:rowOff>142875</xdr:rowOff>
    </xdr:from>
    <xdr:to>
      <xdr:col>33</xdr:col>
      <xdr:colOff>57150</xdr:colOff>
      <xdr:row>2</xdr:row>
      <xdr:rowOff>142875</xdr:rowOff>
    </xdr:to>
    <xdr:cxnSp macro="">
      <xdr:nvCxnSpPr>
        <xdr:cNvPr id="24" name="Straight Connector 23">
          <a:extLst>
            <a:ext uri="{FF2B5EF4-FFF2-40B4-BE49-F238E27FC236}">
              <a16:creationId xmlns:a16="http://schemas.microsoft.com/office/drawing/2014/main" id="{E42F9EDE-DAA9-4195-AAF4-C3572BDBAC9E}"/>
            </a:ext>
          </a:extLst>
        </xdr:cNvPr>
        <xdr:cNvCxnSpPr/>
      </xdr:nvCxnSpPr>
      <xdr:spPr>
        <a:xfrm>
          <a:off x="12363450" y="523875"/>
          <a:ext cx="7953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38100</xdr:colOff>
      <xdr:row>0</xdr:row>
      <xdr:rowOff>133350</xdr:rowOff>
    </xdr:from>
    <xdr:ext cx="3947043" cy="312458"/>
    <xdr:sp macro="" textlink="">
      <xdr:nvSpPr>
        <xdr:cNvPr id="25" name="TextBox 24">
          <a:extLst>
            <a:ext uri="{FF2B5EF4-FFF2-40B4-BE49-F238E27FC236}">
              <a16:creationId xmlns:a16="http://schemas.microsoft.com/office/drawing/2014/main" id="{04996CDC-438D-4CB7-AE6B-900AD68EC260}"/>
            </a:ext>
          </a:extLst>
        </xdr:cNvPr>
        <xdr:cNvSpPr txBox="1"/>
      </xdr:nvSpPr>
      <xdr:spPr>
        <a:xfrm>
          <a:off x="3267075" y="133350"/>
          <a:ext cx="3947043"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latin typeface="Century Gothic" panose="020B0502020202020204" pitchFamily="34" charset="0"/>
            </a:rPr>
            <a:t>euro</a:t>
          </a:r>
          <a:r>
            <a:rPr lang="it-IT" sz="1400">
              <a:latin typeface="Century Gothic" panose="020B0502020202020204" pitchFamily="34" charset="0"/>
            </a:rPr>
            <a:t> : </a:t>
          </a:r>
          <a:r>
            <a:rPr lang="it-IT" sz="1400" b="1">
              <a:solidFill>
                <a:srgbClr val="FF0000"/>
              </a:solidFill>
              <a:latin typeface="Century Gothic" panose="020B0502020202020204" pitchFamily="34" charset="0"/>
            </a:rPr>
            <a:t>SOLO </a:t>
          </a:r>
          <a:r>
            <a:rPr lang="it-IT" sz="1400" b="1" u="sng">
              <a:solidFill>
                <a:srgbClr val="FF0000"/>
              </a:solidFill>
              <a:latin typeface="Century Gothic" panose="020B0502020202020204" pitchFamily="34" charset="0"/>
            </a:rPr>
            <a:t>EURO </a:t>
          </a:r>
          <a:r>
            <a:rPr lang="it-IT" sz="1400" b="1">
              <a:solidFill>
                <a:srgbClr val="FF0000"/>
              </a:solidFill>
              <a:latin typeface="Century Gothic" panose="020B0502020202020204" pitchFamily="34" charset="0"/>
            </a:rPr>
            <a:t>ORE</a:t>
          </a:r>
        </a:p>
      </xdr:txBody>
    </xdr:sp>
    <xdr:clientData/>
  </xdr:oneCellAnchor>
  <xdr:twoCellAnchor>
    <xdr:from>
      <xdr:col>1</xdr:col>
      <xdr:colOff>47625</xdr:colOff>
      <xdr:row>2</xdr:row>
      <xdr:rowOff>152400</xdr:rowOff>
    </xdr:from>
    <xdr:to>
      <xdr:col>12</xdr:col>
      <xdr:colOff>295275</xdr:colOff>
      <xdr:row>2</xdr:row>
      <xdr:rowOff>152400</xdr:rowOff>
    </xdr:to>
    <xdr:cxnSp macro="">
      <xdr:nvCxnSpPr>
        <xdr:cNvPr id="26" name="Straight Connector 25">
          <a:extLst>
            <a:ext uri="{FF2B5EF4-FFF2-40B4-BE49-F238E27FC236}">
              <a16:creationId xmlns:a16="http://schemas.microsoft.com/office/drawing/2014/main" id="{FBE87BAA-839F-435D-9035-0961520FB363}"/>
            </a:ext>
          </a:extLst>
        </xdr:cNvPr>
        <xdr:cNvCxnSpPr/>
      </xdr:nvCxnSpPr>
      <xdr:spPr>
        <a:xfrm>
          <a:off x="752475" y="533400"/>
          <a:ext cx="76485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285750</xdr:colOff>
      <xdr:row>0</xdr:row>
      <xdr:rowOff>85725</xdr:rowOff>
    </xdr:from>
    <xdr:ext cx="3506986" cy="312458"/>
    <xdr:sp macro="" textlink="">
      <xdr:nvSpPr>
        <xdr:cNvPr id="27" name="TextBox 26">
          <a:extLst>
            <a:ext uri="{FF2B5EF4-FFF2-40B4-BE49-F238E27FC236}">
              <a16:creationId xmlns:a16="http://schemas.microsoft.com/office/drawing/2014/main" id="{3FDCE6A2-9EC7-470F-8DD7-AE0067549BC5}"/>
            </a:ext>
          </a:extLst>
        </xdr:cNvPr>
        <xdr:cNvSpPr txBox="1"/>
      </xdr:nvSpPr>
      <xdr:spPr>
        <a:xfrm>
          <a:off x="24393525" y="85725"/>
          <a:ext cx="3506986"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latin typeface="Century Gothic" panose="020B0502020202020204" pitchFamily="34" charset="0"/>
            </a:rPr>
            <a:t>ore</a:t>
          </a:r>
          <a:r>
            <a:rPr lang="it-IT" sz="1400">
              <a:latin typeface="Century Gothic" panose="020B0502020202020204" pitchFamily="34" charset="0"/>
            </a:rPr>
            <a:t>:   </a:t>
          </a:r>
          <a:r>
            <a:rPr lang="it-IT" sz="1400" b="1">
              <a:solidFill>
                <a:srgbClr val="FF0000"/>
              </a:solidFill>
              <a:latin typeface="Century Gothic" panose="020B0502020202020204" pitchFamily="34" charset="0"/>
            </a:rPr>
            <a:t>TOTALE ORE</a:t>
          </a:r>
        </a:p>
      </xdr:txBody>
    </xdr:sp>
    <xdr:clientData/>
  </xdr:oneCellAnchor>
  <xdr:twoCellAnchor>
    <xdr:from>
      <xdr:col>41</xdr:col>
      <xdr:colOff>85725</xdr:colOff>
      <xdr:row>2</xdr:row>
      <xdr:rowOff>142875</xdr:rowOff>
    </xdr:from>
    <xdr:to>
      <xdr:col>52</xdr:col>
      <xdr:colOff>371475</xdr:colOff>
      <xdr:row>2</xdr:row>
      <xdr:rowOff>142875</xdr:rowOff>
    </xdr:to>
    <xdr:cxnSp macro="">
      <xdr:nvCxnSpPr>
        <xdr:cNvPr id="28" name="Straight Connector 27">
          <a:extLst>
            <a:ext uri="{FF2B5EF4-FFF2-40B4-BE49-F238E27FC236}">
              <a16:creationId xmlns:a16="http://schemas.microsoft.com/office/drawing/2014/main" id="{A0F72FD1-9E3B-42CB-9249-62E3CDB74947}"/>
            </a:ext>
          </a:extLst>
        </xdr:cNvPr>
        <xdr:cNvCxnSpPr/>
      </xdr:nvCxnSpPr>
      <xdr:spPr>
        <a:xfrm>
          <a:off x="22250400" y="523875"/>
          <a:ext cx="77152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628650</xdr:colOff>
      <xdr:row>0</xdr:row>
      <xdr:rowOff>178593</xdr:rowOff>
    </xdr:from>
    <xdr:ext cx="4448525" cy="312458"/>
    <xdr:sp macro="" textlink="">
      <xdr:nvSpPr>
        <xdr:cNvPr id="29" name="TextBox 28">
          <a:extLst>
            <a:ext uri="{FF2B5EF4-FFF2-40B4-BE49-F238E27FC236}">
              <a16:creationId xmlns:a16="http://schemas.microsoft.com/office/drawing/2014/main" id="{D35A5AA0-AB04-4458-9A14-87269B2B25B9}"/>
            </a:ext>
          </a:extLst>
        </xdr:cNvPr>
        <xdr:cNvSpPr txBox="1"/>
      </xdr:nvSpPr>
      <xdr:spPr>
        <a:xfrm>
          <a:off x="36556950" y="178593"/>
          <a:ext cx="4448525"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latin typeface="Century Gothic" panose="020B0502020202020204" pitchFamily="34" charset="0"/>
            </a:rPr>
            <a:t>ACTUAL  </a:t>
          </a:r>
          <a:r>
            <a:rPr lang="it-IT" sz="1400" b="1">
              <a:solidFill>
                <a:srgbClr val="FF0000"/>
              </a:solidFill>
              <a:latin typeface="Century Gothic" panose="020B0502020202020204" pitchFamily="34" charset="0"/>
            </a:rPr>
            <a:t>ORE</a:t>
          </a:r>
          <a:r>
            <a:rPr lang="it-IT" sz="1400" b="1">
              <a:latin typeface="Century Gothic" panose="020B0502020202020204" pitchFamily="34" charset="0"/>
            </a:rPr>
            <a:t> AVANZAMENTI</a:t>
          </a:r>
          <a:endParaRPr lang="it-IT" sz="1400" b="1">
            <a:solidFill>
              <a:srgbClr val="FF0000"/>
            </a:solidFill>
            <a:latin typeface="Century Gothic" panose="020B0502020202020204" pitchFamily="34" charset="0"/>
          </a:endParaRPr>
        </a:p>
      </xdr:txBody>
    </xdr:sp>
    <xdr:clientData/>
  </xdr:oneCellAnchor>
  <xdr:oneCellAnchor>
    <xdr:from>
      <xdr:col>86</xdr:col>
      <xdr:colOff>973931</xdr:colOff>
      <xdr:row>0</xdr:row>
      <xdr:rowOff>107157</xdr:rowOff>
    </xdr:from>
    <xdr:ext cx="4911729" cy="312458"/>
    <xdr:sp macro="" textlink="">
      <xdr:nvSpPr>
        <xdr:cNvPr id="30" name="TextBox 29">
          <a:extLst>
            <a:ext uri="{FF2B5EF4-FFF2-40B4-BE49-F238E27FC236}">
              <a16:creationId xmlns:a16="http://schemas.microsoft.com/office/drawing/2014/main" id="{140569D9-C28D-4C45-9A59-BD240C59FA79}"/>
            </a:ext>
          </a:extLst>
        </xdr:cNvPr>
        <xdr:cNvSpPr txBox="1"/>
      </xdr:nvSpPr>
      <xdr:spPr>
        <a:xfrm>
          <a:off x="52456556" y="107157"/>
          <a:ext cx="4911729"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latin typeface="Century Gothic" panose="020B0502020202020204" pitchFamily="34" charset="0"/>
            </a:rPr>
            <a:t>ACTUAL </a:t>
          </a:r>
          <a:r>
            <a:rPr lang="it-IT" sz="1400" b="1">
              <a:solidFill>
                <a:srgbClr val="FF0000"/>
              </a:solidFill>
              <a:latin typeface="Century Gothic" panose="020B0502020202020204" pitchFamily="34" charset="0"/>
            </a:rPr>
            <a:t>EURO ORE</a:t>
          </a:r>
          <a:r>
            <a:rPr lang="it-IT" sz="1400" b="1">
              <a:latin typeface="Century Gothic" panose="020B0502020202020204" pitchFamily="34" charset="0"/>
            </a:rPr>
            <a:t> AVANZAMENTI</a:t>
          </a:r>
          <a:endParaRPr lang="it-IT" sz="1400" b="1">
            <a:solidFill>
              <a:srgbClr val="FF0000"/>
            </a:solidFill>
            <a:latin typeface="Century Gothic" panose="020B0502020202020204" pitchFamily="34" charset="0"/>
          </a:endParaRPr>
        </a:p>
      </xdr:txBody>
    </xdr:sp>
    <xdr:clientData/>
  </xdr:oneCellAnchor>
  <xdr:twoCellAnchor>
    <xdr:from>
      <xdr:col>85</xdr:col>
      <xdr:colOff>500062</xdr:colOff>
      <xdr:row>2</xdr:row>
      <xdr:rowOff>164307</xdr:rowOff>
    </xdr:from>
    <xdr:to>
      <xdr:col>96</xdr:col>
      <xdr:colOff>178594</xdr:colOff>
      <xdr:row>2</xdr:row>
      <xdr:rowOff>164307</xdr:rowOff>
    </xdr:to>
    <xdr:cxnSp macro="">
      <xdr:nvCxnSpPr>
        <xdr:cNvPr id="31" name="Straight Connector 30">
          <a:extLst>
            <a:ext uri="{FF2B5EF4-FFF2-40B4-BE49-F238E27FC236}">
              <a16:creationId xmlns:a16="http://schemas.microsoft.com/office/drawing/2014/main" id="{1E026EC9-6F72-4EED-B180-177A4B914E0F}"/>
            </a:ext>
          </a:extLst>
        </xdr:cNvPr>
        <xdr:cNvCxnSpPr/>
      </xdr:nvCxnSpPr>
      <xdr:spPr>
        <a:xfrm>
          <a:off x="49610962" y="545307"/>
          <a:ext cx="922258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107</xdr:col>
      <xdr:colOff>1100137</xdr:colOff>
      <xdr:row>0</xdr:row>
      <xdr:rowOff>114300</xdr:rowOff>
    </xdr:from>
    <xdr:ext cx="5120056" cy="312458"/>
    <xdr:sp macro="" textlink="">
      <xdr:nvSpPr>
        <xdr:cNvPr id="32" name="TextBox 31">
          <a:extLst>
            <a:ext uri="{FF2B5EF4-FFF2-40B4-BE49-F238E27FC236}">
              <a16:creationId xmlns:a16="http://schemas.microsoft.com/office/drawing/2014/main" id="{93931B11-2B5D-4E8E-AD78-0AD6B8DD098C}"/>
            </a:ext>
          </a:extLst>
        </xdr:cNvPr>
        <xdr:cNvSpPr txBox="1"/>
      </xdr:nvSpPr>
      <xdr:spPr>
        <a:xfrm>
          <a:off x="66317812" y="114300"/>
          <a:ext cx="5120056"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latin typeface="Century Gothic" panose="020B0502020202020204" pitchFamily="34" charset="0"/>
            </a:rPr>
            <a:t>ACTUAL </a:t>
          </a:r>
          <a:r>
            <a:rPr lang="it-IT" sz="1400" b="1">
              <a:solidFill>
                <a:srgbClr val="FF0000"/>
              </a:solidFill>
              <a:latin typeface="Century Gothic" panose="020B0502020202020204" pitchFamily="34" charset="0"/>
            </a:rPr>
            <a:t>EURO</a:t>
          </a:r>
          <a:r>
            <a:rPr lang="it-IT" sz="1400" b="1">
              <a:latin typeface="Century Gothic" panose="020B0502020202020204" pitchFamily="34" charset="0"/>
            </a:rPr>
            <a:t> </a:t>
          </a:r>
          <a:r>
            <a:rPr lang="it-IT" sz="1400" b="1">
              <a:solidFill>
                <a:srgbClr val="FF0000"/>
              </a:solidFill>
              <a:latin typeface="Century Gothic" panose="020B0502020202020204" pitchFamily="34" charset="0"/>
            </a:rPr>
            <a:t>LUMP</a:t>
          </a:r>
          <a:r>
            <a:rPr lang="it-IT" sz="1400" b="1" baseline="0">
              <a:solidFill>
                <a:srgbClr val="FF0000"/>
              </a:solidFill>
              <a:latin typeface="Century Gothic" panose="020B0502020202020204" pitchFamily="34" charset="0"/>
            </a:rPr>
            <a:t> </a:t>
          </a:r>
          <a:r>
            <a:rPr lang="it-IT" sz="1400" b="1">
              <a:latin typeface="Century Gothic" panose="020B0502020202020204" pitchFamily="34" charset="0"/>
            </a:rPr>
            <a:t>AVANZAMENTI</a:t>
          </a:r>
          <a:endParaRPr lang="it-IT" sz="1400" b="1">
            <a:solidFill>
              <a:srgbClr val="FF0000"/>
            </a:solidFill>
            <a:latin typeface="Century Gothic" panose="020B0502020202020204" pitchFamily="34" charset="0"/>
          </a:endParaRPr>
        </a:p>
      </xdr:txBody>
    </xdr:sp>
    <xdr:clientData/>
  </xdr:oneCellAnchor>
  <xdr:twoCellAnchor>
    <xdr:from>
      <xdr:col>105</xdr:col>
      <xdr:colOff>226218</xdr:colOff>
      <xdr:row>2</xdr:row>
      <xdr:rowOff>123825</xdr:rowOff>
    </xdr:from>
    <xdr:to>
      <xdr:col>119</xdr:col>
      <xdr:colOff>683419</xdr:colOff>
      <xdr:row>2</xdr:row>
      <xdr:rowOff>123825</xdr:rowOff>
    </xdr:to>
    <xdr:cxnSp macro="">
      <xdr:nvCxnSpPr>
        <xdr:cNvPr id="33" name="Straight Connector 32">
          <a:extLst>
            <a:ext uri="{FF2B5EF4-FFF2-40B4-BE49-F238E27FC236}">
              <a16:creationId xmlns:a16="http://schemas.microsoft.com/office/drawing/2014/main" id="{83B212EC-B9A1-4FA2-8E74-AF2C6CAF1F0F}"/>
            </a:ext>
          </a:extLst>
        </xdr:cNvPr>
        <xdr:cNvCxnSpPr/>
      </xdr:nvCxnSpPr>
      <xdr:spPr>
        <a:xfrm>
          <a:off x="62824518" y="504825"/>
          <a:ext cx="104679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131</xdr:col>
      <xdr:colOff>264319</xdr:colOff>
      <xdr:row>1</xdr:row>
      <xdr:rowOff>0</xdr:rowOff>
    </xdr:from>
    <xdr:ext cx="4032194" cy="312458"/>
    <xdr:sp macro="" textlink="">
      <xdr:nvSpPr>
        <xdr:cNvPr id="34" name="TextBox 33">
          <a:extLst>
            <a:ext uri="{FF2B5EF4-FFF2-40B4-BE49-F238E27FC236}">
              <a16:creationId xmlns:a16="http://schemas.microsoft.com/office/drawing/2014/main" id="{AEA14396-9DAC-44D3-8791-0AA1988C866F}"/>
            </a:ext>
          </a:extLst>
        </xdr:cNvPr>
        <xdr:cNvSpPr txBox="1"/>
      </xdr:nvSpPr>
      <xdr:spPr>
        <a:xfrm>
          <a:off x="82741294" y="190500"/>
          <a:ext cx="4032194"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solidFill>
                <a:srgbClr val="FF0000"/>
              </a:solidFill>
              <a:latin typeface="Century Gothic" panose="020B0502020202020204" pitchFamily="34" charset="0"/>
            </a:rPr>
            <a:t>ORE</a:t>
          </a:r>
          <a:r>
            <a:rPr lang="it-IT" sz="1400" b="1">
              <a:latin typeface="Century Gothic" panose="020B0502020202020204" pitchFamily="34" charset="0"/>
            </a:rPr>
            <a:t> ALLOCATE </a:t>
          </a:r>
          <a:r>
            <a:rPr lang="it-IT" sz="1400" b="1" baseline="0">
              <a:latin typeface="Century Gothic" panose="020B0502020202020204" pitchFamily="34" charset="0"/>
            </a:rPr>
            <a:t>A OGGI</a:t>
          </a:r>
          <a:endParaRPr lang="it-IT" sz="1400" b="1">
            <a:solidFill>
              <a:srgbClr val="FF0000"/>
            </a:solidFill>
            <a:latin typeface="Century Gothic" panose="020B0502020202020204" pitchFamily="34" charset="0"/>
          </a:endParaRPr>
        </a:p>
      </xdr:txBody>
    </xdr:sp>
    <xdr:clientData/>
  </xdr:oneCellAnchor>
  <xdr:oneCellAnchor>
    <xdr:from>
      <xdr:col>154</xdr:col>
      <xdr:colOff>731044</xdr:colOff>
      <xdr:row>0</xdr:row>
      <xdr:rowOff>142875</xdr:rowOff>
    </xdr:from>
    <xdr:ext cx="4653325" cy="312458"/>
    <xdr:sp macro="" textlink="">
      <xdr:nvSpPr>
        <xdr:cNvPr id="35" name="TextBox 34">
          <a:extLst>
            <a:ext uri="{FF2B5EF4-FFF2-40B4-BE49-F238E27FC236}">
              <a16:creationId xmlns:a16="http://schemas.microsoft.com/office/drawing/2014/main" id="{1BBAC4BD-CF27-45B1-A63F-F875550856A9}"/>
            </a:ext>
          </a:extLst>
        </xdr:cNvPr>
        <xdr:cNvSpPr txBox="1"/>
      </xdr:nvSpPr>
      <xdr:spPr>
        <a:xfrm>
          <a:off x="98705194" y="142875"/>
          <a:ext cx="4653325"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solidFill>
                <a:srgbClr val="FF0000"/>
              </a:solidFill>
              <a:latin typeface="Century Gothic" panose="020B0502020202020204" pitchFamily="34" charset="0"/>
            </a:rPr>
            <a:t>EURO LUMP</a:t>
          </a:r>
          <a:r>
            <a:rPr lang="it-IT" sz="1400" b="1">
              <a:latin typeface="Century Gothic" panose="020B0502020202020204" pitchFamily="34" charset="0"/>
            </a:rPr>
            <a:t> ALLOCATI </a:t>
          </a:r>
          <a:r>
            <a:rPr lang="it-IT" sz="1400" b="1" baseline="0">
              <a:latin typeface="Century Gothic" panose="020B0502020202020204" pitchFamily="34" charset="0"/>
            </a:rPr>
            <a:t>A OGGI</a:t>
          </a:r>
          <a:endParaRPr lang="it-IT" sz="1400" b="1">
            <a:solidFill>
              <a:srgbClr val="FF0000"/>
            </a:solidFill>
            <a:latin typeface="Century Gothic" panose="020B0502020202020204" pitchFamily="34" charset="0"/>
          </a:endParaRPr>
        </a:p>
      </xdr:txBody>
    </xdr:sp>
    <xdr:clientData/>
  </xdr:oneCellAnchor>
  <xdr:twoCellAnchor>
    <xdr:from>
      <xdr:col>152</xdr:col>
      <xdr:colOff>66675</xdr:colOff>
      <xdr:row>2</xdr:row>
      <xdr:rowOff>142875</xdr:rowOff>
    </xdr:from>
    <xdr:to>
      <xdr:col>167</xdr:col>
      <xdr:colOff>323851</xdr:colOff>
      <xdr:row>2</xdr:row>
      <xdr:rowOff>152400</xdr:rowOff>
    </xdr:to>
    <xdr:cxnSp macro="">
      <xdr:nvCxnSpPr>
        <xdr:cNvPr id="36" name="Straight Connector 35">
          <a:extLst>
            <a:ext uri="{FF2B5EF4-FFF2-40B4-BE49-F238E27FC236}">
              <a16:creationId xmlns:a16="http://schemas.microsoft.com/office/drawing/2014/main" id="{8325354C-CA0E-49A5-9BB7-1C691EDC6E78}"/>
            </a:ext>
          </a:extLst>
        </xdr:cNvPr>
        <xdr:cNvCxnSpPr/>
      </xdr:nvCxnSpPr>
      <xdr:spPr>
        <a:xfrm flipV="1">
          <a:off x="95059500" y="523875"/>
          <a:ext cx="11401426"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180</xdr:col>
      <xdr:colOff>292894</xdr:colOff>
      <xdr:row>1</xdr:row>
      <xdr:rowOff>28575</xdr:rowOff>
    </xdr:from>
    <xdr:ext cx="3113096" cy="312458"/>
    <xdr:sp macro="" textlink="">
      <xdr:nvSpPr>
        <xdr:cNvPr id="37" name="TextBox 36">
          <a:extLst>
            <a:ext uri="{FF2B5EF4-FFF2-40B4-BE49-F238E27FC236}">
              <a16:creationId xmlns:a16="http://schemas.microsoft.com/office/drawing/2014/main" id="{47F75077-14BF-4F76-9870-2D11D4D12E05}"/>
            </a:ext>
          </a:extLst>
        </xdr:cNvPr>
        <xdr:cNvSpPr txBox="1"/>
      </xdr:nvSpPr>
      <xdr:spPr>
        <a:xfrm>
          <a:off x="116488369" y="219075"/>
          <a:ext cx="3113096"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solidFill>
                <a:srgbClr val="FF0000"/>
              </a:solidFill>
              <a:latin typeface="Century Gothic" panose="020B0502020202020204" pitchFamily="34" charset="0"/>
            </a:rPr>
            <a:t>ORE </a:t>
          </a:r>
          <a:r>
            <a:rPr lang="it-IT" sz="1400" b="1">
              <a:latin typeface="Century Gothic" panose="020B0502020202020204" pitchFamily="34" charset="0"/>
            </a:rPr>
            <a:t>A FINIRE</a:t>
          </a:r>
          <a:endParaRPr lang="it-IT" sz="1400" b="1">
            <a:solidFill>
              <a:srgbClr val="FF0000"/>
            </a:solidFill>
            <a:latin typeface="Century Gothic" panose="020B0502020202020204" pitchFamily="34" charset="0"/>
          </a:endParaRPr>
        </a:p>
      </xdr:txBody>
    </xdr:sp>
    <xdr:clientData/>
  </xdr:oneCellAnchor>
  <xdr:oneCellAnchor>
    <xdr:from>
      <xdr:col>205</xdr:col>
      <xdr:colOff>350044</xdr:colOff>
      <xdr:row>1</xdr:row>
      <xdr:rowOff>9525</xdr:rowOff>
    </xdr:from>
    <xdr:ext cx="3734227" cy="312458"/>
    <xdr:sp macro="" textlink="">
      <xdr:nvSpPr>
        <xdr:cNvPr id="38" name="TextBox 37">
          <a:extLst>
            <a:ext uri="{FF2B5EF4-FFF2-40B4-BE49-F238E27FC236}">
              <a16:creationId xmlns:a16="http://schemas.microsoft.com/office/drawing/2014/main" id="{3E174F5E-DF17-48E8-A414-DF7CBB12602E}"/>
            </a:ext>
          </a:extLst>
        </xdr:cNvPr>
        <xdr:cNvSpPr txBox="1"/>
      </xdr:nvSpPr>
      <xdr:spPr>
        <a:xfrm>
          <a:off x="133785769" y="200025"/>
          <a:ext cx="3734227"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PIVOT DI DETTAGLIO </a:t>
          </a:r>
          <a:r>
            <a:rPr lang="it-IT" sz="1400" b="1">
              <a:solidFill>
                <a:srgbClr val="FF0000"/>
              </a:solidFill>
              <a:latin typeface="Century Gothic" panose="020B0502020202020204" pitchFamily="34" charset="0"/>
            </a:rPr>
            <a:t>EURO LUMP </a:t>
          </a:r>
          <a:r>
            <a:rPr lang="it-IT" sz="1400" b="1">
              <a:latin typeface="Century Gothic" panose="020B0502020202020204" pitchFamily="34" charset="0"/>
            </a:rPr>
            <a:t>A FINIRE</a:t>
          </a:r>
          <a:endParaRPr lang="it-IT" sz="1400" b="1">
            <a:solidFill>
              <a:srgbClr val="FF0000"/>
            </a:solidFill>
            <a:latin typeface="Century Gothic" panose="020B0502020202020204" pitchFamily="34" charset="0"/>
          </a:endParaRPr>
        </a:p>
      </xdr:txBody>
    </xdr:sp>
    <xdr:clientData/>
  </xdr:oneCellAnchor>
  <xdr:twoCellAnchor>
    <xdr:from>
      <xdr:col>202</xdr:col>
      <xdr:colOff>19050</xdr:colOff>
      <xdr:row>2</xdr:row>
      <xdr:rowOff>161926</xdr:rowOff>
    </xdr:from>
    <xdr:to>
      <xdr:col>216</xdr:col>
      <xdr:colOff>57150</xdr:colOff>
      <xdr:row>2</xdr:row>
      <xdr:rowOff>171450</xdr:rowOff>
    </xdr:to>
    <xdr:cxnSp macro="">
      <xdr:nvCxnSpPr>
        <xdr:cNvPr id="39" name="Straight Connector 38">
          <a:extLst>
            <a:ext uri="{FF2B5EF4-FFF2-40B4-BE49-F238E27FC236}">
              <a16:creationId xmlns:a16="http://schemas.microsoft.com/office/drawing/2014/main" id="{27CE4E3A-5417-4BC1-9580-982C921D8451}"/>
            </a:ext>
          </a:extLst>
        </xdr:cNvPr>
        <xdr:cNvCxnSpPr/>
      </xdr:nvCxnSpPr>
      <xdr:spPr>
        <a:xfrm flipV="1">
          <a:off x="129492375" y="542926"/>
          <a:ext cx="10572750" cy="95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161924</xdr:colOff>
      <xdr:row>32</xdr:row>
      <xdr:rowOff>76200</xdr:rowOff>
    </xdr:from>
    <xdr:to>
      <xdr:col>14</xdr:col>
      <xdr:colOff>361950</xdr:colOff>
      <xdr:row>45</xdr:row>
      <xdr:rowOff>123825</xdr:rowOff>
    </xdr:to>
    <mc:AlternateContent xmlns:mc="http://schemas.openxmlformats.org/markup-compatibility/2006" xmlns:a14="http://schemas.microsoft.com/office/drawing/2010/main">
      <mc:Choice Requires="a14">
        <xdr:graphicFrame macro="">
          <xdr:nvGraphicFramePr>
            <xdr:cNvPr id="2" name="Fornitore .">
              <a:extLst>
                <a:ext uri="{FF2B5EF4-FFF2-40B4-BE49-F238E27FC236}">
                  <a16:creationId xmlns:a16="http://schemas.microsoft.com/office/drawing/2014/main" id="{134A8A9F-EB4A-4515-A0F2-B4D83A9570C5}"/>
                </a:ext>
              </a:extLst>
            </xdr:cNvPr>
            <xdr:cNvGraphicFramePr/>
          </xdr:nvGraphicFramePr>
          <xdr:xfrm>
            <a:off x="0" y="0"/>
            <a:ext cx="0" cy="0"/>
          </xdr:xfrm>
          <a:graphic>
            <a:graphicData uri="http://schemas.microsoft.com/office/drawing/2010/slicer">
              <sle:slicer xmlns:sle="http://schemas.microsoft.com/office/drawing/2010/slicer" name="Fornitore ."/>
            </a:graphicData>
          </a:graphic>
        </xdr:graphicFrame>
      </mc:Choice>
      <mc:Fallback xmlns="">
        <xdr:sp macro="" textlink="">
          <xdr:nvSpPr>
            <xdr:cNvPr id="0" name=""/>
            <xdr:cNvSpPr>
              <a:spLocks noTextEdit="1"/>
            </xdr:cNvSpPr>
          </xdr:nvSpPr>
          <xdr:spPr>
            <a:xfrm>
              <a:off x="7334249" y="6172200"/>
              <a:ext cx="3038476" cy="252412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161924</xdr:colOff>
      <xdr:row>15</xdr:row>
      <xdr:rowOff>95250</xdr:rowOff>
    </xdr:from>
    <xdr:to>
      <xdr:col>14</xdr:col>
      <xdr:colOff>419099</xdr:colOff>
      <xdr:row>24</xdr:row>
      <xdr:rowOff>161925</xdr:rowOff>
    </xdr:to>
    <mc:AlternateContent xmlns:mc="http://schemas.openxmlformats.org/markup-compatibility/2006" xmlns:a14="http://schemas.microsoft.com/office/drawing/2010/main">
      <mc:Choice Requires="a14">
        <xdr:graphicFrame macro="">
          <xdr:nvGraphicFramePr>
            <xdr:cNvPr id="3" name="Tipologia">
              <a:extLst>
                <a:ext uri="{FF2B5EF4-FFF2-40B4-BE49-F238E27FC236}">
                  <a16:creationId xmlns:a16="http://schemas.microsoft.com/office/drawing/2014/main" id="{C3EDB267-F85F-47D4-AD2A-6C4974505704}"/>
                </a:ext>
              </a:extLst>
            </xdr:cNvPr>
            <xdr:cNvGraphicFramePr/>
          </xdr:nvGraphicFramePr>
          <xdr:xfrm>
            <a:off x="0" y="0"/>
            <a:ext cx="0" cy="0"/>
          </xdr:xfrm>
          <a:graphic>
            <a:graphicData uri="http://schemas.microsoft.com/office/drawing/2010/slicer">
              <sle:slicer xmlns:sle="http://schemas.microsoft.com/office/drawing/2010/slicer" name="Tipologia"/>
            </a:graphicData>
          </a:graphic>
        </xdr:graphicFrame>
      </mc:Choice>
      <mc:Fallback xmlns="">
        <xdr:sp macro="" textlink="">
          <xdr:nvSpPr>
            <xdr:cNvPr id="0" name=""/>
            <xdr:cNvSpPr>
              <a:spLocks noTextEdit="1"/>
            </xdr:cNvSpPr>
          </xdr:nvSpPr>
          <xdr:spPr>
            <a:xfrm>
              <a:off x="7334249" y="2952750"/>
              <a:ext cx="3095625" cy="178117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152400</xdr:colOff>
      <xdr:row>5</xdr:row>
      <xdr:rowOff>180976</xdr:rowOff>
    </xdr:from>
    <xdr:to>
      <xdr:col>14</xdr:col>
      <xdr:colOff>419100</xdr:colOff>
      <xdr:row>15</xdr:row>
      <xdr:rowOff>47626</xdr:rowOff>
    </xdr:to>
    <mc:AlternateContent xmlns:mc="http://schemas.openxmlformats.org/markup-compatibility/2006" xmlns:a14="http://schemas.microsoft.com/office/drawing/2010/main">
      <mc:Choice Requires="a14">
        <xdr:graphicFrame macro="">
          <xdr:nvGraphicFramePr>
            <xdr:cNvPr id="4" name="Ingegneria di competenza">
              <a:extLst>
                <a:ext uri="{FF2B5EF4-FFF2-40B4-BE49-F238E27FC236}">
                  <a16:creationId xmlns:a16="http://schemas.microsoft.com/office/drawing/2014/main" id="{ED6C73C5-9218-4983-8240-FD27B31F6B8E}"/>
                </a:ext>
              </a:extLst>
            </xdr:cNvPr>
            <xdr:cNvGraphicFramePr/>
          </xdr:nvGraphicFramePr>
          <xdr:xfrm>
            <a:off x="0" y="0"/>
            <a:ext cx="0" cy="0"/>
          </xdr:xfrm>
          <a:graphic>
            <a:graphicData uri="http://schemas.microsoft.com/office/drawing/2010/slicer">
              <sle:slicer xmlns:sle="http://schemas.microsoft.com/office/drawing/2010/slicer" name="Ingegneria di competenza"/>
            </a:graphicData>
          </a:graphic>
        </xdr:graphicFrame>
      </mc:Choice>
      <mc:Fallback xmlns="">
        <xdr:sp macro="" textlink="">
          <xdr:nvSpPr>
            <xdr:cNvPr id="0" name=""/>
            <xdr:cNvSpPr>
              <a:spLocks noTextEdit="1"/>
            </xdr:cNvSpPr>
          </xdr:nvSpPr>
          <xdr:spPr>
            <a:xfrm>
              <a:off x="7324725" y="1133476"/>
              <a:ext cx="3105150" cy="1771650"/>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161924</xdr:colOff>
      <xdr:row>25</xdr:row>
      <xdr:rowOff>47625</xdr:rowOff>
    </xdr:from>
    <xdr:to>
      <xdr:col>14</xdr:col>
      <xdr:colOff>390525</xdr:colOff>
      <xdr:row>32</xdr:row>
      <xdr:rowOff>19050</xdr:rowOff>
    </xdr:to>
    <mc:AlternateContent xmlns:mc="http://schemas.openxmlformats.org/markup-compatibility/2006" xmlns:a14="http://schemas.microsoft.com/office/drawing/2010/main">
      <mc:Choice Requires="a14">
        <xdr:graphicFrame macro="">
          <xdr:nvGraphicFramePr>
            <xdr:cNvPr id="5" name="Categoria Fornitore">
              <a:extLst>
                <a:ext uri="{FF2B5EF4-FFF2-40B4-BE49-F238E27FC236}">
                  <a16:creationId xmlns:a16="http://schemas.microsoft.com/office/drawing/2014/main" id="{08244A39-3439-41C6-9DDB-052A592363FB}"/>
                </a:ext>
              </a:extLst>
            </xdr:cNvPr>
            <xdr:cNvGraphicFramePr/>
          </xdr:nvGraphicFramePr>
          <xdr:xfrm>
            <a:off x="0" y="0"/>
            <a:ext cx="0" cy="0"/>
          </xdr:xfrm>
          <a:graphic>
            <a:graphicData uri="http://schemas.microsoft.com/office/drawing/2010/slicer">
              <sle:slicer xmlns:sle="http://schemas.microsoft.com/office/drawing/2010/slicer" name="Categoria Fornitore"/>
            </a:graphicData>
          </a:graphic>
        </xdr:graphicFrame>
      </mc:Choice>
      <mc:Fallback xmlns="">
        <xdr:sp macro="" textlink="">
          <xdr:nvSpPr>
            <xdr:cNvPr id="0" name=""/>
            <xdr:cNvSpPr>
              <a:spLocks noTextEdit="1"/>
            </xdr:cNvSpPr>
          </xdr:nvSpPr>
          <xdr:spPr>
            <a:xfrm>
              <a:off x="7334249" y="4810125"/>
              <a:ext cx="3067051" cy="130492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6</xdr:col>
      <xdr:colOff>93110</xdr:colOff>
      <xdr:row>14</xdr:row>
      <xdr:rowOff>108347</xdr:rowOff>
    </xdr:from>
    <xdr:ext cx="180734" cy="238686"/>
    <xdr:pic>
      <xdr:nvPicPr>
        <xdr:cNvPr id="2" name="Picture 1">
          <a:extLst>
            <a:ext uri="{FF2B5EF4-FFF2-40B4-BE49-F238E27FC236}">
              <a16:creationId xmlns:a16="http://schemas.microsoft.com/office/drawing/2014/main" id="{1F26C8B9-7C61-4AB0-8224-207029F9FDF5}"/>
            </a:ext>
          </a:extLst>
        </xdr:cNvPr>
        <xdr:cNvPicPr>
          <a:picLocks noChangeAspect="1"/>
        </xdr:cNvPicPr>
      </xdr:nvPicPr>
      <xdr:blipFill>
        <a:blip xmlns:r="http://schemas.openxmlformats.org/officeDocument/2006/relationships" r:embed="rId1" cstate="print">
          <a:duotone>
            <a:prstClr val="black"/>
            <a:schemeClr val="accent1">
              <a:tint val="45000"/>
              <a:satMod val="400000"/>
            </a:schemeClr>
          </a:duotone>
          <a:extLst>
            <a:ext uri="{BEBA8EAE-BF5A-486C-A8C5-ECC9F3942E4B}">
              <a14:imgProps xmlns:a14="http://schemas.microsoft.com/office/drawing/2010/main">
                <a14:imgLayer r:embed="rId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3112535" y="2889647"/>
          <a:ext cx="180734" cy="238686"/>
        </a:xfrm>
        <a:prstGeom prst="rect">
          <a:avLst/>
        </a:prstGeom>
      </xdr:spPr>
    </xdr:pic>
    <xdr:clientData/>
  </xdr:oneCellAnchor>
  <xdr:oneCellAnchor>
    <xdr:from>
      <xdr:col>7</xdr:col>
      <xdr:colOff>31327</xdr:colOff>
      <xdr:row>14</xdr:row>
      <xdr:rowOff>77470</xdr:rowOff>
    </xdr:from>
    <xdr:ext cx="218562" cy="216000"/>
    <xdr:pic>
      <xdr:nvPicPr>
        <xdr:cNvPr id="3" name="Picture 2">
          <a:extLst>
            <a:ext uri="{FF2B5EF4-FFF2-40B4-BE49-F238E27FC236}">
              <a16:creationId xmlns:a16="http://schemas.microsoft.com/office/drawing/2014/main" id="{7D5C490B-800A-4845-8C78-322903D365DB}"/>
            </a:ext>
          </a:extLst>
        </xdr:cNvPr>
        <xdr:cNvPicPr>
          <a:picLocks noChangeAspect="1"/>
        </xdr:cNvPicPr>
      </xdr:nvPicPr>
      <xdr:blipFill>
        <a:blip xmlns:r="http://schemas.openxmlformats.org/officeDocument/2006/relationships" r:embed="rId3" cstate="print">
          <a:duotone>
            <a:prstClr val="black"/>
            <a:schemeClr val="accent5">
              <a:tint val="45000"/>
              <a:satMod val="400000"/>
            </a:schemeClr>
          </a:duotone>
          <a:extLst>
            <a:ext uri="{BEBA8EAE-BF5A-486C-A8C5-ECC9F3942E4B}">
              <a14:imgProps xmlns:a14="http://schemas.microsoft.com/office/drawing/2010/main">
                <a14:imgLayer r:embed="rId4">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4289002" y="2858770"/>
          <a:ext cx="218562" cy="216000"/>
        </a:xfrm>
        <a:prstGeom prst="rect">
          <a:avLst/>
        </a:prstGeom>
        <a:solidFill>
          <a:schemeClr val="accent3">
            <a:lumMod val="20000"/>
            <a:lumOff val="80000"/>
          </a:schemeClr>
        </a:solidFill>
      </xdr:spPr>
    </xdr:pic>
    <xdr:clientData/>
  </xdr:oneCellAnchor>
  <xdr:oneCellAnchor>
    <xdr:from>
      <xdr:col>13</xdr:col>
      <xdr:colOff>95250</xdr:colOff>
      <xdr:row>14</xdr:row>
      <xdr:rowOff>76200</xdr:rowOff>
    </xdr:from>
    <xdr:ext cx="183321" cy="180000"/>
    <xdr:pic>
      <xdr:nvPicPr>
        <xdr:cNvPr id="4" name="Picture 3">
          <a:extLst>
            <a:ext uri="{FF2B5EF4-FFF2-40B4-BE49-F238E27FC236}">
              <a16:creationId xmlns:a16="http://schemas.microsoft.com/office/drawing/2014/main" id="{0E7B183E-24BD-47A9-A01E-4D8CB5BD8274}"/>
            </a:ext>
          </a:extLst>
        </xdr:cNvPr>
        <xdr:cNvPicPr>
          <a:picLocks noChangeAspect="1"/>
        </xdr:cNvPicPr>
      </xdr:nvPicPr>
      <xdr:blipFill>
        <a:blip xmlns:r="http://schemas.openxmlformats.org/officeDocument/2006/relationships" r:embed="rId1" cstate="print">
          <a:duotone>
            <a:prstClr val="black"/>
            <a:schemeClr val="accent1">
              <a:tint val="45000"/>
              <a:satMod val="400000"/>
            </a:schemeClr>
          </a:duotone>
          <a:extLst>
            <a:ext uri="{BEBA8EAE-BF5A-486C-A8C5-ECC9F3942E4B}">
              <a14:imgProps xmlns:a14="http://schemas.microsoft.com/office/drawing/2010/main">
                <a14:imgLayer r:embed="rId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2620625" y="2857500"/>
          <a:ext cx="183321" cy="180000"/>
        </a:xfrm>
        <a:prstGeom prst="rect">
          <a:avLst/>
        </a:prstGeom>
      </xdr:spPr>
    </xdr:pic>
    <xdr:clientData/>
  </xdr:oneCellAnchor>
  <xdr:oneCellAnchor>
    <xdr:from>
      <xdr:col>11</xdr:col>
      <xdr:colOff>47626</xdr:colOff>
      <xdr:row>14</xdr:row>
      <xdr:rowOff>104775</xdr:rowOff>
    </xdr:from>
    <xdr:ext cx="195790" cy="264893"/>
    <xdr:pic>
      <xdr:nvPicPr>
        <xdr:cNvPr id="5" name="Picture 4">
          <a:extLst>
            <a:ext uri="{FF2B5EF4-FFF2-40B4-BE49-F238E27FC236}">
              <a16:creationId xmlns:a16="http://schemas.microsoft.com/office/drawing/2014/main" id="{F2BA6847-2595-4A79-9230-6DC1A9228141}"/>
            </a:ext>
          </a:extLst>
        </xdr:cNvPr>
        <xdr:cNvPicPr>
          <a:picLocks noChangeAspect="1"/>
        </xdr:cNvPicPr>
      </xdr:nvPicPr>
      <xdr:blipFill>
        <a:blip xmlns:r="http://schemas.openxmlformats.org/officeDocument/2006/relationships" r:embed="rId3" cstate="print">
          <a:duotone>
            <a:prstClr val="black"/>
            <a:schemeClr val="accent5">
              <a:tint val="45000"/>
              <a:satMod val="400000"/>
            </a:schemeClr>
          </a:duotone>
          <a:extLst>
            <a:ext uri="{BEBA8EAE-BF5A-486C-A8C5-ECC9F3942E4B}">
              <a14:imgProps xmlns:a14="http://schemas.microsoft.com/office/drawing/2010/main">
                <a14:imgLayer r:embed="rId4">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9344026" y="2886075"/>
          <a:ext cx="195790" cy="264893"/>
        </a:xfrm>
        <a:prstGeom prst="rect">
          <a:avLst/>
        </a:prstGeom>
      </xdr:spPr>
    </xdr:pic>
    <xdr:clientData/>
  </xdr:oneCellAnchor>
  <xdr:oneCellAnchor>
    <xdr:from>
      <xdr:col>12</xdr:col>
      <xdr:colOff>15876</xdr:colOff>
      <xdr:row>14</xdr:row>
      <xdr:rowOff>114300</xdr:rowOff>
    </xdr:from>
    <xdr:ext cx="219985" cy="216000"/>
    <xdr:pic>
      <xdr:nvPicPr>
        <xdr:cNvPr id="6" name="Picture 5">
          <a:extLst>
            <a:ext uri="{FF2B5EF4-FFF2-40B4-BE49-F238E27FC236}">
              <a16:creationId xmlns:a16="http://schemas.microsoft.com/office/drawing/2014/main" id="{4A4D18CA-D6BE-4692-81FD-6CEF607963EA}"/>
            </a:ext>
          </a:extLst>
        </xdr:cNvPr>
        <xdr:cNvPicPr>
          <a:picLocks noChangeAspect="1"/>
        </xdr:cNvPicPr>
      </xdr:nvPicPr>
      <xdr:blipFill>
        <a:blip xmlns:r="http://schemas.openxmlformats.org/officeDocument/2006/relationships" r:embed="rId1" cstate="print">
          <a:duotone>
            <a:prstClr val="black"/>
            <a:schemeClr val="accent1">
              <a:tint val="45000"/>
              <a:satMod val="400000"/>
            </a:schemeClr>
          </a:duotone>
          <a:extLst>
            <a:ext uri="{BEBA8EAE-BF5A-486C-A8C5-ECC9F3942E4B}">
              <a14:imgProps xmlns:a14="http://schemas.microsoft.com/office/drawing/2010/main">
                <a14:imgLayer r:embed="rId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0931526" y="2895600"/>
          <a:ext cx="219985" cy="216000"/>
        </a:xfrm>
        <a:prstGeom prst="rect">
          <a:avLst/>
        </a:prstGeom>
      </xdr:spPr>
    </xdr:pic>
    <xdr:clientData/>
  </xdr:oneCellAnchor>
  <xdr:oneCellAnchor>
    <xdr:from>
      <xdr:col>5</xdr:col>
      <xdr:colOff>146685</xdr:colOff>
      <xdr:row>14</xdr:row>
      <xdr:rowOff>131445</xdr:rowOff>
    </xdr:from>
    <xdr:ext cx="218562" cy="216000"/>
    <xdr:pic>
      <xdr:nvPicPr>
        <xdr:cNvPr id="7" name="Picture 6">
          <a:extLst>
            <a:ext uri="{FF2B5EF4-FFF2-40B4-BE49-F238E27FC236}">
              <a16:creationId xmlns:a16="http://schemas.microsoft.com/office/drawing/2014/main" id="{54F85FF6-EA46-4514-896B-5B0FB22669E3}"/>
            </a:ext>
          </a:extLst>
        </xdr:cNvPr>
        <xdr:cNvPicPr>
          <a:picLocks noChangeAspect="1"/>
        </xdr:cNvPicPr>
      </xdr:nvPicPr>
      <xdr:blipFill>
        <a:blip xmlns:r="http://schemas.openxmlformats.org/officeDocument/2006/relationships" r:embed="rId3" cstate="print">
          <a:duotone>
            <a:prstClr val="black"/>
            <a:schemeClr val="accent5">
              <a:tint val="45000"/>
              <a:satMod val="400000"/>
            </a:schemeClr>
          </a:duotone>
          <a:extLst>
            <a:ext uri="{BEBA8EAE-BF5A-486C-A8C5-ECC9F3942E4B}">
              <a14:imgProps xmlns:a14="http://schemas.microsoft.com/office/drawing/2010/main">
                <a14:imgLayer r:embed="rId4">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927860" y="2912745"/>
          <a:ext cx="218562" cy="216000"/>
        </a:xfrm>
        <a:prstGeom prst="rect">
          <a:avLst/>
        </a:prstGeom>
        <a:solidFill>
          <a:schemeClr val="accent3">
            <a:lumMod val="20000"/>
            <a:lumOff val="80000"/>
          </a:schemeClr>
        </a:solidFill>
      </xdr:spPr>
    </xdr:pic>
    <xdr:clientData/>
  </xdr:oneCellAnchor>
  <xdr:oneCellAnchor>
    <xdr:from>
      <xdr:col>8</xdr:col>
      <xdr:colOff>7385</xdr:colOff>
      <xdr:row>14</xdr:row>
      <xdr:rowOff>98822</xdr:rowOff>
    </xdr:from>
    <xdr:ext cx="180734" cy="238686"/>
    <xdr:pic>
      <xdr:nvPicPr>
        <xdr:cNvPr id="8" name="Picture 7">
          <a:extLst>
            <a:ext uri="{FF2B5EF4-FFF2-40B4-BE49-F238E27FC236}">
              <a16:creationId xmlns:a16="http://schemas.microsoft.com/office/drawing/2014/main" id="{C4F43972-26A7-4819-AED5-0FCCF9F4CE0B}"/>
            </a:ext>
          </a:extLst>
        </xdr:cNvPr>
        <xdr:cNvPicPr>
          <a:picLocks noChangeAspect="1"/>
        </xdr:cNvPicPr>
      </xdr:nvPicPr>
      <xdr:blipFill>
        <a:blip xmlns:r="http://schemas.openxmlformats.org/officeDocument/2006/relationships" r:embed="rId1" cstate="print">
          <a:duotone>
            <a:prstClr val="black"/>
            <a:schemeClr val="accent1">
              <a:tint val="45000"/>
              <a:satMod val="400000"/>
            </a:schemeClr>
          </a:duotone>
          <a:extLst>
            <a:ext uri="{BEBA8EAE-BF5A-486C-A8C5-ECC9F3942E4B}">
              <a14:imgProps xmlns:a14="http://schemas.microsoft.com/office/drawing/2010/main">
                <a14:imgLayer r:embed="rId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5503310" y="2880122"/>
          <a:ext cx="180734" cy="238686"/>
        </a:xfrm>
        <a:prstGeom prst="rect">
          <a:avLst/>
        </a:prstGeom>
      </xdr:spPr>
    </xdr:pic>
    <xdr:clientData/>
  </xdr:oneCellAnchor>
  <xdr:oneCellAnchor>
    <xdr:from>
      <xdr:col>9</xdr:col>
      <xdr:colOff>45485</xdr:colOff>
      <xdr:row>14</xdr:row>
      <xdr:rowOff>117872</xdr:rowOff>
    </xdr:from>
    <xdr:ext cx="180734" cy="238686"/>
    <xdr:pic>
      <xdr:nvPicPr>
        <xdr:cNvPr id="9" name="Picture 8">
          <a:extLst>
            <a:ext uri="{FF2B5EF4-FFF2-40B4-BE49-F238E27FC236}">
              <a16:creationId xmlns:a16="http://schemas.microsoft.com/office/drawing/2014/main" id="{5D136287-689E-425F-9DD3-9CEF6425086B}"/>
            </a:ext>
          </a:extLst>
        </xdr:cNvPr>
        <xdr:cNvPicPr>
          <a:picLocks noChangeAspect="1"/>
        </xdr:cNvPicPr>
      </xdr:nvPicPr>
      <xdr:blipFill>
        <a:blip xmlns:r="http://schemas.openxmlformats.org/officeDocument/2006/relationships" r:embed="rId1" cstate="print">
          <a:duotone>
            <a:prstClr val="black"/>
            <a:schemeClr val="accent1">
              <a:tint val="45000"/>
              <a:satMod val="400000"/>
            </a:schemeClr>
          </a:duotone>
          <a:extLst>
            <a:ext uri="{BEBA8EAE-BF5A-486C-A8C5-ECC9F3942E4B}">
              <a14:imgProps xmlns:a14="http://schemas.microsoft.com/office/drawing/2010/main">
                <a14:imgLayer r:embed="rId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6779660" y="2899172"/>
          <a:ext cx="180734" cy="238686"/>
        </a:xfrm>
        <a:prstGeom prst="rect">
          <a:avLst/>
        </a:prstGeom>
      </xdr:spPr>
    </xdr:pic>
    <xdr:clientData/>
  </xdr:oneCellAnchor>
  <xdr:oneCellAnchor>
    <xdr:from>
      <xdr:col>10</xdr:col>
      <xdr:colOff>45485</xdr:colOff>
      <xdr:row>14</xdr:row>
      <xdr:rowOff>98822</xdr:rowOff>
    </xdr:from>
    <xdr:ext cx="180734" cy="238686"/>
    <xdr:pic>
      <xdr:nvPicPr>
        <xdr:cNvPr id="10" name="Picture 9">
          <a:extLst>
            <a:ext uri="{FF2B5EF4-FFF2-40B4-BE49-F238E27FC236}">
              <a16:creationId xmlns:a16="http://schemas.microsoft.com/office/drawing/2014/main" id="{7B0822CA-211B-4364-B168-C4F68D37CEA1}"/>
            </a:ext>
          </a:extLst>
        </xdr:cNvPr>
        <xdr:cNvPicPr>
          <a:picLocks noChangeAspect="1"/>
        </xdr:cNvPicPr>
      </xdr:nvPicPr>
      <xdr:blipFill>
        <a:blip xmlns:r="http://schemas.openxmlformats.org/officeDocument/2006/relationships" r:embed="rId1" cstate="print">
          <a:duotone>
            <a:prstClr val="black"/>
            <a:schemeClr val="accent1">
              <a:tint val="45000"/>
              <a:satMod val="400000"/>
            </a:schemeClr>
          </a:duotone>
          <a:extLst>
            <a:ext uri="{BEBA8EAE-BF5A-486C-A8C5-ECC9F3942E4B}">
              <a14:imgProps xmlns:a14="http://schemas.microsoft.com/office/drawing/2010/main">
                <a14:imgLayer r:embed="rId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7998860" y="2880122"/>
          <a:ext cx="180734" cy="23868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497417</xdr:colOff>
      <xdr:row>21</xdr:row>
      <xdr:rowOff>127000</xdr:rowOff>
    </xdr:from>
    <xdr:ext cx="12112483" cy="593304"/>
    <xdr:sp macro="" textlink="">
      <xdr:nvSpPr>
        <xdr:cNvPr id="2" name="TextBox 1">
          <a:extLst>
            <a:ext uri="{FF2B5EF4-FFF2-40B4-BE49-F238E27FC236}">
              <a16:creationId xmlns:a16="http://schemas.microsoft.com/office/drawing/2014/main" id="{C80E04A1-A2E8-4761-9213-0C59F2FB4568}"/>
            </a:ext>
          </a:extLst>
        </xdr:cNvPr>
        <xdr:cNvSpPr txBox="1"/>
      </xdr:nvSpPr>
      <xdr:spPr>
        <a:xfrm>
          <a:off x="1164167" y="6070600"/>
          <a:ext cx="12112483" cy="593304"/>
        </a:xfrm>
        <a:prstGeom prst="rect">
          <a:avLst/>
        </a:prstGeom>
        <a:solidFill>
          <a:srgbClr val="99FF9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0">
              <a:solidFill>
                <a:sysClr val="windowText" lastClr="000000"/>
              </a:solidFill>
            </a:rPr>
            <a:t>LE COLONNE    </a:t>
          </a:r>
          <a:r>
            <a:rPr lang="en-US" sz="3200" b="1">
              <a:solidFill>
                <a:sysClr val="windowText" lastClr="000000"/>
              </a:solidFill>
            </a:rPr>
            <a:t>E</a:t>
          </a:r>
          <a:r>
            <a:rPr lang="en-US" sz="3200" b="1" baseline="0">
              <a:solidFill>
                <a:sysClr val="windowText" lastClr="000000"/>
              </a:solidFill>
            </a:rPr>
            <a:t> -  F - G </a:t>
          </a:r>
          <a:r>
            <a:rPr lang="en-US" sz="2000" b="0" baseline="0">
              <a:solidFill>
                <a:sysClr val="windowText" lastClr="000000"/>
              </a:solidFill>
            </a:rPr>
            <a:t>SONO QUELLE CHE VENGONO RIPORTATE IN REPORTISTICA NELLE COLONNE BUDGET</a:t>
          </a:r>
          <a:endParaRPr lang="en-US" sz="2000" b="0">
            <a:solidFill>
              <a:sysClr val="windowText" lastClr="000000"/>
            </a:solidFill>
          </a:endParaRPr>
        </a:p>
      </xdr:txBody>
    </xdr:sp>
    <xdr:clientData/>
  </xdr:oneCellAnchor>
  <xdr:twoCellAnchor>
    <xdr:from>
      <xdr:col>4</xdr:col>
      <xdr:colOff>285750</xdr:colOff>
      <xdr:row>18</xdr:row>
      <xdr:rowOff>87841</xdr:rowOff>
    </xdr:from>
    <xdr:to>
      <xdr:col>4</xdr:col>
      <xdr:colOff>532341</xdr:colOff>
      <xdr:row>21</xdr:row>
      <xdr:rowOff>79374</xdr:rowOff>
    </xdr:to>
    <xdr:sp macro="" textlink="">
      <xdr:nvSpPr>
        <xdr:cNvPr id="3" name="Arrow: Up 2">
          <a:extLst>
            <a:ext uri="{FF2B5EF4-FFF2-40B4-BE49-F238E27FC236}">
              <a16:creationId xmlns:a16="http://schemas.microsoft.com/office/drawing/2014/main" id="{7A07286E-9143-40EC-AA75-E29F54BEB734}"/>
            </a:ext>
          </a:extLst>
        </xdr:cNvPr>
        <xdr:cNvSpPr/>
      </xdr:nvSpPr>
      <xdr:spPr>
        <a:xfrm>
          <a:off x="2781300" y="5459941"/>
          <a:ext cx="246591" cy="563033"/>
        </a:xfrm>
        <a:prstGeom prst="upArrow">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312209</xdr:colOff>
      <xdr:row>18</xdr:row>
      <xdr:rowOff>91016</xdr:rowOff>
    </xdr:from>
    <xdr:to>
      <xdr:col>5</xdr:col>
      <xdr:colOff>520700</xdr:colOff>
      <xdr:row>21</xdr:row>
      <xdr:rowOff>82549</xdr:rowOff>
    </xdr:to>
    <xdr:sp macro="" textlink="">
      <xdr:nvSpPr>
        <xdr:cNvPr id="4" name="Arrow: Up 3">
          <a:extLst>
            <a:ext uri="{FF2B5EF4-FFF2-40B4-BE49-F238E27FC236}">
              <a16:creationId xmlns:a16="http://schemas.microsoft.com/office/drawing/2014/main" id="{C1347151-B545-4970-B8E5-4081E2567CDA}"/>
            </a:ext>
          </a:extLst>
        </xdr:cNvPr>
        <xdr:cNvSpPr/>
      </xdr:nvSpPr>
      <xdr:spPr>
        <a:xfrm>
          <a:off x="3417359" y="5463116"/>
          <a:ext cx="208491" cy="563033"/>
        </a:xfrm>
        <a:prstGeom prst="upArrow">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278341</xdr:colOff>
      <xdr:row>18</xdr:row>
      <xdr:rowOff>94192</xdr:rowOff>
    </xdr:from>
    <xdr:to>
      <xdr:col>6</xdr:col>
      <xdr:colOff>486832</xdr:colOff>
      <xdr:row>21</xdr:row>
      <xdr:rowOff>85725</xdr:rowOff>
    </xdr:to>
    <xdr:sp macro="" textlink="">
      <xdr:nvSpPr>
        <xdr:cNvPr id="5" name="Arrow: Up 4">
          <a:extLst>
            <a:ext uri="{FF2B5EF4-FFF2-40B4-BE49-F238E27FC236}">
              <a16:creationId xmlns:a16="http://schemas.microsoft.com/office/drawing/2014/main" id="{EDF9A4EE-1DFF-4106-9DC2-CE36255F242F}"/>
            </a:ext>
          </a:extLst>
        </xdr:cNvPr>
        <xdr:cNvSpPr/>
      </xdr:nvSpPr>
      <xdr:spPr>
        <a:xfrm>
          <a:off x="3993091" y="5466292"/>
          <a:ext cx="208491" cy="563033"/>
        </a:xfrm>
        <a:prstGeom prst="upArrow">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293156</xdr:colOff>
      <xdr:row>4</xdr:row>
      <xdr:rowOff>19048</xdr:rowOff>
    </xdr:from>
    <xdr:to>
      <xdr:col>3</xdr:col>
      <xdr:colOff>888547</xdr:colOff>
      <xdr:row>52</xdr:row>
      <xdr:rowOff>33617</xdr:rowOff>
    </xdr:to>
    <xdr:sp macro="" textlink="">
      <xdr:nvSpPr>
        <xdr:cNvPr id="2" name="Rectangle 1">
          <a:extLst>
            <a:ext uri="{FF2B5EF4-FFF2-40B4-BE49-F238E27FC236}">
              <a16:creationId xmlns:a16="http://schemas.microsoft.com/office/drawing/2014/main" id="{C9E728AD-BB74-46BC-A341-B0E13D253BAD}"/>
            </a:ext>
          </a:extLst>
        </xdr:cNvPr>
        <xdr:cNvSpPr/>
      </xdr:nvSpPr>
      <xdr:spPr>
        <a:xfrm>
          <a:off x="293156" y="1543048"/>
          <a:ext cx="3281441" cy="9815794"/>
        </a:xfrm>
        <a:prstGeom prst="rect">
          <a:avLst/>
        </a:prstGeom>
        <a:solidFill>
          <a:schemeClr val="bg1"/>
        </a:solidFill>
        <a:ln w="9525">
          <a:solidFill>
            <a:schemeClr val="tx1">
              <a:lumMod val="50000"/>
              <a:lumOff val="5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solidFill>
              <a:srgbClr val="339966"/>
            </a:solidFill>
          </a:endParaRPr>
        </a:p>
      </xdr:txBody>
    </xdr:sp>
    <xdr:clientData/>
  </xdr:twoCellAnchor>
  <xdr:twoCellAnchor>
    <xdr:from>
      <xdr:col>0</xdr:col>
      <xdr:colOff>156024</xdr:colOff>
      <xdr:row>0</xdr:row>
      <xdr:rowOff>773205</xdr:rowOff>
    </xdr:from>
    <xdr:to>
      <xdr:col>31</xdr:col>
      <xdr:colOff>333374</xdr:colOff>
      <xdr:row>60</xdr:row>
      <xdr:rowOff>156882</xdr:rowOff>
    </xdr:to>
    <xdr:sp macro="" textlink="">
      <xdr:nvSpPr>
        <xdr:cNvPr id="3" name="Rectangle 2">
          <a:extLst>
            <a:ext uri="{FF2B5EF4-FFF2-40B4-BE49-F238E27FC236}">
              <a16:creationId xmlns:a16="http://schemas.microsoft.com/office/drawing/2014/main" id="{09EC5B1F-DD70-4602-94E0-A9CF7A050112}"/>
            </a:ext>
          </a:extLst>
        </xdr:cNvPr>
        <xdr:cNvSpPr/>
      </xdr:nvSpPr>
      <xdr:spPr>
        <a:xfrm>
          <a:off x="156024" y="773205"/>
          <a:ext cx="25732925" cy="12232902"/>
        </a:xfrm>
        <a:prstGeom prst="rect">
          <a:avLst/>
        </a:prstGeom>
        <a:no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714375</xdr:colOff>
      <xdr:row>4</xdr:row>
      <xdr:rowOff>95250</xdr:rowOff>
    </xdr:from>
    <xdr:to>
      <xdr:col>3</xdr:col>
      <xdr:colOff>496017</xdr:colOff>
      <xdr:row>7</xdr:row>
      <xdr:rowOff>157561</xdr:rowOff>
    </xdr:to>
    <xdr:grpSp>
      <xdr:nvGrpSpPr>
        <xdr:cNvPr id="4" name="Group 3">
          <a:extLst>
            <a:ext uri="{FF2B5EF4-FFF2-40B4-BE49-F238E27FC236}">
              <a16:creationId xmlns:a16="http://schemas.microsoft.com/office/drawing/2014/main" id="{87B4A40C-E5BB-492E-A0B6-3E71A47558C7}"/>
            </a:ext>
          </a:extLst>
        </xdr:cNvPr>
        <xdr:cNvGrpSpPr/>
      </xdr:nvGrpSpPr>
      <xdr:grpSpPr>
        <a:xfrm>
          <a:off x="714375" y="1619250"/>
          <a:ext cx="2462249" cy="797097"/>
          <a:chOff x="980029" y="1638300"/>
          <a:chExt cx="2455544" cy="800780"/>
        </a:xfrm>
      </xdr:grpSpPr>
      <xdr:sp macro="" textlink="">
        <xdr:nvSpPr>
          <xdr:cNvPr id="5" name="TextBox 4">
            <a:extLst>
              <a:ext uri="{FF2B5EF4-FFF2-40B4-BE49-F238E27FC236}">
                <a16:creationId xmlns:a16="http://schemas.microsoft.com/office/drawing/2014/main" id="{E097590D-9EF6-4B35-B8FA-518D49AD01FD}"/>
              </a:ext>
            </a:extLst>
          </xdr:cNvPr>
          <xdr:cNvSpPr txBox="1"/>
        </xdr:nvSpPr>
        <xdr:spPr>
          <a:xfrm>
            <a:off x="1148293" y="1906061"/>
            <a:ext cx="2141548"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FILTRA LA DASHBOARD</a:t>
            </a:r>
          </a:p>
        </xdr:txBody>
      </xdr:sp>
      <xdr:cxnSp macro="">
        <xdr:nvCxnSpPr>
          <xdr:cNvPr id="6" name="Straight Connector 5">
            <a:extLst>
              <a:ext uri="{FF2B5EF4-FFF2-40B4-BE49-F238E27FC236}">
                <a16:creationId xmlns:a16="http://schemas.microsoft.com/office/drawing/2014/main" id="{4F0F9A63-FC6C-4615-911C-218EAF5EA74D}"/>
              </a:ext>
            </a:extLst>
          </xdr:cNvPr>
          <xdr:cNvCxnSpPr/>
        </xdr:nvCxnSpPr>
        <xdr:spPr>
          <a:xfrm flipV="1">
            <a:off x="990599" y="2419351"/>
            <a:ext cx="2442825" cy="0"/>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7" name="Picture 6">
            <a:extLst>
              <a:ext uri="{FF2B5EF4-FFF2-40B4-BE49-F238E27FC236}">
                <a16:creationId xmlns:a16="http://schemas.microsoft.com/office/drawing/2014/main" id="{9C619DA2-3280-4938-A0B3-4E71B3C50F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9050" y="1638300"/>
            <a:ext cx="298450" cy="287867"/>
          </a:xfrm>
          <a:prstGeom prst="rect">
            <a:avLst/>
          </a:prstGeom>
        </xdr:spPr>
      </xdr:pic>
      <xdr:sp macro="" textlink="">
        <xdr:nvSpPr>
          <xdr:cNvPr id="8" name="TextBox 7">
            <a:extLst>
              <a:ext uri="{FF2B5EF4-FFF2-40B4-BE49-F238E27FC236}">
                <a16:creationId xmlns:a16="http://schemas.microsoft.com/office/drawing/2014/main" id="{985E7BC0-3680-4920-8374-FDEA9D4E742A}"/>
              </a:ext>
            </a:extLst>
          </xdr:cNvPr>
          <xdr:cNvSpPr txBox="1"/>
        </xdr:nvSpPr>
        <xdr:spPr>
          <a:xfrm>
            <a:off x="980029" y="2173815"/>
            <a:ext cx="2455544" cy="265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100" i="1">
                <a:latin typeface="Century Gothic" panose="020B0502020202020204" pitchFamily="34" charset="0"/>
              </a:rPr>
              <a:t>premi CTRL per selezione multipla</a:t>
            </a:r>
          </a:p>
        </xdr:txBody>
      </xdr:sp>
    </xdr:grpSp>
    <xdr:clientData/>
  </xdr:twoCellAnchor>
  <xdr:oneCellAnchor>
    <xdr:from>
      <xdr:col>0</xdr:col>
      <xdr:colOff>103993</xdr:colOff>
      <xdr:row>60</xdr:row>
      <xdr:rowOff>170348</xdr:rowOff>
    </xdr:from>
    <xdr:ext cx="4663071" cy="280205"/>
    <xdr:sp macro="" textlink="">
      <xdr:nvSpPr>
        <xdr:cNvPr id="9" name="TextBox 8">
          <a:extLst>
            <a:ext uri="{FF2B5EF4-FFF2-40B4-BE49-F238E27FC236}">
              <a16:creationId xmlns:a16="http://schemas.microsoft.com/office/drawing/2014/main" id="{3B69B856-7644-419C-A5C4-F7808C10B313}"/>
            </a:ext>
          </a:extLst>
        </xdr:cNvPr>
        <xdr:cNvSpPr txBox="1"/>
      </xdr:nvSpPr>
      <xdr:spPr>
        <a:xfrm>
          <a:off x="103993" y="13019573"/>
          <a:ext cx="466307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200" i="0">
              <a:solidFill>
                <a:schemeClr val="bg1">
                  <a:lumMod val="50000"/>
                </a:schemeClr>
              </a:solidFill>
              <a:latin typeface="+mn-lt"/>
            </a:rPr>
            <a:t>ULTIMI AGGIORNAMENTI</a:t>
          </a:r>
          <a:r>
            <a:rPr lang="it-IT" sz="1200" i="0" baseline="0">
              <a:solidFill>
                <a:schemeClr val="bg1">
                  <a:lumMod val="50000"/>
                </a:schemeClr>
              </a:solidFill>
              <a:latin typeface="+mn-lt"/>
            </a:rPr>
            <a:t> ARCHITETTURA REPORT: 18 NOVEMBRE 2022</a:t>
          </a:r>
          <a:endParaRPr lang="it-IT" sz="1200" b="1" i="0">
            <a:solidFill>
              <a:schemeClr val="bg1">
                <a:lumMod val="50000"/>
              </a:schemeClr>
            </a:solidFill>
            <a:latin typeface="+mn-lt"/>
          </a:endParaRPr>
        </a:p>
      </xdr:txBody>
    </xdr:sp>
    <xdr:clientData/>
  </xdr:oneCellAnchor>
  <xdr:twoCellAnchor editAs="oneCell">
    <xdr:from>
      <xdr:col>16</xdr:col>
      <xdr:colOff>276226</xdr:colOff>
      <xdr:row>3</xdr:row>
      <xdr:rowOff>7620</xdr:rowOff>
    </xdr:from>
    <xdr:to>
      <xdr:col>16</xdr:col>
      <xdr:colOff>458361</xdr:colOff>
      <xdr:row>3</xdr:row>
      <xdr:rowOff>187620</xdr:rowOff>
    </xdr:to>
    <xdr:pic>
      <xdr:nvPicPr>
        <xdr:cNvPr id="12" name="Picture 11">
          <a:extLst>
            <a:ext uri="{FF2B5EF4-FFF2-40B4-BE49-F238E27FC236}">
              <a16:creationId xmlns:a16="http://schemas.microsoft.com/office/drawing/2014/main" id="{96EEF70C-ECFD-48B3-87D6-94613DA08DAE}"/>
            </a:ext>
          </a:extLst>
        </xdr:cNvPr>
        <xdr:cNvPicPr>
          <a:picLocks noChangeAspect="1"/>
        </xdr:cNvPicPr>
      </xdr:nvPicPr>
      <xdr:blipFill>
        <a:blip xmlns:r="http://schemas.openxmlformats.org/officeDocument/2006/relationships" r:embed="rId2" cstate="print">
          <a:duotone>
            <a:prstClr val="black"/>
            <a:schemeClr val="accent5">
              <a:tint val="45000"/>
              <a:satMod val="400000"/>
            </a:schemeClr>
          </a:duotone>
          <a:extLst>
            <a:ext uri="{BEBA8EAE-BF5A-486C-A8C5-ECC9F3942E4B}">
              <a14:imgProps xmlns:a14="http://schemas.microsoft.com/office/drawing/2010/main">
                <a14:imgLayer r:embed="rId3">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4249401" y="1274445"/>
          <a:ext cx="182135" cy="180000"/>
        </a:xfrm>
        <a:prstGeom prst="rect">
          <a:avLst/>
        </a:prstGeom>
      </xdr:spPr>
    </xdr:pic>
    <xdr:clientData/>
  </xdr:twoCellAnchor>
  <xdr:twoCellAnchor editAs="oneCell">
    <xdr:from>
      <xdr:col>17</xdr:col>
      <xdr:colOff>323853</xdr:colOff>
      <xdr:row>3</xdr:row>
      <xdr:rowOff>7620</xdr:rowOff>
    </xdr:from>
    <xdr:to>
      <xdr:col>17</xdr:col>
      <xdr:colOff>507174</xdr:colOff>
      <xdr:row>3</xdr:row>
      <xdr:rowOff>187620</xdr:rowOff>
    </xdr:to>
    <xdr:pic>
      <xdr:nvPicPr>
        <xdr:cNvPr id="13" name="Picture 12">
          <a:extLst>
            <a:ext uri="{FF2B5EF4-FFF2-40B4-BE49-F238E27FC236}">
              <a16:creationId xmlns:a16="http://schemas.microsoft.com/office/drawing/2014/main" id="{166DFAD2-7A0C-456C-941A-FF1FD49C3B3E}"/>
            </a:ext>
          </a:extLst>
        </xdr:cNvPr>
        <xdr:cNvPicPr>
          <a:picLocks noChangeAspect="1"/>
        </xdr:cNvPicPr>
      </xdr:nvPicPr>
      <xdr:blipFill>
        <a:blip xmlns:r="http://schemas.openxmlformats.org/officeDocument/2006/relationships" r:embed="rId4" cstate="print">
          <a:duotone>
            <a:prstClr val="black"/>
            <a:schemeClr val="accent1">
              <a:tint val="45000"/>
              <a:satMod val="400000"/>
            </a:schemeClr>
          </a:duotone>
          <a:extLst>
            <a:ext uri="{BEBA8EAE-BF5A-486C-A8C5-ECC9F3942E4B}">
              <a14:imgProps xmlns:a14="http://schemas.microsoft.com/office/drawing/2010/main">
                <a14:imgLayer r:embed="rId5">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5059028" y="1274445"/>
          <a:ext cx="183321" cy="180000"/>
        </a:xfrm>
        <a:prstGeom prst="rect">
          <a:avLst/>
        </a:prstGeom>
      </xdr:spPr>
    </xdr:pic>
    <xdr:clientData/>
  </xdr:twoCellAnchor>
  <xdr:twoCellAnchor editAs="oneCell">
    <xdr:from>
      <xdr:col>14</xdr:col>
      <xdr:colOff>318136</xdr:colOff>
      <xdr:row>3</xdr:row>
      <xdr:rowOff>7620</xdr:rowOff>
    </xdr:from>
    <xdr:to>
      <xdr:col>14</xdr:col>
      <xdr:colOff>500271</xdr:colOff>
      <xdr:row>3</xdr:row>
      <xdr:rowOff>187620</xdr:rowOff>
    </xdr:to>
    <xdr:pic>
      <xdr:nvPicPr>
        <xdr:cNvPr id="14" name="Picture 13">
          <a:extLst>
            <a:ext uri="{FF2B5EF4-FFF2-40B4-BE49-F238E27FC236}">
              <a16:creationId xmlns:a16="http://schemas.microsoft.com/office/drawing/2014/main" id="{10DA32C2-81ED-427E-AF7C-5A40D36074BF}"/>
            </a:ext>
          </a:extLst>
        </xdr:cNvPr>
        <xdr:cNvPicPr>
          <a:picLocks noChangeAspect="1"/>
        </xdr:cNvPicPr>
      </xdr:nvPicPr>
      <xdr:blipFill>
        <a:blip xmlns:r="http://schemas.openxmlformats.org/officeDocument/2006/relationships" r:embed="rId2" cstate="print">
          <a:duotone>
            <a:prstClr val="black"/>
            <a:schemeClr val="accent5">
              <a:tint val="45000"/>
              <a:satMod val="400000"/>
            </a:schemeClr>
          </a:duotone>
          <a:extLst>
            <a:ext uri="{BEBA8EAE-BF5A-486C-A8C5-ECC9F3942E4B}">
              <a14:imgProps xmlns:a14="http://schemas.microsoft.com/office/drawing/2010/main">
                <a14:imgLayer r:embed="rId3">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2510136" y="1274445"/>
          <a:ext cx="182135" cy="180000"/>
        </a:xfrm>
        <a:prstGeom prst="rect">
          <a:avLst/>
        </a:prstGeom>
      </xdr:spPr>
    </xdr:pic>
    <xdr:clientData/>
  </xdr:twoCellAnchor>
  <xdr:twoCellAnchor editAs="oneCell">
    <xdr:from>
      <xdr:col>15</xdr:col>
      <xdr:colOff>318138</xdr:colOff>
      <xdr:row>3</xdr:row>
      <xdr:rowOff>17145</xdr:rowOff>
    </xdr:from>
    <xdr:to>
      <xdr:col>15</xdr:col>
      <xdr:colOff>501459</xdr:colOff>
      <xdr:row>3</xdr:row>
      <xdr:rowOff>197145</xdr:rowOff>
    </xdr:to>
    <xdr:pic>
      <xdr:nvPicPr>
        <xdr:cNvPr id="15" name="Picture 14">
          <a:extLst>
            <a:ext uri="{FF2B5EF4-FFF2-40B4-BE49-F238E27FC236}">
              <a16:creationId xmlns:a16="http://schemas.microsoft.com/office/drawing/2014/main" id="{9CA9AB9D-4EF4-48BC-95D9-8E122A475605}"/>
            </a:ext>
          </a:extLst>
        </xdr:cNvPr>
        <xdr:cNvPicPr>
          <a:picLocks noChangeAspect="1"/>
        </xdr:cNvPicPr>
      </xdr:nvPicPr>
      <xdr:blipFill>
        <a:blip xmlns:r="http://schemas.openxmlformats.org/officeDocument/2006/relationships" r:embed="rId4" cstate="print">
          <a:duotone>
            <a:prstClr val="black"/>
            <a:schemeClr val="accent1">
              <a:tint val="45000"/>
              <a:satMod val="400000"/>
            </a:schemeClr>
          </a:duotone>
          <a:extLst>
            <a:ext uri="{BEBA8EAE-BF5A-486C-A8C5-ECC9F3942E4B}">
              <a14:imgProps xmlns:a14="http://schemas.microsoft.com/office/drawing/2010/main">
                <a14:imgLayer r:embed="rId5">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3405488" y="1283970"/>
          <a:ext cx="183321" cy="180000"/>
        </a:xfrm>
        <a:prstGeom prst="rect">
          <a:avLst/>
        </a:prstGeom>
      </xdr:spPr>
    </xdr:pic>
    <xdr:clientData/>
  </xdr:twoCellAnchor>
  <xdr:twoCellAnchor>
    <xdr:from>
      <xdr:col>0</xdr:col>
      <xdr:colOff>236047</xdr:colOff>
      <xdr:row>1</xdr:row>
      <xdr:rowOff>89726</xdr:rowOff>
    </xdr:from>
    <xdr:to>
      <xdr:col>3</xdr:col>
      <xdr:colOff>904156</xdr:colOff>
      <xdr:row>3</xdr:row>
      <xdr:rowOff>190499</xdr:rowOff>
    </xdr:to>
    <xdr:sp macro="" textlink="">
      <xdr:nvSpPr>
        <xdr:cNvPr id="16" name="Rectangle: Rounded Corners 15">
          <a:extLst>
            <a:ext uri="{FF2B5EF4-FFF2-40B4-BE49-F238E27FC236}">
              <a16:creationId xmlns:a16="http://schemas.microsoft.com/office/drawing/2014/main" id="{66180CCF-2FCD-46F3-B9DA-7EA2B14DB2B6}"/>
            </a:ext>
          </a:extLst>
        </xdr:cNvPr>
        <xdr:cNvSpPr/>
      </xdr:nvSpPr>
      <xdr:spPr>
        <a:xfrm>
          <a:off x="236047" y="861251"/>
          <a:ext cx="3354159" cy="596073"/>
        </a:xfrm>
        <a:prstGeom prst="roundRect">
          <a:avLst>
            <a:gd name="adj" fmla="val 49065"/>
          </a:avLst>
        </a:prstGeom>
        <a:solidFill>
          <a:schemeClr val="accent1">
            <a:lumMod val="60000"/>
            <a:lumOff val="40000"/>
          </a:schemeClr>
        </a:solidFill>
        <a:ln>
          <a:solidFill>
            <a:schemeClr val="bg1">
              <a:lumMod val="65000"/>
            </a:schemeClr>
          </a:solidFill>
        </a:ln>
        <a:effectLst>
          <a:innerShdw blurRad="63500" dist="50800" dir="162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sz="2400" b="1" baseline="0">
              <a:solidFill>
                <a:schemeClr val="lt1"/>
              </a:solidFill>
              <a:effectLst>
                <a:outerShdw blurRad="50800" dist="38100" dir="2700000" algn="tl" rotWithShape="0">
                  <a:srgbClr val="000000">
                    <a:alpha val="40000"/>
                  </a:srgbClr>
                </a:outerShdw>
              </a:effectLst>
              <a:latin typeface="+mn-lt"/>
              <a:ea typeface="+mn-ea"/>
              <a:cs typeface="+mn-cs"/>
            </a:rPr>
            <a:t>REPORT ESTERNI </a:t>
          </a:r>
          <a:r>
            <a:rPr lang="it-IT" sz="2800" b="1" baseline="0">
              <a:solidFill>
                <a:schemeClr val="lt1"/>
              </a:solidFill>
              <a:effectLst>
                <a:outerShdw blurRad="50800" dist="38100" dir="18900000" algn="bl" rotWithShape="0">
                  <a:srgbClr val="000000">
                    <a:alpha val="40000"/>
                  </a:srgbClr>
                </a:outerShdw>
              </a:effectLst>
              <a:latin typeface="+mn-lt"/>
              <a:ea typeface="+mn-ea"/>
              <a:cs typeface="+mn-cs"/>
            </a:rPr>
            <a:t>2023</a:t>
          </a:r>
          <a:endParaRPr lang="it-IT" sz="2400" b="1" baseline="0">
            <a:solidFill>
              <a:schemeClr val="lt1"/>
            </a:solidFill>
            <a:effectLst>
              <a:outerShdw blurRad="50800" dist="38100" dir="18900000" algn="bl" rotWithShape="0">
                <a:srgbClr val="000000">
                  <a:alpha val="40000"/>
                </a:srgbClr>
              </a:outerShdw>
            </a:effectLst>
            <a:latin typeface="+mn-lt"/>
            <a:ea typeface="+mn-ea"/>
            <a:cs typeface="+mn-cs"/>
          </a:endParaRPr>
        </a:p>
      </xdr:txBody>
    </xdr:sp>
    <xdr:clientData/>
  </xdr:twoCellAnchor>
  <xdr:twoCellAnchor editAs="oneCell">
    <xdr:from>
      <xdr:col>6</xdr:col>
      <xdr:colOff>60961</xdr:colOff>
      <xdr:row>4</xdr:row>
      <xdr:rowOff>55245</xdr:rowOff>
    </xdr:from>
    <xdr:to>
      <xdr:col>6</xdr:col>
      <xdr:colOff>243096</xdr:colOff>
      <xdr:row>4</xdr:row>
      <xdr:rowOff>235245</xdr:rowOff>
    </xdr:to>
    <xdr:pic>
      <xdr:nvPicPr>
        <xdr:cNvPr id="17" name="Picture 16">
          <a:extLst>
            <a:ext uri="{FF2B5EF4-FFF2-40B4-BE49-F238E27FC236}">
              <a16:creationId xmlns:a16="http://schemas.microsoft.com/office/drawing/2014/main" id="{B732D82B-A05B-4C34-A051-125A400EB90D}"/>
            </a:ext>
          </a:extLst>
        </xdr:cNvPr>
        <xdr:cNvPicPr>
          <a:picLocks noChangeAspect="1"/>
        </xdr:cNvPicPr>
      </xdr:nvPicPr>
      <xdr:blipFill>
        <a:blip xmlns:r="http://schemas.openxmlformats.org/officeDocument/2006/relationships" r:embed="rId6" cstate="print">
          <a:duotone>
            <a:prstClr val="black"/>
            <a:schemeClr val="accent5">
              <a:tint val="45000"/>
              <a:satMod val="400000"/>
            </a:schemeClr>
          </a:duotone>
          <a:extLst>
            <a:ext uri="{BEBA8EAE-BF5A-486C-A8C5-ECC9F3942E4B}">
              <a14:imgProps xmlns:a14="http://schemas.microsoft.com/office/drawing/2010/main">
                <a14:imgLayer r:embed="rId7">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5042536" y="1579245"/>
          <a:ext cx="182135" cy="180000"/>
        </a:xfrm>
        <a:prstGeom prst="rect">
          <a:avLst/>
        </a:prstGeom>
      </xdr:spPr>
    </xdr:pic>
    <xdr:clientData/>
  </xdr:twoCellAnchor>
  <xdr:twoCellAnchor editAs="oneCell">
    <xdr:from>
      <xdr:col>7</xdr:col>
      <xdr:colOff>22863</xdr:colOff>
      <xdr:row>4</xdr:row>
      <xdr:rowOff>55245</xdr:rowOff>
    </xdr:from>
    <xdr:to>
      <xdr:col>7</xdr:col>
      <xdr:colOff>206184</xdr:colOff>
      <xdr:row>4</xdr:row>
      <xdr:rowOff>235245</xdr:rowOff>
    </xdr:to>
    <xdr:pic>
      <xdr:nvPicPr>
        <xdr:cNvPr id="18" name="Picture 17">
          <a:extLst>
            <a:ext uri="{FF2B5EF4-FFF2-40B4-BE49-F238E27FC236}">
              <a16:creationId xmlns:a16="http://schemas.microsoft.com/office/drawing/2014/main" id="{5B34E270-C7E8-4B7A-930F-05C0D71050F1}"/>
            </a:ext>
          </a:extLst>
        </xdr:cNvPr>
        <xdr:cNvPicPr>
          <a:picLocks noChangeAspect="1"/>
        </xdr:cNvPicPr>
      </xdr:nvPicPr>
      <xdr:blipFill>
        <a:blip xmlns:r="http://schemas.openxmlformats.org/officeDocument/2006/relationships" r:embed="rId4" cstate="print">
          <a:duotone>
            <a:prstClr val="black"/>
            <a:schemeClr val="accent1">
              <a:tint val="45000"/>
              <a:satMod val="400000"/>
            </a:schemeClr>
          </a:duotone>
          <a:extLst>
            <a:ext uri="{BEBA8EAE-BF5A-486C-A8C5-ECC9F3942E4B}">
              <a14:imgProps xmlns:a14="http://schemas.microsoft.com/office/drawing/2010/main">
                <a14:imgLayer r:embed="rId5">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5814063" y="1579245"/>
          <a:ext cx="183321" cy="180000"/>
        </a:xfrm>
        <a:prstGeom prst="rect">
          <a:avLst/>
        </a:prstGeom>
      </xdr:spPr>
    </xdr:pic>
    <xdr:clientData/>
  </xdr:twoCellAnchor>
  <xdr:twoCellAnchor editAs="oneCell">
    <xdr:from>
      <xdr:col>8</xdr:col>
      <xdr:colOff>70486</xdr:colOff>
      <xdr:row>4</xdr:row>
      <xdr:rowOff>55245</xdr:rowOff>
    </xdr:from>
    <xdr:to>
      <xdr:col>8</xdr:col>
      <xdr:colOff>252621</xdr:colOff>
      <xdr:row>4</xdr:row>
      <xdr:rowOff>235245</xdr:rowOff>
    </xdr:to>
    <xdr:pic>
      <xdr:nvPicPr>
        <xdr:cNvPr id="19" name="Picture 18">
          <a:extLst>
            <a:ext uri="{FF2B5EF4-FFF2-40B4-BE49-F238E27FC236}">
              <a16:creationId xmlns:a16="http://schemas.microsoft.com/office/drawing/2014/main" id="{24852FD5-0B9E-4119-B9FB-9B30C8D0B5C0}"/>
            </a:ext>
          </a:extLst>
        </xdr:cNvPr>
        <xdr:cNvPicPr>
          <a:picLocks noChangeAspect="1"/>
        </xdr:cNvPicPr>
      </xdr:nvPicPr>
      <xdr:blipFill>
        <a:blip xmlns:r="http://schemas.openxmlformats.org/officeDocument/2006/relationships" r:embed="rId6" cstate="print">
          <a:duotone>
            <a:prstClr val="black"/>
            <a:schemeClr val="accent5">
              <a:tint val="45000"/>
              <a:satMod val="400000"/>
            </a:schemeClr>
          </a:duotone>
          <a:extLst>
            <a:ext uri="{BEBA8EAE-BF5A-486C-A8C5-ECC9F3942E4B}">
              <a14:imgProps xmlns:a14="http://schemas.microsoft.com/office/drawing/2010/main">
                <a14:imgLayer r:embed="rId7">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6861811" y="1579245"/>
          <a:ext cx="182135" cy="180000"/>
        </a:xfrm>
        <a:prstGeom prst="rect">
          <a:avLst/>
        </a:prstGeom>
      </xdr:spPr>
    </xdr:pic>
    <xdr:clientData/>
  </xdr:twoCellAnchor>
  <xdr:twoCellAnchor editAs="oneCell">
    <xdr:from>
      <xdr:col>9</xdr:col>
      <xdr:colOff>22863</xdr:colOff>
      <xdr:row>4</xdr:row>
      <xdr:rowOff>55245</xdr:rowOff>
    </xdr:from>
    <xdr:to>
      <xdr:col>9</xdr:col>
      <xdr:colOff>206184</xdr:colOff>
      <xdr:row>4</xdr:row>
      <xdr:rowOff>235245</xdr:rowOff>
    </xdr:to>
    <xdr:pic>
      <xdr:nvPicPr>
        <xdr:cNvPr id="20" name="Picture 19">
          <a:extLst>
            <a:ext uri="{FF2B5EF4-FFF2-40B4-BE49-F238E27FC236}">
              <a16:creationId xmlns:a16="http://schemas.microsoft.com/office/drawing/2014/main" id="{24072510-8123-491F-AFB4-5A3F35AEEC51}"/>
            </a:ext>
          </a:extLst>
        </xdr:cNvPr>
        <xdr:cNvPicPr>
          <a:picLocks noChangeAspect="1"/>
        </xdr:cNvPicPr>
      </xdr:nvPicPr>
      <xdr:blipFill>
        <a:blip xmlns:r="http://schemas.openxmlformats.org/officeDocument/2006/relationships" r:embed="rId4" cstate="print">
          <a:duotone>
            <a:prstClr val="black"/>
            <a:schemeClr val="accent1">
              <a:tint val="45000"/>
              <a:satMod val="400000"/>
            </a:schemeClr>
          </a:duotone>
          <a:extLst>
            <a:ext uri="{BEBA8EAE-BF5A-486C-A8C5-ECC9F3942E4B}">
              <a14:imgProps xmlns:a14="http://schemas.microsoft.com/office/drawing/2010/main">
                <a14:imgLayer r:embed="rId5">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7623813" y="1579245"/>
          <a:ext cx="183321" cy="180000"/>
        </a:xfrm>
        <a:prstGeom prst="rect">
          <a:avLst/>
        </a:prstGeom>
      </xdr:spPr>
    </xdr:pic>
    <xdr:clientData/>
  </xdr:twoCellAnchor>
  <xdr:twoCellAnchor editAs="oneCell">
    <xdr:from>
      <xdr:col>10</xdr:col>
      <xdr:colOff>32386</xdr:colOff>
      <xdr:row>4</xdr:row>
      <xdr:rowOff>55245</xdr:rowOff>
    </xdr:from>
    <xdr:to>
      <xdr:col>10</xdr:col>
      <xdr:colOff>214521</xdr:colOff>
      <xdr:row>4</xdr:row>
      <xdr:rowOff>235245</xdr:rowOff>
    </xdr:to>
    <xdr:pic>
      <xdr:nvPicPr>
        <xdr:cNvPr id="21" name="Picture 20">
          <a:extLst>
            <a:ext uri="{FF2B5EF4-FFF2-40B4-BE49-F238E27FC236}">
              <a16:creationId xmlns:a16="http://schemas.microsoft.com/office/drawing/2014/main" id="{7DC8A064-BA99-4483-9268-BF50C3D4D762}"/>
            </a:ext>
          </a:extLst>
        </xdr:cNvPr>
        <xdr:cNvPicPr>
          <a:picLocks noChangeAspect="1"/>
        </xdr:cNvPicPr>
      </xdr:nvPicPr>
      <xdr:blipFill>
        <a:blip xmlns:r="http://schemas.openxmlformats.org/officeDocument/2006/relationships" r:embed="rId6" cstate="print">
          <a:duotone>
            <a:prstClr val="black"/>
            <a:schemeClr val="accent5">
              <a:tint val="45000"/>
              <a:satMod val="400000"/>
            </a:schemeClr>
          </a:duotone>
          <a:extLst>
            <a:ext uri="{BEBA8EAE-BF5A-486C-A8C5-ECC9F3942E4B}">
              <a14:imgProps xmlns:a14="http://schemas.microsoft.com/office/drawing/2010/main">
                <a14:imgLayer r:embed="rId7">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8604886" y="1579245"/>
          <a:ext cx="182135" cy="180000"/>
        </a:xfrm>
        <a:prstGeom prst="rect">
          <a:avLst/>
        </a:prstGeom>
      </xdr:spPr>
    </xdr:pic>
    <xdr:clientData/>
  </xdr:twoCellAnchor>
  <xdr:twoCellAnchor editAs="oneCell">
    <xdr:from>
      <xdr:col>11</xdr:col>
      <xdr:colOff>32388</xdr:colOff>
      <xdr:row>4</xdr:row>
      <xdr:rowOff>55245</xdr:rowOff>
    </xdr:from>
    <xdr:to>
      <xdr:col>11</xdr:col>
      <xdr:colOff>215709</xdr:colOff>
      <xdr:row>4</xdr:row>
      <xdr:rowOff>235245</xdr:rowOff>
    </xdr:to>
    <xdr:pic>
      <xdr:nvPicPr>
        <xdr:cNvPr id="22" name="Picture 21">
          <a:extLst>
            <a:ext uri="{FF2B5EF4-FFF2-40B4-BE49-F238E27FC236}">
              <a16:creationId xmlns:a16="http://schemas.microsoft.com/office/drawing/2014/main" id="{8BD595DA-E8A2-42E6-9BE7-427904DE9C6E}"/>
            </a:ext>
          </a:extLst>
        </xdr:cNvPr>
        <xdr:cNvPicPr>
          <a:picLocks noChangeAspect="1"/>
        </xdr:cNvPicPr>
      </xdr:nvPicPr>
      <xdr:blipFill>
        <a:blip xmlns:r="http://schemas.openxmlformats.org/officeDocument/2006/relationships" r:embed="rId4" cstate="print">
          <a:duotone>
            <a:prstClr val="black"/>
            <a:schemeClr val="accent1">
              <a:tint val="45000"/>
              <a:satMod val="400000"/>
            </a:schemeClr>
          </a:duotone>
          <a:extLst>
            <a:ext uri="{BEBA8EAE-BF5A-486C-A8C5-ECC9F3942E4B}">
              <a14:imgProps xmlns:a14="http://schemas.microsoft.com/office/drawing/2010/main">
                <a14:imgLayer r:embed="rId5">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9414513" y="1579245"/>
          <a:ext cx="183321" cy="180000"/>
        </a:xfrm>
        <a:prstGeom prst="rect">
          <a:avLst/>
        </a:prstGeom>
      </xdr:spPr>
    </xdr:pic>
    <xdr:clientData/>
  </xdr:twoCellAnchor>
  <xdr:oneCellAnchor>
    <xdr:from>
      <xdr:col>12</xdr:col>
      <xdr:colOff>318136</xdr:colOff>
      <xdr:row>3</xdr:row>
      <xdr:rowOff>7620</xdr:rowOff>
    </xdr:from>
    <xdr:ext cx="182135" cy="180000"/>
    <xdr:pic>
      <xdr:nvPicPr>
        <xdr:cNvPr id="23" name="Picture 22">
          <a:extLst>
            <a:ext uri="{FF2B5EF4-FFF2-40B4-BE49-F238E27FC236}">
              <a16:creationId xmlns:a16="http://schemas.microsoft.com/office/drawing/2014/main" id="{7C3D95B6-DB2F-428E-AD10-03798670FCB5}"/>
            </a:ext>
          </a:extLst>
        </xdr:cNvPr>
        <xdr:cNvPicPr>
          <a:picLocks noChangeAspect="1"/>
        </xdr:cNvPicPr>
      </xdr:nvPicPr>
      <xdr:blipFill>
        <a:blip xmlns:r="http://schemas.openxmlformats.org/officeDocument/2006/relationships" r:embed="rId2" cstate="print">
          <a:duotone>
            <a:prstClr val="black"/>
            <a:schemeClr val="accent5">
              <a:tint val="45000"/>
              <a:satMod val="400000"/>
            </a:schemeClr>
          </a:duotone>
          <a:extLst>
            <a:ext uri="{BEBA8EAE-BF5A-486C-A8C5-ECC9F3942E4B}">
              <a14:imgProps xmlns:a14="http://schemas.microsoft.com/office/drawing/2010/main">
                <a14:imgLayer r:embed="rId3">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0709911" y="1274445"/>
          <a:ext cx="182135" cy="180000"/>
        </a:xfrm>
        <a:prstGeom prst="rect">
          <a:avLst/>
        </a:prstGeom>
      </xdr:spPr>
    </xdr:pic>
    <xdr:clientData/>
  </xdr:oneCellAnchor>
  <xdr:twoCellAnchor editAs="oneCell">
    <xdr:from>
      <xdr:col>13</xdr:col>
      <xdr:colOff>323850</xdr:colOff>
      <xdr:row>3</xdr:row>
      <xdr:rowOff>19050</xdr:rowOff>
    </xdr:from>
    <xdr:to>
      <xdr:col>13</xdr:col>
      <xdr:colOff>507171</xdr:colOff>
      <xdr:row>3</xdr:row>
      <xdr:rowOff>199050</xdr:rowOff>
    </xdr:to>
    <xdr:pic>
      <xdr:nvPicPr>
        <xdr:cNvPr id="24" name="Picture 23">
          <a:extLst>
            <a:ext uri="{FF2B5EF4-FFF2-40B4-BE49-F238E27FC236}">
              <a16:creationId xmlns:a16="http://schemas.microsoft.com/office/drawing/2014/main" id="{C2B01A31-8C65-4A30-B4E6-1FBD6EED8321}"/>
            </a:ext>
          </a:extLst>
        </xdr:cNvPr>
        <xdr:cNvPicPr>
          <a:picLocks noChangeAspect="1"/>
        </xdr:cNvPicPr>
      </xdr:nvPicPr>
      <xdr:blipFill>
        <a:blip xmlns:r="http://schemas.openxmlformats.org/officeDocument/2006/relationships" r:embed="rId8" cstate="print">
          <a:duotone>
            <a:prstClr val="black"/>
            <a:schemeClr val="accent1">
              <a:tint val="45000"/>
              <a:satMod val="400000"/>
            </a:schemeClr>
          </a:duotone>
          <a:extLst>
            <a:ext uri="{BEBA8EAE-BF5A-486C-A8C5-ECC9F3942E4B}">
              <a14:imgProps xmlns:a14="http://schemas.microsoft.com/office/drawing/2010/main">
                <a14:imgLayer r:embed="rId9">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1572875" y="1285875"/>
          <a:ext cx="183321" cy="180000"/>
        </a:xfrm>
        <a:prstGeom prst="rect">
          <a:avLst/>
        </a:prstGeom>
      </xdr:spPr>
    </xdr:pic>
    <xdr:clientData/>
  </xdr:twoCellAnchor>
  <xdr:twoCellAnchor>
    <xdr:from>
      <xdr:col>4</xdr:col>
      <xdr:colOff>108697</xdr:colOff>
      <xdr:row>22</xdr:row>
      <xdr:rowOff>129669</xdr:rowOff>
    </xdr:from>
    <xdr:to>
      <xdr:col>21</xdr:col>
      <xdr:colOff>44824</xdr:colOff>
      <xdr:row>40</xdr:row>
      <xdr:rowOff>129669</xdr:rowOff>
    </xdr:to>
    <xdr:graphicFrame macro="">
      <xdr:nvGraphicFramePr>
        <xdr:cNvPr id="25" name="Chart 24">
          <a:extLst>
            <a:ext uri="{FF2B5EF4-FFF2-40B4-BE49-F238E27FC236}">
              <a16:creationId xmlns:a16="http://schemas.microsoft.com/office/drawing/2014/main" id="{87F0BE48-C7E7-4F8F-8978-49E0F37F6B46}"/>
            </a:ext>
            <a:ext uri="{147F2762-F138-4A5C-976F-8EAC2B608ADB}">
              <a16:predDERef xmlns:a16="http://schemas.microsoft.com/office/drawing/2014/main" pred="{3716129E-0390-477C-9FB0-F64DFBA51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21</xdr:col>
      <xdr:colOff>145677</xdr:colOff>
      <xdr:row>28</xdr:row>
      <xdr:rowOff>147995</xdr:rowOff>
    </xdr:from>
    <xdr:to>
      <xdr:col>22</xdr:col>
      <xdr:colOff>423018</xdr:colOff>
      <xdr:row>34</xdr:row>
      <xdr:rowOff>68034</xdr:rowOff>
    </xdr:to>
    <xdr:pic>
      <xdr:nvPicPr>
        <xdr:cNvPr id="26" name="Picture 25">
          <a:extLst>
            <a:ext uri="{FF2B5EF4-FFF2-40B4-BE49-F238E27FC236}">
              <a16:creationId xmlns:a16="http://schemas.microsoft.com/office/drawing/2014/main" id="{D8F12A0E-6591-452C-A577-E40289B943A9}"/>
            </a:ext>
          </a:extLst>
        </xdr:cNvPr>
        <xdr:cNvPicPr>
          <a:picLocks noChangeAspect="1"/>
        </xdr:cNvPicPr>
      </xdr:nvPicPr>
      <xdr:blipFill>
        <a:blip xmlns:r="http://schemas.openxmlformats.org/officeDocument/2006/relationships" r:embed="rId11" cstate="print">
          <a:duotone>
            <a:prstClr val="black"/>
            <a:schemeClr val="accent3">
              <a:tint val="45000"/>
              <a:satMod val="400000"/>
            </a:schemeClr>
          </a:duotone>
          <a:extLst>
            <a:ext uri="{BEBA8EAE-BF5A-486C-A8C5-ECC9F3942E4B}">
              <a14:imgProps xmlns:a14="http://schemas.microsoft.com/office/drawing/2010/main">
                <a14:imgLayer r:embed="rId1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8347952" y="6882170"/>
          <a:ext cx="1077441" cy="1063039"/>
        </a:xfrm>
        <a:prstGeom prst="rect">
          <a:avLst/>
        </a:prstGeom>
      </xdr:spPr>
    </xdr:pic>
    <xdr:clientData/>
  </xdr:twoCellAnchor>
  <xdr:twoCellAnchor>
    <xdr:from>
      <xdr:col>4</xdr:col>
      <xdr:colOff>114861</xdr:colOff>
      <xdr:row>41</xdr:row>
      <xdr:rowOff>155442</xdr:rowOff>
    </xdr:from>
    <xdr:to>
      <xdr:col>21</xdr:col>
      <xdr:colOff>33617</xdr:colOff>
      <xdr:row>60</xdr:row>
      <xdr:rowOff>50667</xdr:rowOff>
    </xdr:to>
    <xdr:graphicFrame macro="">
      <xdr:nvGraphicFramePr>
        <xdr:cNvPr id="27" name="Chart 26">
          <a:extLst>
            <a:ext uri="{FF2B5EF4-FFF2-40B4-BE49-F238E27FC236}">
              <a16:creationId xmlns:a16="http://schemas.microsoft.com/office/drawing/2014/main" id="{0B3CBF43-9B78-46DA-8BD0-FD76463D5393}"/>
            </a:ext>
            <a:ext uri="{147F2762-F138-4A5C-976F-8EAC2B608ADB}">
              <a16:predDERef xmlns:a16="http://schemas.microsoft.com/office/drawing/2014/main" pred="{4BA55BD3-95A7-46B7-BEAA-1AD36BD4A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21</xdr:col>
      <xdr:colOff>22413</xdr:colOff>
      <xdr:row>48</xdr:row>
      <xdr:rowOff>92128</xdr:rowOff>
    </xdr:from>
    <xdr:to>
      <xdr:col>22</xdr:col>
      <xdr:colOff>451094</xdr:colOff>
      <xdr:row>54</xdr:row>
      <xdr:rowOff>168327</xdr:rowOff>
    </xdr:to>
    <xdr:pic>
      <xdr:nvPicPr>
        <xdr:cNvPr id="28" name="Picture 27">
          <a:extLst>
            <a:ext uri="{FF2B5EF4-FFF2-40B4-BE49-F238E27FC236}">
              <a16:creationId xmlns:a16="http://schemas.microsoft.com/office/drawing/2014/main" id="{C0FF309E-1DCC-42B8-BCA9-EC616A3712E6}"/>
            </a:ext>
          </a:extLst>
        </xdr:cNvPr>
        <xdr:cNvPicPr>
          <a:picLocks noChangeAspect="1"/>
        </xdr:cNvPicPr>
      </xdr:nvPicPr>
      <xdr:blipFill>
        <a:blip xmlns:r="http://schemas.openxmlformats.org/officeDocument/2006/relationships" r:embed="rId14" cstate="print">
          <a:extLst>
            <a:ext uri="{BEBA8EAE-BF5A-486C-A8C5-ECC9F3942E4B}">
              <a14:imgProps xmlns:a14="http://schemas.microsoft.com/office/drawing/2010/main">
                <a14:imgLayer r:embed="rId15">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8224688" y="10655353"/>
          <a:ext cx="1228781" cy="1219199"/>
        </a:xfrm>
        <a:prstGeom prst="rect">
          <a:avLst/>
        </a:prstGeom>
      </xdr:spPr>
    </xdr:pic>
    <xdr:clientData/>
  </xdr:twoCellAnchor>
  <xdr:oneCellAnchor>
    <xdr:from>
      <xdr:col>8</xdr:col>
      <xdr:colOff>605117</xdr:colOff>
      <xdr:row>0</xdr:row>
      <xdr:rowOff>89647</xdr:rowOff>
    </xdr:from>
    <xdr:ext cx="8101853" cy="560294"/>
    <xdr:sp macro="" textlink="">
      <xdr:nvSpPr>
        <xdr:cNvPr id="29" name="TextBox 28">
          <a:extLst>
            <a:ext uri="{FF2B5EF4-FFF2-40B4-BE49-F238E27FC236}">
              <a16:creationId xmlns:a16="http://schemas.microsoft.com/office/drawing/2014/main" id="{22DCA634-757E-4C9F-99E2-0A7FB4980943}"/>
            </a:ext>
          </a:extLst>
        </xdr:cNvPr>
        <xdr:cNvSpPr txBox="1"/>
      </xdr:nvSpPr>
      <xdr:spPr>
        <a:xfrm>
          <a:off x="7396442" y="89647"/>
          <a:ext cx="8101853" cy="560294"/>
        </a:xfrm>
        <a:prstGeom prst="rect">
          <a:avLst/>
        </a:prstGeom>
        <a:solidFill>
          <a:schemeClr val="accent6">
            <a:lumMod val="50000"/>
          </a:schemeClr>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3200" b="1">
              <a:solidFill>
                <a:schemeClr val="bg1"/>
              </a:solidFill>
            </a:rPr>
            <a:t>PREVISIONE A FINIRE</a:t>
          </a:r>
        </a:p>
      </xdr:txBody>
    </xdr:sp>
    <xdr:clientData/>
  </xdr:oneCellAnchor>
  <xdr:twoCellAnchor editAs="oneCell">
    <xdr:from>
      <xdr:col>0</xdr:col>
      <xdr:colOff>387347</xdr:colOff>
      <xdr:row>32</xdr:row>
      <xdr:rowOff>9521</xdr:rowOff>
    </xdr:from>
    <xdr:to>
      <xdr:col>3</xdr:col>
      <xdr:colOff>737656</xdr:colOff>
      <xdr:row>45</xdr:row>
      <xdr:rowOff>57146</xdr:rowOff>
    </xdr:to>
    <mc:AlternateContent xmlns:mc="http://schemas.openxmlformats.org/markup-compatibility/2006" xmlns:a14="http://schemas.microsoft.com/office/drawing/2010/main">
      <mc:Choice Requires="a14">
        <xdr:graphicFrame macro="">
          <xdr:nvGraphicFramePr>
            <xdr:cNvPr id="30" name="Fornitore . 2">
              <a:extLst>
                <a:ext uri="{FF2B5EF4-FFF2-40B4-BE49-F238E27FC236}">
                  <a16:creationId xmlns:a16="http://schemas.microsoft.com/office/drawing/2014/main" id="{D299B8B2-851F-49A5-BED3-CB20DF762F29}"/>
                </a:ext>
              </a:extLst>
            </xdr:cNvPr>
            <xdr:cNvGraphicFramePr/>
          </xdr:nvGraphicFramePr>
          <xdr:xfrm>
            <a:off x="0" y="0"/>
            <a:ext cx="0" cy="0"/>
          </xdr:xfrm>
          <a:graphic>
            <a:graphicData uri="http://schemas.microsoft.com/office/drawing/2010/slicer">
              <sle:slicer xmlns:sle="http://schemas.microsoft.com/office/drawing/2010/slicer" name="Fornitore . 2"/>
            </a:graphicData>
          </a:graphic>
        </xdr:graphicFrame>
      </mc:Choice>
      <mc:Fallback xmlns="">
        <xdr:sp macro="" textlink="">
          <xdr:nvSpPr>
            <xdr:cNvPr id="0" name=""/>
            <xdr:cNvSpPr>
              <a:spLocks noTextEdit="1"/>
            </xdr:cNvSpPr>
          </xdr:nvSpPr>
          <xdr:spPr>
            <a:xfrm>
              <a:off x="387347" y="7555438"/>
              <a:ext cx="3038476" cy="252412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387347</xdr:colOff>
      <xdr:row>15</xdr:row>
      <xdr:rowOff>229655</xdr:rowOff>
    </xdr:from>
    <xdr:to>
      <xdr:col>3</xdr:col>
      <xdr:colOff>794805</xdr:colOff>
      <xdr:row>24</xdr:row>
      <xdr:rowOff>95246</xdr:rowOff>
    </xdr:to>
    <mc:AlternateContent xmlns:mc="http://schemas.openxmlformats.org/markup-compatibility/2006" xmlns:a14="http://schemas.microsoft.com/office/drawing/2010/main">
      <mc:Choice Requires="a14">
        <xdr:graphicFrame macro="">
          <xdr:nvGraphicFramePr>
            <xdr:cNvPr id="31" name="Tipologia 2">
              <a:extLst>
                <a:ext uri="{FF2B5EF4-FFF2-40B4-BE49-F238E27FC236}">
                  <a16:creationId xmlns:a16="http://schemas.microsoft.com/office/drawing/2014/main" id="{18AEAB0E-F832-4E95-967A-51530C3C4F34}"/>
                </a:ext>
              </a:extLst>
            </xdr:cNvPr>
            <xdr:cNvGraphicFramePr/>
          </xdr:nvGraphicFramePr>
          <xdr:xfrm>
            <a:off x="0" y="0"/>
            <a:ext cx="0" cy="0"/>
          </xdr:xfrm>
          <a:graphic>
            <a:graphicData uri="http://schemas.microsoft.com/office/drawing/2010/slicer">
              <sle:slicer xmlns:sle="http://schemas.microsoft.com/office/drawing/2010/slicer" name="Tipologia 2"/>
            </a:graphicData>
          </a:graphic>
        </xdr:graphicFrame>
      </mc:Choice>
      <mc:Fallback xmlns="">
        <xdr:sp macro="" textlink="">
          <xdr:nvSpPr>
            <xdr:cNvPr id="0" name=""/>
            <xdr:cNvSpPr>
              <a:spLocks noTextEdit="1"/>
            </xdr:cNvSpPr>
          </xdr:nvSpPr>
          <xdr:spPr>
            <a:xfrm>
              <a:off x="387347" y="4335988"/>
              <a:ext cx="3095625" cy="178117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377823</xdr:colOff>
      <xdr:row>8</xdr:row>
      <xdr:rowOff>40214</xdr:rowOff>
    </xdr:from>
    <xdr:to>
      <xdr:col>3</xdr:col>
      <xdr:colOff>794806</xdr:colOff>
      <xdr:row>15</xdr:row>
      <xdr:rowOff>182031</xdr:rowOff>
    </xdr:to>
    <mc:AlternateContent xmlns:mc="http://schemas.openxmlformats.org/markup-compatibility/2006" xmlns:a14="http://schemas.microsoft.com/office/drawing/2010/main">
      <mc:Choice Requires="a14">
        <xdr:graphicFrame macro="">
          <xdr:nvGraphicFramePr>
            <xdr:cNvPr id="32" name="Ingegneria di competenza 2">
              <a:extLst>
                <a:ext uri="{FF2B5EF4-FFF2-40B4-BE49-F238E27FC236}">
                  <a16:creationId xmlns:a16="http://schemas.microsoft.com/office/drawing/2014/main" id="{C3FE1F55-BCBF-49B4-919C-8338A006AF35}"/>
                </a:ext>
              </a:extLst>
            </xdr:cNvPr>
            <xdr:cNvGraphicFramePr/>
          </xdr:nvGraphicFramePr>
          <xdr:xfrm>
            <a:off x="0" y="0"/>
            <a:ext cx="0" cy="0"/>
          </xdr:xfrm>
          <a:graphic>
            <a:graphicData uri="http://schemas.microsoft.com/office/drawing/2010/slicer">
              <sle:slicer xmlns:sle="http://schemas.microsoft.com/office/drawing/2010/slicer" name="Ingegneria di competenza 2"/>
            </a:graphicData>
          </a:graphic>
        </xdr:graphicFrame>
      </mc:Choice>
      <mc:Fallback xmlns="">
        <xdr:sp macro="" textlink="">
          <xdr:nvSpPr>
            <xdr:cNvPr id="0" name=""/>
            <xdr:cNvSpPr>
              <a:spLocks noTextEdit="1"/>
            </xdr:cNvSpPr>
          </xdr:nvSpPr>
          <xdr:spPr>
            <a:xfrm>
              <a:off x="377823" y="2516714"/>
              <a:ext cx="3105150" cy="1771650"/>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387347</xdr:colOff>
      <xdr:row>24</xdr:row>
      <xdr:rowOff>171446</xdr:rowOff>
    </xdr:from>
    <xdr:to>
      <xdr:col>3</xdr:col>
      <xdr:colOff>766231</xdr:colOff>
      <xdr:row>31</xdr:row>
      <xdr:rowOff>142871</xdr:rowOff>
    </xdr:to>
    <mc:AlternateContent xmlns:mc="http://schemas.openxmlformats.org/markup-compatibility/2006" xmlns:a14="http://schemas.microsoft.com/office/drawing/2010/main">
      <mc:Choice Requires="a14">
        <xdr:graphicFrame macro="">
          <xdr:nvGraphicFramePr>
            <xdr:cNvPr id="33" name="Categoria Fornitore 2">
              <a:extLst>
                <a:ext uri="{FF2B5EF4-FFF2-40B4-BE49-F238E27FC236}">
                  <a16:creationId xmlns:a16="http://schemas.microsoft.com/office/drawing/2014/main" id="{395F5988-EB4B-4AD9-8CBF-2DF99313DA06}"/>
                </a:ext>
              </a:extLst>
            </xdr:cNvPr>
            <xdr:cNvGraphicFramePr/>
          </xdr:nvGraphicFramePr>
          <xdr:xfrm>
            <a:off x="0" y="0"/>
            <a:ext cx="0" cy="0"/>
          </xdr:xfrm>
          <a:graphic>
            <a:graphicData uri="http://schemas.microsoft.com/office/drawing/2010/slicer">
              <sle:slicer xmlns:sle="http://schemas.microsoft.com/office/drawing/2010/slicer" name="Categoria Fornitore 2"/>
            </a:graphicData>
          </a:graphic>
        </xdr:graphicFrame>
      </mc:Choice>
      <mc:Fallback xmlns="">
        <xdr:sp macro="" textlink="">
          <xdr:nvSpPr>
            <xdr:cNvPr id="0" name=""/>
            <xdr:cNvSpPr>
              <a:spLocks noTextEdit="1"/>
            </xdr:cNvSpPr>
          </xdr:nvSpPr>
          <xdr:spPr>
            <a:xfrm>
              <a:off x="387347" y="6193363"/>
              <a:ext cx="3067051" cy="130492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156465</xdr:colOff>
      <xdr:row>7</xdr:row>
      <xdr:rowOff>63388</xdr:rowOff>
    </xdr:from>
    <xdr:to>
      <xdr:col>7</xdr:col>
      <xdr:colOff>585741</xdr:colOff>
      <xdr:row>8</xdr:row>
      <xdr:rowOff>253092</xdr:rowOff>
    </xdr:to>
    <xdr:pic>
      <xdr:nvPicPr>
        <xdr:cNvPr id="2" name="Picture 1">
          <a:extLst>
            <a:ext uri="{FF2B5EF4-FFF2-40B4-BE49-F238E27FC236}">
              <a16:creationId xmlns:a16="http://schemas.microsoft.com/office/drawing/2014/main" id="{AF97BB70-B797-4531-834D-94AC375534C5}"/>
            </a:ext>
          </a:extLst>
        </xdr:cNvPr>
        <xdr:cNvPicPr>
          <a:picLocks noChangeAspect="1"/>
        </xdr:cNvPicPr>
      </xdr:nvPicPr>
      <xdr:blipFill>
        <a:blip xmlns:r="http://schemas.openxmlformats.org/officeDocument/2006/relationships" r:embed="rId1" cstate="print">
          <a:duotone>
            <a:prstClr val="black"/>
            <a:schemeClr val="accent5">
              <a:tint val="45000"/>
              <a:satMod val="400000"/>
            </a:schemeClr>
          </a:duotone>
          <a:extLst>
            <a:ext uri="{BEBA8EAE-BF5A-486C-A8C5-ECC9F3942E4B}">
              <a14:imgProps xmlns:a14="http://schemas.microsoft.com/office/drawing/2010/main">
                <a14:imgLayer r:embed="rId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4690365" y="2196988"/>
          <a:ext cx="429276" cy="427829"/>
        </a:xfrm>
        <a:prstGeom prst="rect">
          <a:avLst/>
        </a:prstGeom>
      </xdr:spPr>
    </xdr:pic>
    <xdr:clientData/>
  </xdr:twoCellAnchor>
  <xdr:twoCellAnchor editAs="oneCell">
    <xdr:from>
      <xdr:col>8</xdr:col>
      <xdr:colOff>338920</xdr:colOff>
      <xdr:row>7</xdr:row>
      <xdr:rowOff>72316</xdr:rowOff>
    </xdr:from>
    <xdr:to>
      <xdr:col>8</xdr:col>
      <xdr:colOff>762000</xdr:colOff>
      <xdr:row>8</xdr:row>
      <xdr:rowOff>252603</xdr:rowOff>
    </xdr:to>
    <xdr:pic>
      <xdr:nvPicPr>
        <xdr:cNvPr id="3" name="Picture 2">
          <a:extLst>
            <a:ext uri="{FF2B5EF4-FFF2-40B4-BE49-F238E27FC236}">
              <a16:creationId xmlns:a16="http://schemas.microsoft.com/office/drawing/2014/main" id="{4E3E7F25-B4DA-448B-B482-45C92497C8F3}"/>
            </a:ext>
          </a:extLst>
        </xdr:cNvPr>
        <xdr:cNvPicPr>
          <a:picLocks noChangeAspect="1"/>
        </xdr:cNvPicPr>
      </xdr:nvPicPr>
      <xdr:blipFill>
        <a:blip xmlns:r="http://schemas.openxmlformats.org/officeDocument/2006/relationships" r:embed="rId3" cstate="print">
          <a:duotone>
            <a:prstClr val="black"/>
            <a:schemeClr val="accent1">
              <a:tint val="45000"/>
              <a:satMod val="400000"/>
            </a:schemeClr>
          </a:duotone>
          <a:extLst>
            <a:ext uri="{BEBA8EAE-BF5A-486C-A8C5-ECC9F3942E4B}">
              <a14:imgProps xmlns:a14="http://schemas.microsoft.com/office/drawing/2010/main">
                <a14:imgLayer r:embed="rId4">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5701495" y="2205916"/>
          <a:ext cx="423080" cy="418412"/>
        </a:xfrm>
        <a:prstGeom prst="rect">
          <a:avLst/>
        </a:prstGeom>
      </xdr:spPr>
    </xdr:pic>
    <xdr:clientData/>
  </xdr:twoCellAnchor>
  <xdr:twoCellAnchor editAs="oneCell">
    <xdr:from>
      <xdr:col>11</xdr:col>
      <xdr:colOff>211886</xdr:colOff>
      <xdr:row>4</xdr:row>
      <xdr:rowOff>13681</xdr:rowOff>
    </xdr:from>
    <xdr:to>
      <xdr:col>11</xdr:col>
      <xdr:colOff>669195</xdr:colOff>
      <xdr:row>4</xdr:row>
      <xdr:rowOff>446301</xdr:rowOff>
    </xdr:to>
    <xdr:pic>
      <xdr:nvPicPr>
        <xdr:cNvPr id="4" name="Picture 3">
          <a:extLst>
            <a:ext uri="{FF2B5EF4-FFF2-40B4-BE49-F238E27FC236}">
              <a16:creationId xmlns:a16="http://schemas.microsoft.com/office/drawing/2014/main" id="{22285AD7-70BF-48AF-82F9-36F6C107FBB8}"/>
            </a:ext>
          </a:extLst>
        </xdr:cNvPr>
        <xdr:cNvPicPr>
          <a:picLocks noChangeAspect="1"/>
        </xdr:cNvPicPr>
      </xdr:nvPicPr>
      <xdr:blipFill>
        <a:blip xmlns:r="http://schemas.openxmlformats.org/officeDocument/2006/relationships" r:embed="rId3" cstate="print">
          <a:duotone>
            <a:prstClr val="black"/>
            <a:schemeClr val="accent1">
              <a:tint val="45000"/>
              <a:satMod val="400000"/>
            </a:schemeClr>
          </a:duotone>
          <a:extLst>
            <a:ext uri="{BEBA8EAE-BF5A-486C-A8C5-ECC9F3942E4B}">
              <a14:imgProps xmlns:a14="http://schemas.microsoft.com/office/drawing/2010/main">
                <a14:imgLayer r:embed="rId4">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7927136" y="1318606"/>
          <a:ext cx="457309" cy="432620"/>
        </a:xfrm>
        <a:prstGeom prst="rect">
          <a:avLst/>
        </a:prstGeom>
      </xdr:spPr>
    </xdr:pic>
    <xdr:clientData/>
  </xdr:twoCellAnchor>
  <xdr:twoCellAnchor>
    <xdr:from>
      <xdr:col>5</xdr:col>
      <xdr:colOff>137584</xdr:colOff>
      <xdr:row>2</xdr:row>
      <xdr:rowOff>56030</xdr:rowOff>
    </xdr:from>
    <xdr:to>
      <xdr:col>76</xdr:col>
      <xdr:colOff>178734</xdr:colOff>
      <xdr:row>24</xdr:row>
      <xdr:rowOff>145676</xdr:rowOff>
    </xdr:to>
    <xdr:sp macro="" textlink="">
      <xdr:nvSpPr>
        <xdr:cNvPr id="5" name="Rectangle 4">
          <a:extLst>
            <a:ext uri="{FF2B5EF4-FFF2-40B4-BE49-F238E27FC236}">
              <a16:creationId xmlns:a16="http://schemas.microsoft.com/office/drawing/2014/main" id="{73D31510-0265-4271-898C-CC353242544C}"/>
            </a:ext>
          </a:extLst>
        </xdr:cNvPr>
        <xdr:cNvSpPr/>
      </xdr:nvSpPr>
      <xdr:spPr>
        <a:xfrm>
          <a:off x="3261784" y="970430"/>
          <a:ext cx="48675800" cy="6223746"/>
        </a:xfrm>
        <a:prstGeom prst="rect">
          <a:avLst/>
        </a:prstGeom>
        <a:noFill/>
        <a:ln w="19050">
          <a:solidFill>
            <a:schemeClr val="accent3">
              <a:lumMod val="7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15</xdr:col>
      <xdr:colOff>161868</xdr:colOff>
      <xdr:row>1</xdr:row>
      <xdr:rowOff>44823</xdr:rowOff>
    </xdr:from>
    <xdr:ext cx="3715368" cy="414225"/>
    <xdr:sp macro="" textlink="">
      <xdr:nvSpPr>
        <xdr:cNvPr id="6" name="TextBox 5">
          <a:extLst>
            <a:ext uri="{FF2B5EF4-FFF2-40B4-BE49-F238E27FC236}">
              <a16:creationId xmlns:a16="http://schemas.microsoft.com/office/drawing/2014/main" id="{1F6BC029-9AFE-4ACA-9CBC-40E196259560}"/>
            </a:ext>
          </a:extLst>
        </xdr:cNvPr>
        <xdr:cNvSpPr txBox="1"/>
      </xdr:nvSpPr>
      <xdr:spPr>
        <a:xfrm>
          <a:off x="10810818" y="759198"/>
          <a:ext cx="3715368" cy="414225"/>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400" b="1">
              <a:solidFill>
                <a:schemeClr val="bg1"/>
              </a:solidFill>
            </a:rPr>
            <a:t>ORE-EURO</a:t>
          </a:r>
        </a:p>
      </xdr:txBody>
    </xdr:sp>
    <xdr:clientData/>
  </xdr:oneCellAnchor>
  <xdr:twoCellAnchor>
    <xdr:from>
      <xdr:col>27</xdr:col>
      <xdr:colOff>934413</xdr:colOff>
      <xdr:row>6</xdr:row>
      <xdr:rowOff>23961</xdr:rowOff>
    </xdr:from>
    <xdr:to>
      <xdr:col>29</xdr:col>
      <xdr:colOff>511738</xdr:colOff>
      <xdr:row>7</xdr:row>
      <xdr:rowOff>48662</xdr:rowOff>
    </xdr:to>
    <xdr:sp macro="" textlink="">
      <xdr:nvSpPr>
        <xdr:cNvPr id="7" name="Arrow: Right 6">
          <a:extLst>
            <a:ext uri="{FF2B5EF4-FFF2-40B4-BE49-F238E27FC236}">
              <a16:creationId xmlns:a16="http://schemas.microsoft.com/office/drawing/2014/main" id="{C9677734-4E55-4136-91C7-86189A6CFEC3}"/>
            </a:ext>
          </a:extLst>
        </xdr:cNvPr>
        <xdr:cNvSpPr/>
      </xdr:nvSpPr>
      <xdr:spPr>
        <a:xfrm rot="2338978">
          <a:off x="22222788" y="1890861"/>
          <a:ext cx="1396600" cy="291401"/>
        </a:xfrm>
        <a:prstGeom prst="rightArrow">
          <a:avLst>
            <a:gd name="adj1" fmla="val 50000"/>
            <a:gd name="adj2" fmla="val 94091"/>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466725</xdr:colOff>
      <xdr:row>7</xdr:row>
      <xdr:rowOff>187178</xdr:rowOff>
    </xdr:from>
    <xdr:to>
      <xdr:col>75</xdr:col>
      <xdr:colOff>414617</xdr:colOff>
      <xdr:row>19</xdr:row>
      <xdr:rowOff>187218</xdr:rowOff>
    </xdr:to>
    <xdr:grpSp>
      <xdr:nvGrpSpPr>
        <xdr:cNvPr id="8" name="Group 7">
          <a:extLst>
            <a:ext uri="{FF2B5EF4-FFF2-40B4-BE49-F238E27FC236}">
              <a16:creationId xmlns:a16="http://schemas.microsoft.com/office/drawing/2014/main" id="{C1D99965-0435-4652-B8E9-0C9BEC910186}"/>
            </a:ext>
          </a:extLst>
        </xdr:cNvPr>
        <xdr:cNvGrpSpPr/>
      </xdr:nvGrpSpPr>
      <xdr:grpSpPr>
        <a:xfrm>
          <a:off x="22659975" y="3031071"/>
          <a:ext cx="28114678" cy="3088861"/>
          <a:chOff x="19837978" y="188542"/>
          <a:chExt cx="26470840" cy="2531460"/>
        </a:xfrm>
      </xdr:grpSpPr>
      <xdr:sp macro="" textlink="">
        <xdr:nvSpPr>
          <xdr:cNvPr id="9" name="Arrow: Pentagon 8">
            <a:extLst>
              <a:ext uri="{FF2B5EF4-FFF2-40B4-BE49-F238E27FC236}">
                <a16:creationId xmlns:a16="http://schemas.microsoft.com/office/drawing/2014/main" id="{3269F414-AA14-40B0-84D4-139012B06389}"/>
              </a:ext>
            </a:extLst>
          </xdr:cNvPr>
          <xdr:cNvSpPr/>
        </xdr:nvSpPr>
        <xdr:spPr>
          <a:xfrm rot="5400000">
            <a:off x="24997064" y="2184689"/>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0" name="Arrow: Notched Right 9">
            <a:extLst>
              <a:ext uri="{FF2B5EF4-FFF2-40B4-BE49-F238E27FC236}">
                <a16:creationId xmlns:a16="http://schemas.microsoft.com/office/drawing/2014/main" id="{40D5AE85-1396-4117-A475-7B4E3C99EDD0}"/>
              </a:ext>
            </a:extLst>
          </xdr:cNvPr>
          <xdr:cNvSpPr/>
        </xdr:nvSpPr>
        <xdr:spPr>
          <a:xfrm>
            <a:off x="20244953" y="510885"/>
            <a:ext cx="26063865" cy="545523"/>
          </a:xfrm>
          <a:prstGeom prst="notchedRightArrow">
            <a:avLst>
              <a:gd name="adj1" fmla="val 42937"/>
              <a:gd name="adj2" fmla="val 160417"/>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1" name="Arrow: Pentagon 10">
            <a:extLst>
              <a:ext uri="{FF2B5EF4-FFF2-40B4-BE49-F238E27FC236}">
                <a16:creationId xmlns:a16="http://schemas.microsoft.com/office/drawing/2014/main" id="{9FE3101C-54DB-4771-A44A-7B26483008F6}"/>
              </a:ext>
            </a:extLst>
          </xdr:cNvPr>
          <xdr:cNvSpPr/>
        </xdr:nvSpPr>
        <xdr:spPr>
          <a:xfrm rot="5400000">
            <a:off x="20755841" y="974148"/>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2" name="TextBox 11">
            <a:extLst>
              <a:ext uri="{FF2B5EF4-FFF2-40B4-BE49-F238E27FC236}">
                <a16:creationId xmlns:a16="http://schemas.microsoft.com/office/drawing/2014/main" id="{47E67931-7981-4319-81DD-757F6907FCB7}"/>
              </a:ext>
            </a:extLst>
          </xdr:cNvPr>
          <xdr:cNvSpPr txBox="1"/>
        </xdr:nvSpPr>
        <xdr:spPr>
          <a:xfrm>
            <a:off x="20591317" y="259773"/>
            <a:ext cx="597478"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GEN</a:t>
            </a:r>
          </a:p>
        </xdr:txBody>
      </xdr:sp>
      <xdr:sp macro="" textlink="">
        <xdr:nvSpPr>
          <xdr:cNvPr id="13" name="TextBox 12">
            <a:extLst>
              <a:ext uri="{FF2B5EF4-FFF2-40B4-BE49-F238E27FC236}">
                <a16:creationId xmlns:a16="http://schemas.microsoft.com/office/drawing/2014/main" id="{610440FC-92A4-45F3-B369-9B3D455B809C}"/>
              </a:ext>
            </a:extLst>
          </xdr:cNvPr>
          <xdr:cNvSpPr txBox="1"/>
        </xdr:nvSpPr>
        <xdr:spPr>
          <a:xfrm>
            <a:off x="19837978" y="1220932"/>
            <a:ext cx="2095382" cy="843821"/>
          </a:xfrm>
          <a:prstGeom prst="rect">
            <a:avLst/>
          </a:prstGeom>
          <a:no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baseline="0">
                <a:solidFill>
                  <a:schemeClr val="tx1"/>
                </a:solidFill>
                <a:effectLst/>
                <a:latin typeface="+mn-lt"/>
                <a:ea typeface="+mn-ea"/>
                <a:cs typeface="+mn-cs"/>
              </a:rPr>
              <a:t>Q1</a:t>
            </a:r>
            <a:r>
              <a:rPr lang="en-US" sz="1100" baseline="0">
                <a:solidFill>
                  <a:schemeClr val="tx1"/>
                </a:solidFill>
                <a:effectLst/>
                <a:latin typeface="+mn-lt"/>
                <a:ea typeface="+mn-ea"/>
                <a:cs typeface="+mn-cs"/>
              </a:rPr>
              <a:t> = </a:t>
            </a:r>
            <a:r>
              <a:rPr lang="en-US" sz="1100" b="0" baseline="0">
                <a:solidFill>
                  <a:schemeClr val="tx1"/>
                </a:solidFill>
                <a:effectLst/>
                <a:latin typeface="+mn-lt"/>
                <a:ea typeface="+mn-ea"/>
                <a:cs typeface="+mn-cs"/>
              </a:rPr>
              <a:t>PIAN(GEN-FEB-MAR)</a:t>
            </a:r>
            <a:endParaRPr lang="en-US">
              <a:effectLst/>
            </a:endParaRPr>
          </a:p>
          <a:p>
            <a:r>
              <a:rPr lang="en-US" sz="1200" b="1" baseline="0">
                <a:solidFill>
                  <a:schemeClr val="tx1"/>
                </a:solidFill>
                <a:effectLst/>
                <a:latin typeface="+mn-lt"/>
                <a:ea typeface="+mn-ea"/>
                <a:cs typeface="+mn-cs"/>
              </a:rPr>
              <a:t>Q2</a:t>
            </a:r>
            <a:r>
              <a:rPr lang="en-US" sz="1100" b="0" baseline="0">
                <a:solidFill>
                  <a:schemeClr val="tx1"/>
                </a:solidFill>
                <a:effectLst/>
                <a:latin typeface="+mn-lt"/>
                <a:ea typeface="+mn-ea"/>
                <a:cs typeface="+mn-cs"/>
              </a:rPr>
              <a:t> = Q1 + PIAN(APR-MAG-GIU)</a:t>
            </a:r>
            <a:endParaRPr lang="en-US">
              <a:effectLst/>
            </a:endParaRPr>
          </a:p>
          <a:p>
            <a:r>
              <a:rPr lang="en-US" sz="1200" b="1" baseline="0">
                <a:solidFill>
                  <a:schemeClr val="tx1"/>
                </a:solidFill>
                <a:effectLst/>
                <a:latin typeface="+mn-lt"/>
                <a:ea typeface="+mn-ea"/>
                <a:cs typeface="+mn-cs"/>
              </a:rPr>
              <a:t>Q3</a:t>
            </a:r>
            <a:r>
              <a:rPr lang="en-US" sz="1100" b="0" baseline="0">
                <a:solidFill>
                  <a:schemeClr val="tx1"/>
                </a:solidFill>
                <a:effectLst/>
                <a:latin typeface="+mn-lt"/>
                <a:ea typeface="+mn-ea"/>
                <a:cs typeface="+mn-cs"/>
              </a:rPr>
              <a:t> = Q2 + PIAN(LUG-AGO-SET)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Q3 + PIAN(OTT-NOV-DIC) </a:t>
            </a:r>
            <a:endParaRPr lang="en-US">
              <a:effectLst/>
            </a:endParaRPr>
          </a:p>
        </xdr:txBody>
      </xdr:sp>
      <xdr:sp macro="" textlink="">
        <xdr:nvSpPr>
          <xdr:cNvPr id="14" name="Arrow: Pentagon 13">
            <a:extLst>
              <a:ext uri="{FF2B5EF4-FFF2-40B4-BE49-F238E27FC236}">
                <a16:creationId xmlns:a16="http://schemas.microsoft.com/office/drawing/2014/main" id="{CB4C6F60-31CB-4997-8F8C-701D29A85C24}"/>
              </a:ext>
            </a:extLst>
          </xdr:cNvPr>
          <xdr:cNvSpPr/>
        </xdr:nvSpPr>
        <xdr:spPr>
          <a:xfrm rot="5400000">
            <a:off x="22908491" y="970684"/>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5" name="TextBox 14">
            <a:extLst>
              <a:ext uri="{FF2B5EF4-FFF2-40B4-BE49-F238E27FC236}">
                <a16:creationId xmlns:a16="http://schemas.microsoft.com/office/drawing/2014/main" id="{474226EE-9795-4DF8-B909-D68B407B3027}"/>
              </a:ext>
            </a:extLst>
          </xdr:cNvPr>
          <xdr:cNvSpPr txBox="1"/>
        </xdr:nvSpPr>
        <xdr:spPr>
          <a:xfrm>
            <a:off x="22752628" y="247650"/>
            <a:ext cx="600941"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FEB</a:t>
            </a:r>
          </a:p>
        </xdr:txBody>
      </xdr:sp>
      <xdr:sp macro="" textlink="">
        <xdr:nvSpPr>
          <xdr:cNvPr id="16" name="TextBox 15">
            <a:extLst>
              <a:ext uri="{FF2B5EF4-FFF2-40B4-BE49-F238E27FC236}">
                <a16:creationId xmlns:a16="http://schemas.microsoft.com/office/drawing/2014/main" id="{9A5C44C6-8C56-49A7-ABAF-B38683EFED99}"/>
              </a:ext>
            </a:extLst>
          </xdr:cNvPr>
          <xdr:cNvSpPr txBox="1"/>
        </xdr:nvSpPr>
        <xdr:spPr>
          <a:xfrm>
            <a:off x="22016605" y="1217469"/>
            <a:ext cx="1993110" cy="843821"/>
          </a:xfrm>
          <a:prstGeom prst="rect">
            <a:avLst/>
          </a:prstGeom>
          <a:no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baseline="0">
                <a:solidFill>
                  <a:schemeClr val="tx1"/>
                </a:solidFill>
                <a:effectLst/>
                <a:latin typeface="+mn-lt"/>
                <a:ea typeface="+mn-ea"/>
                <a:cs typeface="+mn-cs"/>
              </a:rPr>
              <a:t>Q1</a:t>
            </a:r>
            <a:r>
              <a:rPr lang="en-US" sz="1100" baseline="0">
                <a:solidFill>
                  <a:schemeClr val="tx1"/>
                </a:solidFill>
                <a:effectLst/>
                <a:latin typeface="+mn-lt"/>
                <a:ea typeface="+mn-ea"/>
                <a:cs typeface="+mn-cs"/>
              </a:rPr>
              <a:t> = ACT</a:t>
            </a:r>
            <a:r>
              <a:rPr lang="en-US" sz="1100" b="0" baseline="0">
                <a:solidFill>
                  <a:schemeClr val="tx1"/>
                </a:solidFill>
                <a:effectLst/>
                <a:latin typeface="+mn-lt"/>
                <a:ea typeface="+mn-ea"/>
                <a:cs typeface="+mn-cs"/>
              </a:rPr>
              <a:t> + PIAN(FEB-MAR)</a:t>
            </a:r>
            <a:endParaRPr lang="en-US">
              <a:effectLst/>
            </a:endParaRPr>
          </a:p>
          <a:p>
            <a:r>
              <a:rPr lang="en-US" sz="1200" b="1" baseline="0">
                <a:solidFill>
                  <a:schemeClr val="tx1"/>
                </a:solidFill>
                <a:effectLst/>
                <a:latin typeface="+mn-lt"/>
                <a:ea typeface="+mn-ea"/>
                <a:cs typeface="+mn-cs"/>
              </a:rPr>
              <a:t>Q2</a:t>
            </a:r>
            <a:r>
              <a:rPr lang="en-US" sz="1100" b="0" baseline="0">
                <a:solidFill>
                  <a:schemeClr val="tx1"/>
                </a:solidFill>
                <a:effectLst/>
                <a:latin typeface="+mn-lt"/>
                <a:ea typeface="+mn-ea"/>
                <a:cs typeface="+mn-cs"/>
              </a:rPr>
              <a:t> = Q1 + PIAN(APR-MAG-GIU)</a:t>
            </a:r>
            <a:endParaRPr lang="en-US">
              <a:effectLst/>
            </a:endParaRPr>
          </a:p>
          <a:p>
            <a:r>
              <a:rPr lang="en-US" sz="1200" b="1" baseline="0">
                <a:solidFill>
                  <a:schemeClr val="tx1"/>
                </a:solidFill>
                <a:effectLst/>
                <a:latin typeface="+mn-lt"/>
                <a:ea typeface="+mn-ea"/>
                <a:cs typeface="+mn-cs"/>
              </a:rPr>
              <a:t>Q3</a:t>
            </a:r>
            <a:r>
              <a:rPr lang="en-US" sz="1100" b="0" baseline="0">
                <a:solidFill>
                  <a:schemeClr val="tx1"/>
                </a:solidFill>
                <a:effectLst/>
                <a:latin typeface="+mn-lt"/>
                <a:ea typeface="+mn-ea"/>
                <a:cs typeface="+mn-cs"/>
              </a:rPr>
              <a:t> = Q2 + PIAN(LUG-AGO-SET)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Q3 + PIAN(OTT-NOV-DIC) </a:t>
            </a:r>
            <a:endParaRPr lang="en-US">
              <a:effectLst/>
            </a:endParaRPr>
          </a:p>
        </xdr:txBody>
      </xdr:sp>
      <xdr:sp macro="" textlink="">
        <xdr:nvSpPr>
          <xdr:cNvPr id="17" name="Arrow: Pentagon 16">
            <a:extLst>
              <a:ext uri="{FF2B5EF4-FFF2-40B4-BE49-F238E27FC236}">
                <a16:creationId xmlns:a16="http://schemas.microsoft.com/office/drawing/2014/main" id="{1AB2CF56-7BC9-4A90-AC7F-5838D7744918}"/>
              </a:ext>
            </a:extLst>
          </xdr:cNvPr>
          <xdr:cNvSpPr/>
        </xdr:nvSpPr>
        <xdr:spPr>
          <a:xfrm rot="5400000">
            <a:off x="24991868" y="967221"/>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18" name="TextBox 17">
            <a:extLst>
              <a:ext uri="{FF2B5EF4-FFF2-40B4-BE49-F238E27FC236}">
                <a16:creationId xmlns:a16="http://schemas.microsoft.com/office/drawing/2014/main" id="{E5FEC543-4C95-4C4C-876C-39827B51DD55}"/>
              </a:ext>
            </a:extLst>
          </xdr:cNvPr>
          <xdr:cNvSpPr txBox="1"/>
        </xdr:nvSpPr>
        <xdr:spPr>
          <a:xfrm>
            <a:off x="24792710" y="244187"/>
            <a:ext cx="600941"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MAR</a:t>
            </a:r>
          </a:p>
        </xdr:txBody>
      </xdr:sp>
      <xdr:sp macro="" textlink="">
        <xdr:nvSpPr>
          <xdr:cNvPr id="19" name="TextBox 18">
            <a:extLst>
              <a:ext uri="{FF2B5EF4-FFF2-40B4-BE49-F238E27FC236}">
                <a16:creationId xmlns:a16="http://schemas.microsoft.com/office/drawing/2014/main" id="{2C850112-A571-4F47-8662-6A5CB31A25CA}"/>
              </a:ext>
            </a:extLst>
          </xdr:cNvPr>
          <xdr:cNvSpPr txBox="1"/>
        </xdr:nvSpPr>
        <xdr:spPr>
          <a:xfrm>
            <a:off x="24099982" y="1214006"/>
            <a:ext cx="1993110" cy="843821"/>
          </a:xfrm>
          <a:prstGeom prst="rect">
            <a:avLst/>
          </a:prstGeom>
          <a:no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u="sng" baseline="0">
                <a:solidFill>
                  <a:schemeClr val="tx1"/>
                </a:solidFill>
                <a:effectLst/>
                <a:latin typeface="+mn-lt"/>
                <a:ea typeface="+mn-ea"/>
                <a:cs typeface="+mn-cs"/>
              </a:rPr>
              <a:t>Q1</a:t>
            </a:r>
            <a:r>
              <a:rPr lang="en-US" sz="1100" u="sng" baseline="0">
                <a:solidFill>
                  <a:schemeClr val="tx1"/>
                </a:solidFill>
                <a:effectLst/>
                <a:latin typeface="+mn-lt"/>
                <a:ea typeface="+mn-ea"/>
                <a:cs typeface="+mn-cs"/>
              </a:rPr>
              <a:t> = ACT </a:t>
            </a:r>
            <a:r>
              <a:rPr lang="en-US" sz="1100" b="0" u="sng" baseline="0">
                <a:solidFill>
                  <a:schemeClr val="tx1"/>
                </a:solidFill>
                <a:effectLst/>
                <a:latin typeface="+mn-lt"/>
                <a:ea typeface="+mn-ea"/>
                <a:cs typeface="+mn-cs"/>
              </a:rPr>
              <a:t>+ PIAN(MAR)</a:t>
            </a:r>
          </a:p>
          <a:p>
            <a:r>
              <a:rPr lang="en-US" sz="1200" b="1" baseline="0">
                <a:solidFill>
                  <a:schemeClr val="tx1"/>
                </a:solidFill>
                <a:effectLst/>
                <a:latin typeface="+mn-lt"/>
                <a:ea typeface="+mn-ea"/>
                <a:cs typeface="+mn-cs"/>
              </a:rPr>
              <a:t>Q2</a:t>
            </a:r>
            <a:r>
              <a:rPr lang="en-US" sz="1100" b="0" baseline="0">
                <a:solidFill>
                  <a:schemeClr val="tx1"/>
                </a:solidFill>
                <a:effectLst/>
                <a:latin typeface="+mn-lt"/>
                <a:ea typeface="+mn-ea"/>
                <a:cs typeface="+mn-cs"/>
              </a:rPr>
              <a:t> = Q1 + PIAN(APR-MAG-GIU)</a:t>
            </a:r>
            <a:endParaRPr lang="en-US">
              <a:effectLst/>
            </a:endParaRPr>
          </a:p>
          <a:p>
            <a:r>
              <a:rPr lang="en-US" sz="1200" b="1" baseline="0">
                <a:solidFill>
                  <a:schemeClr val="tx1"/>
                </a:solidFill>
                <a:effectLst/>
                <a:latin typeface="+mn-lt"/>
                <a:ea typeface="+mn-ea"/>
                <a:cs typeface="+mn-cs"/>
              </a:rPr>
              <a:t>Q3</a:t>
            </a:r>
            <a:r>
              <a:rPr lang="en-US" sz="1100" b="0" baseline="0">
                <a:solidFill>
                  <a:schemeClr val="tx1"/>
                </a:solidFill>
                <a:effectLst/>
                <a:latin typeface="+mn-lt"/>
                <a:ea typeface="+mn-ea"/>
                <a:cs typeface="+mn-cs"/>
              </a:rPr>
              <a:t> = Q2 + PIAN(LUG-AGO-SET)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Q3 + PIAN(OTT-NOV-DIC) </a:t>
            </a:r>
            <a:endParaRPr lang="en-US">
              <a:effectLst/>
            </a:endParaRPr>
          </a:p>
        </xdr:txBody>
      </xdr:sp>
      <xdr:sp macro="" textlink="">
        <xdr:nvSpPr>
          <xdr:cNvPr id="20" name="TextBox 19">
            <a:extLst>
              <a:ext uri="{FF2B5EF4-FFF2-40B4-BE49-F238E27FC236}">
                <a16:creationId xmlns:a16="http://schemas.microsoft.com/office/drawing/2014/main" id="{55E8F298-B931-4F52-920A-5148BA20AB66}"/>
              </a:ext>
            </a:extLst>
          </xdr:cNvPr>
          <xdr:cNvSpPr txBox="1"/>
        </xdr:nvSpPr>
        <xdr:spPr>
          <a:xfrm>
            <a:off x="24212551" y="2365665"/>
            <a:ext cx="1825335"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CONGELARE Q1</a:t>
            </a:r>
          </a:p>
        </xdr:txBody>
      </xdr:sp>
      <xdr:sp macro="" textlink="">
        <xdr:nvSpPr>
          <xdr:cNvPr id="21" name="Arrow: Pentagon 20">
            <a:extLst>
              <a:ext uri="{FF2B5EF4-FFF2-40B4-BE49-F238E27FC236}">
                <a16:creationId xmlns:a16="http://schemas.microsoft.com/office/drawing/2014/main" id="{83562324-129A-4F79-9564-200EAD6E7CE6}"/>
              </a:ext>
            </a:extLst>
          </xdr:cNvPr>
          <xdr:cNvSpPr/>
        </xdr:nvSpPr>
        <xdr:spPr>
          <a:xfrm rot="5400000">
            <a:off x="27099491" y="962025"/>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AE27C8FB-944F-4B0B-958F-804EC4A54E86}"/>
              </a:ext>
            </a:extLst>
          </xdr:cNvPr>
          <xdr:cNvSpPr txBox="1"/>
        </xdr:nvSpPr>
        <xdr:spPr>
          <a:xfrm>
            <a:off x="26934967" y="247650"/>
            <a:ext cx="597478"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APR</a:t>
            </a:r>
          </a:p>
        </xdr:txBody>
      </xdr:sp>
      <xdr:sp macro="" textlink="">
        <xdr:nvSpPr>
          <xdr:cNvPr id="23" name="TextBox 22">
            <a:extLst>
              <a:ext uri="{FF2B5EF4-FFF2-40B4-BE49-F238E27FC236}">
                <a16:creationId xmlns:a16="http://schemas.microsoft.com/office/drawing/2014/main" id="{24E99D40-FE10-46A0-BDCA-1349B8CFA08F}"/>
              </a:ext>
            </a:extLst>
          </xdr:cNvPr>
          <xdr:cNvSpPr txBox="1"/>
        </xdr:nvSpPr>
        <xdr:spPr>
          <a:xfrm>
            <a:off x="26181628" y="1208809"/>
            <a:ext cx="2094612" cy="843821"/>
          </a:xfrm>
          <a:prstGeom prst="rect">
            <a:avLst/>
          </a:prstGeom>
          <a:no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baseline="0">
                <a:solidFill>
                  <a:schemeClr val="tx2">
                    <a:lumMod val="60000"/>
                    <a:lumOff val="40000"/>
                  </a:schemeClr>
                </a:solidFill>
                <a:effectLst/>
                <a:latin typeface="+mn-lt"/>
                <a:ea typeface="+mn-ea"/>
                <a:cs typeface="+mn-cs"/>
              </a:rPr>
              <a:t>Q1</a:t>
            </a:r>
            <a:r>
              <a:rPr lang="en-US" sz="110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b="1">
              <a:solidFill>
                <a:schemeClr val="tx2">
                  <a:lumMod val="60000"/>
                  <a:lumOff val="40000"/>
                </a:schemeClr>
              </a:solidFill>
              <a:effectLst/>
            </a:endParaRPr>
          </a:p>
          <a:p>
            <a:r>
              <a:rPr lang="en-US" sz="1200" b="1" baseline="0">
                <a:solidFill>
                  <a:schemeClr val="tx1"/>
                </a:solidFill>
                <a:effectLst/>
                <a:latin typeface="+mn-lt"/>
                <a:ea typeface="+mn-ea"/>
                <a:cs typeface="+mn-cs"/>
              </a:rPr>
              <a:t>Q2</a:t>
            </a:r>
            <a:r>
              <a:rPr lang="en-US" sz="1100" b="0" baseline="0">
                <a:solidFill>
                  <a:schemeClr val="tx1"/>
                </a:solidFill>
                <a:effectLst/>
                <a:latin typeface="+mn-lt"/>
                <a:ea typeface="+mn-ea"/>
                <a:cs typeface="+mn-cs"/>
              </a:rPr>
              <a:t> = ACT + PIAN(APR-MAG-GIU)</a:t>
            </a:r>
            <a:endParaRPr lang="en-US">
              <a:effectLst/>
            </a:endParaRPr>
          </a:p>
          <a:p>
            <a:r>
              <a:rPr lang="en-US" sz="1200" b="1" baseline="0">
                <a:solidFill>
                  <a:schemeClr val="tx1"/>
                </a:solidFill>
                <a:effectLst/>
                <a:latin typeface="+mn-lt"/>
                <a:ea typeface="+mn-ea"/>
                <a:cs typeface="+mn-cs"/>
              </a:rPr>
              <a:t>Q3</a:t>
            </a:r>
            <a:r>
              <a:rPr lang="en-US" sz="1100" b="0" baseline="0">
                <a:solidFill>
                  <a:schemeClr val="tx1"/>
                </a:solidFill>
                <a:effectLst/>
                <a:latin typeface="+mn-lt"/>
                <a:ea typeface="+mn-ea"/>
                <a:cs typeface="+mn-cs"/>
              </a:rPr>
              <a:t> = Q2 + PIAN(LUG-AGO-SET)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Q3 + PIAN(OTT-NOV-DIC) </a:t>
            </a:r>
            <a:endParaRPr lang="en-US">
              <a:effectLst/>
            </a:endParaRPr>
          </a:p>
        </xdr:txBody>
      </xdr:sp>
      <xdr:sp macro="" textlink="">
        <xdr:nvSpPr>
          <xdr:cNvPr id="24" name="Arrow: Pentagon 23">
            <a:extLst>
              <a:ext uri="{FF2B5EF4-FFF2-40B4-BE49-F238E27FC236}">
                <a16:creationId xmlns:a16="http://schemas.microsoft.com/office/drawing/2014/main" id="{2C25C62A-EA21-411E-A212-B8BFF105F5C9}"/>
              </a:ext>
            </a:extLst>
          </xdr:cNvPr>
          <xdr:cNvSpPr/>
        </xdr:nvSpPr>
        <xdr:spPr>
          <a:xfrm rot="5400000">
            <a:off x="29252141" y="958561"/>
            <a:ext cx="246784" cy="116898"/>
          </a:xfrm>
          <a:prstGeom prst="homePlate">
            <a:avLst/>
          </a:prstGeom>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5" name="TextBox 24">
            <a:extLst>
              <a:ext uri="{FF2B5EF4-FFF2-40B4-BE49-F238E27FC236}">
                <a16:creationId xmlns:a16="http://schemas.microsoft.com/office/drawing/2014/main" id="{32B047B5-0D33-4163-9946-16917B019962}"/>
              </a:ext>
            </a:extLst>
          </xdr:cNvPr>
          <xdr:cNvSpPr txBox="1"/>
        </xdr:nvSpPr>
        <xdr:spPr>
          <a:xfrm>
            <a:off x="28306569" y="1205346"/>
            <a:ext cx="2104158" cy="843821"/>
          </a:xfrm>
          <a:prstGeom prst="rect">
            <a:avLst/>
          </a:prstGeom>
          <a:solidFill>
            <a:schemeClr val="bg1"/>
          </a:solidFill>
          <a:ln>
            <a:solidFill>
              <a:schemeClr val="accent3"/>
            </a:solidFill>
          </a:ln>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baseline="0">
                <a:solidFill>
                  <a:schemeClr val="tx2">
                    <a:lumMod val="60000"/>
                    <a:lumOff val="40000"/>
                  </a:schemeClr>
                </a:solidFill>
                <a:effectLst/>
                <a:latin typeface="+mn-lt"/>
                <a:ea typeface="+mn-ea"/>
                <a:cs typeface="+mn-cs"/>
              </a:rPr>
              <a:t>Q1</a:t>
            </a:r>
            <a:r>
              <a:rPr lang="en-US" sz="110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p>
          <a:p>
            <a:r>
              <a:rPr lang="en-US" sz="1200" b="1" baseline="0">
                <a:solidFill>
                  <a:sysClr val="windowText" lastClr="000000"/>
                </a:solidFill>
                <a:effectLst/>
                <a:latin typeface="+mn-lt"/>
                <a:ea typeface="+mn-ea"/>
                <a:cs typeface="+mn-cs"/>
              </a:rPr>
              <a:t>Q2</a:t>
            </a:r>
            <a:r>
              <a:rPr lang="en-US" sz="1100" b="0" baseline="0">
                <a:solidFill>
                  <a:sysClr val="windowText" lastClr="000000"/>
                </a:solidFill>
                <a:effectLst/>
                <a:latin typeface="+mn-lt"/>
                <a:ea typeface="+mn-ea"/>
                <a:cs typeface="+mn-cs"/>
              </a:rPr>
              <a:t> = ACT +PIAN(MAG-GIU)</a:t>
            </a:r>
            <a:endParaRPr lang="en-US">
              <a:solidFill>
                <a:sysClr val="windowText" lastClr="000000"/>
              </a:solidFill>
              <a:effectLst/>
            </a:endParaRPr>
          </a:p>
          <a:p>
            <a:r>
              <a:rPr lang="en-US" sz="1200" b="1" baseline="0">
                <a:solidFill>
                  <a:sysClr val="windowText" lastClr="000000"/>
                </a:solidFill>
                <a:effectLst/>
                <a:latin typeface="+mn-lt"/>
                <a:ea typeface="+mn-ea"/>
                <a:cs typeface="+mn-cs"/>
              </a:rPr>
              <a:t>Q3</a:t>
            </a:r>
            <a:r>
              <a:rPr lang="en-US" sz="1100" b="0" baseline="0">
                <a:solidFill>
                  <a:sysClr val="windowText" lastClr="000000"/>
                </a:solidFill>
                <a:effectLst/>
                <a:latin typeface="+mn-lt"/>
                <a:ea typeface="+mn-ea"/>
                <a:cs typeface="+mn-cs"/>
              </a:rPr>
              <a:t> = Q2 + PIAN(LUG-AGO-SET)</a:t>
            </a:r>
            <a:endParaRPr lang="en-US">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mn-lt"/>
                <a:ea typeface="+mn-ea"/>
                <a:cs typeface="+mn-cs"/>
              </a:rPr>
              <a:t>Q4</a:t>
            </a:r>
            <a:r>
              <a:rPr lang="en-US" sz="1100" b="0" baseline="0">
                <a:solidFill>
                  <a:sysClr val="windowText" lastClr="000000"/>
                </a:solidFill>
                <a:effectLst/>
                <a:latin typeface="+mn-lt"/>
                <a:ea typeface="+mn-ea"/>
                <a:cs typeface="+mn-cs"/>
              </a:rPr>
              <a:t> = Q3 + PIAN(OTT-NOV-DIC) </a:t>
            </a:r>
            <a:endParaRPr lang="en-US">
              <a:solidFill>
                <a:sysClr val="windowText" lastClr="000000"/>
              </a:solidFill>
              <a:effectLst/>
            </a:endParaRPr>
          </a:p>
        </xdr:txBody>
      </xdr:sp>
      <xdr:sp macro="" textlink="">
        <xdr:nvSpPr>
          <xdr:cNvPr id="26" name="Arrow: Pentagon 25">
            <a:extLst>
              <a:ext uri="{FF2B5EF4-FFF2-40B4-BE49-F238E27FC236}">
                <a16:creationId xmlns:a16="http://schemas.microsoft.com/office/drawing/2014/main" id="{8B5AEDB7-F63B-4FE3-AEBE-50D03E864E73}"/>
              </a:ext>
            </a:extLst>
          </xdr:cNvPr>
          <xdr:cNvSpPr/>
        </xdr:nvSpPr>
        <xdr:spPr>
          <a:xfrm rot="5400000">
            <a:off x="31335518" y="955098"/>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79C4AEAA-BC71-4574-A441-74AA80A2F2CF}"/>
              </a:ext>
            </a:extLst>
          </xdr:cNvPr>
          <xdr:cNvSpPr txBox="1"/>
        </xdr:nvSpPr>
        <xdr:spPr>
          <a:xfrm>
            <a:off x="29097145" y="188542"/>
            <a:ext cx="600941"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MAG</a:t>
            </a:r>
          </a:p>
        </xdr:txBody>
      </xdr:sp>
      <xdr:sp macro="" textlink="">
        <xdr:nvSpPr>
          <xdr:cNvPr id="28" name="TextBox 27">
            <a:extLst>
              <a:ext uri="{FF2B5EF4-FFF2-40B4-BE49-F238E27FC236}">
                <a16:creationId xmlns:a16="http://schemas.microsoft.com/office/drawing/2014/main" id="{239E3409-F1CB-4850-9213-8FCB60FC61E0}"/>
              </a:ext>
            </a:extLst>
          </xdr:cNvPr>
          <xdr:cNvSpPr txBox="1"/>
        </xdr:nvSpPr>
        <xdr:spPr>
          <a:xfrm>
            <a:off x="30464985" y="1210588"/>
            <a:ext cx="1993110" cy="843821"/>
          </a:xfrm>
          <a:prstGeom prst="rect">
            <a:avLst/>
          </a:prstGeom>
          <a:solidFill>
            <a:schemeClr val="bg1"/>
          </a:solidFill>
          <a:ln w="3175"/>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none" rtlCol="0" anchor="t">
            <a:noAutofit/>
          </a:bodyPr>
          <a:lstStyle/>
          <a:p>
            <a:r>
              <a:rPr lang="en-US" sz="1200" b="1" baseline="0">
                <a:solidFill>
                  <a:schemeClr val="bg1"/>
                </a:solidFill>
                <a:effectLst/>
                <a:latin typeface="+mn-lt"/>
                <a:ea typeface="+mn-ea"/>
                <a:cs typeface="+mn-cs"/>
              </a:rPr>
              <a:t>Q1</a:t>
            </a:r>
            <a:r>
              <a:rPr lang="en-US" sz="1100" baseline="0">
                <a:solidFill>
                  <a:schemeClr val="bg1"/>
                </a:solidFill>
                <a:effectLst/>
                <a:latin typeface="+mn-lt"/>
                <a:ea typeface="+mn-ea"/>
                <a:cs typeface="+mn-cs"/>
              </a:rPr>
              <a:t> = </a:t>
            </a:r>
            <a:r>
              <a:rPr lang="en-US" sz="1100" b="1" baseline="0">
                <a:solidFill>
                  <a:schemeClr val="bg1"/>
                </a:solidFill>
                <a:effectLst/>
                <a:latin typeface="+mn-lt"/>
                <a:ea typeface="+mn-ea"/>
                <a:cs typeface="+mn-cs"/>
              </a:rPr>
              <a:t>CONGELATO</a:t>
            </a:r>
          </a:p>
          <a:p>
            <a:r>
              <a:rPr lang="en-US" sz="1200" b="1" u="sng" baseline="0">
                <a:solidFill>
                  <a:schemeClr val="tx1"/>
                </a:solidFill>
                <a:effectLst/>
                <a:latin typeface="+mn-lt"/>
                <a:ea typeface="+mn-ea"/>
                <a:cs typeface="+mn-cs"/>
              </a:rPr>
              <a:t>Q2</a:t>
            </a:r>
            <a:r>
              <a:rPr lang="en-US" sz="1100" b="0" u="sng" baseline="0">
                <a:solidFill>
                  <a:schemeClr val="tx1"/>
                </a:solidFill>
                <a:effectLst/>
                <a:latin typeface="+mn-lt"/>
                <a:ea typeface="+mn-ea"/>
                <a:cs typeface="+mn-cs"/>
              </a:rPr>
              <a:t> = ACT + PIAN(GIU)</a:t>
            </a:r>
            <a:endParaRPr lang="en-US" u="sng">
              <a:effectLst/>
            </a:endParaRPr>
          </a:p>
          <a:p>
            <a:r>
              <a:rPr lang="en-US" sz="1200" b="1" baseline="0">
                <a:solidFill>
                  <a:schemeClr val="tx1"/>
                </a:solidFill>
                <a:effectLst/>
                <a:latin typeface="+mn-lt"/>
                <a:ea typeface="+mn-ea"/>
                <a:cs typeface="+mn-cs"/>
              </a:rPr>
              <a:t>Q3</a:t>
            </a:r>
            <a:r>
              <a:rPr lang="en-US" sz="1100" b="0" baseline="0">
                <a:solidFill>
                  <a:schemeClr val="tx1"/>
                </a:solidFill>
                <a:effectLst/>
                <a:latin typeface="+mn-lt"/>
                <a:ea typeface="+mn-ea"/>
                <a:cs typeface="+mn-cs"/>
              </a:rPr>
              <a:t> = Q2 + PIAN(LUG-AGO-SET)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Q3 + PIAN(OTT-NOV-DIC) </a:t>
            </a:r>
            <a:endParaRPr lang="en-US">
              <a:effectLst/>
            </a:endParaRPr>
          </a:p>
        </xdr:txBody>
      </xdr:sp>
      <xdr:sp macro="" textlink="">
        <xdr:nvSpPr>
          <xdr:cNvPr id="29" name="Arrow: Pentagon 28">
            <a:extLst>
              <a:ext uri="{FF2B5EF4-FFF2-40B4-BE49-F238E27FC236}">
                <a16:creationId xmlns:a16="http://schemas.microsoft.com/office/drawing/2014/main" id="{3612C5E1-8995-48F1-A7E4-01536ACE9A26}"/>
              </a:ext>
            </a:extLst>
          </xdr:cNvPr>
          <xdr:cNvSpPr/>
        </xdr:nvSpPr>
        <xdr:spPr>
          <a:xfrm rot="5400000">
            <a:off x="31340714" y="2172566"/>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EBBBA3BE-7741-4CE5-A55F-EDFF5921B238}"/>
              </a:ext>
            </a:extLst>
          </xdr:cNvPr>
          <xdr:cNvSpPr txBox="1"/>
        </xdr:nvSpPr>
        <xdr:spPr>
          <a:xfrm>
            <a:off x="30556201" y="2353542"/>
            <a:ext cx="1825335" cy="344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CONGELARE Q2</a:t>
            </a:r>
          </a:p>
        </xdr:txBody>
      </xdr:sp>
      <xdr:sp macro="" textlink="">
        <xdr:nvSpPr>
          <xdr:cNvPr id="31" name="Arrow: Pentagon 30">
            <a:extLst>
              <a:ext uri="{FF2B5EF4-FFF2-40B4-BE49-F238E27FC236}">
                <a16:creationId xmlns:a16="http://schemas.microsoft.com/office/drawing/2014/main" id="{DFBA77C6-14FB-45A6-8ACB-D95BA06252EE}"/>
              </a:ext>
            </a:extLst>
          </xdr:cNvPr>
          <xdr:cNvSpPr/>
        </xdr:nvSpPr>
        <xdr:spPr>
          <a:xfrm rot="5400000">
            <a:off x="33458727" y="967220"/>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42C56E9D-9769-4A32-9E40-141F9FBB1013}"/>
              </a:ext>
            </a:extLst>
          </xdr:cNvPr>
          <xdr:cNvSpPr txBox="1"/>
        </xdr:nvSpPr>
        <xdr:spPr>
          <a:xfrm>
            <a:off x="31201604" y="191914"/>
            <a:ext cx="597478"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GIU</a:t>
            </a:r>
          </a:p>
        </xdr:txBody>
      </xdr:sp>
      <xdr:sp macro="" textlink="">
        <xdr:nvSpPr>
          <xdr:cNvPr id="33" name="TextBox 32">
            <a:extLst>
              <a:ext uri="{FF2B5EF4-FFF2-40B4-BE49-F238E27FC236}">
                <a16:creationId xmlns:a16="http://schemas.microsoft.com/office/drawing/2014/main" id="{CB70498B-93D1-44C7-828F-8D72AA52A1CA}"/>
              </a:ext>
            </a:extLst>
          </xdr:cNvPr>
          <xdr:cNvSpPr txBox="1"/>
        </xdr:nvSpPr>
        <xdr:spPr>
          <a:xfrm>
            <a:off x="32540864" y="1214004"/>
            <a:ext cx="2094356" cy="843821"/>
          </a:xfrm>
          <a:prstGeom prst="rect">
            <a:avLst/>
          </a:prstGeom>
          <a:solidFill>
            <a:schemeClr val="bg1"/>
          </a:solid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baseline="0">
                <a:solidFill>
                  <a:schemeClr val="tx2">
                    <a:lumMod val="60000"/>
                    <a:lumOff val="40000"/>
                  </a:schemeClr>
                </a:solidFill>
                <a:effectLst/>
                <a:latin typeface="+mn-lt"/>
                <a:ea typeface="+mn-ea"/>
                <a:cs typeface="+mn-cs"/>
              </a:rPr>
              <a:t>Q1</a:t>
            </a:r>
            <a:r>
              <a:rPr lang="en-US" sz="110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p>
          <a:p>
            <a:r>
              <a:rPr lang="en-US" sz="1200" b="1" baseline="0">
                <a:solidFill>
                  <a:schemeClr val="tx2">
                    <a:lumMod val="60000"/>
                    <a:lumOff val="40000"/>
                  </a:schemeClr>
                </a:solidFill>
                <a:effectLst/>
                <a:latin typeface="+mn-lt"/>
                <a:ea typeface="+mn-ea"/>
                <a:cs typeface="+mn-cs"/>
              </a:rPr>
              <a:t>Q2</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p>
          <a:p>
            <a:r>
              <a:rPr lang="en-US" sz="1200" b="1" baseline="0">
                <a:solidFill>
                  <a:schemeClr val="tx1"/>
                </a:solidFill>
                <a:effectLst/>
                <a:latin typeface="+mn-lt"/>
                <a:ea typeface="+mn-ea"/>
                <a:cs typeface="+mn-cs"/>
              </a:rPr>
              <a:t>Q3</a:t>
            </a:r>
            <a:r>
              <a:rPr lang="en-US" sz="1100" b="0" baseline="0">
                <a:solidFill>
                  <a:schemeClr val="tx1"/>
                </a:solidFill>
                <a:effectLst/>
                <a:latin typeface="+mn-lt"/>
                <a:ea typeface="+mn-ea"/>
                <a:cs typeface="+mn-cs"/>
              </a:rPr>
              <a:t> = ACT + PIAN(LUG-AGO-SET)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Q3 + PIAN(OTT-NOV-DIC) </a:t>
            </a:r>
            <a:endParaRPr lang="en-US">
              <a:effectLst/>
            </a:endParaRPr>
          </a:p>
        </xdr:txBody>
      </xdr:sp>
      <xdr:sp macro="" textlink="">
        <xdr:nvSpPr>
          <xdr:cNvPr id="34" name="Arrow: Pentagon 33">
            <a:extLst>
              <a:ext uri="{FF2B5EF4-FFF2-40B4-BE49-F238E27FC236}">
                <a16:creationId xmlns:a16="http://schemas.microsoft.com/office/drawing/2014/main" id="{5EFFE17A-B899-4982-9753-A98D5B06E41B}"/>
              </a:ext>
            </a:extLst>
          </xdr:cNvPr>
          <xdr:cNvSpPr/>
        </xdr:nvSpPr>
        <xdr:spPr>
          <a:xfrm rot="5400000">
            <a:off x="35611377" y="963756"/>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35" name="TextBox 34">
            <a:extLst>
              <a:ext uri="{FF2B5EF4-FFF2-40B4-BE49-F238E27FC236}">
                <a16:creationId xmlns:a16="http://schemas.microsoft.com/office/drawing/2014/main" id="{0B0B64C6-042A-40F0-8AC4-51BFBE4FA563}"/>
              </a:ext>
            </a:extLst>
          </xdr:cNvPr>
          <xdr:cNvSpPr txBox="1"/>
        </xdr:nvSpPr>
        <xdr:spPr>
          <a:xfrm>
            <a:off x="34719491" y="1219245"/>
            <a:ext cx="1980479" cy="843081"/>
          </a:xfrm>
          <a:prstGeom prst="rect">
            <a:avLst/>
          </a:prstGeom>
          <a:no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baseline="0">
                <a:solidFill>
                  <a:schemeClr val="tx2">
                    <a:lumMod val="60000"/>
                    <a:lumOff val="40000"/>
                  </a:schemeClr>
                </a:solidFill>
                <a:effectLst/>
                <a:latin typeface="+mn-lt"/>
                <a:ea typeface="+mn-ea"/>
                <a:cs typeface="+mn-cs"/>
              </a:rPr>
              <a:t>Q1</a:t>
            </a:r>
            <a:r>
              <a:rPr lang="en-US" sz="110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100" b="1" baseline="0">
                <a:solidFill>
                  <a:schemeClr val="tx2">
                    <a:lumMod val="60000"/>
                    <a:lumOff val="40000"/>
                  </a:schemeClr>
                </a:solidFill>
                <a:effectLst/>
                <a:latin typeface="+mn-lt"/>
                <a:ea typeface="+mn-ea"/>
                <a:cs typeface="+mn-cs"/>
              </a:rPr>
              <a:t>Q2</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200" b="1" baseline="0">
                <a:solidFill>
                  <a:schemeClr val="tx1"/>
                </a:solidFill>
                <a:effectLst/>
                <a:latin typeface="+mn-lt"/>
                <a:ea typeface="+mn-ea"/>
                <a:cs typeface="+mn-cs"/>
              </a:rPr>
              <a:t>Q3</a:t>
            </a:r>
            <a:r>
              <a:rPr lang="en-US" sz="1100" b="0" baseline="0">
                <a:solidFill>
                  <a:schemeClr val="tx1"/>
                </a:solidFill>
                <a:effectLst/>
                <a:latin typeface="+mn-lt"/>
                <a:ea typeface="+mn-ea"/>
                <a:cs typeface="+mn-cs"/>
              </a:rPr>
              <a:t> = ACT + PIAN(AGO-SET)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Q3 + PIAN(OTT-NOV-DIC) </a:t>
            </a:r>
            <a:endParaRPr lang="en-US">
              <a:effectLst/>
            </a:endParaRPr>
          </a:p>
        </xdr:txBody>
      </xdr:sp>
      <xdr:sp macro="" textlink="">
        <xdr:nvSpPr>
          <xdr:cNvPr id="36" name="Arrow: Pentagon 35">
            <a:extLst>
              <a:ext uri="{FF2B5EF4-FFF2-40B4-BE49-F238E27FC236}">
                <a16:creationId xmlns:a16="http://schemas.microsoft.com/office/drawing/2014/main" id="{7082AB28-7EF5-4CC0-8A7C-8F95C2A621C7}"/>
              </a:ext>
            </a:extLst>
          </xdr:cNvPr>
          <xdr:cNvSpPr/>
        </xdr:nvSpPr>
        <xdr:spPr>
          <a:xfrm rot="5400000">
            <a:off x="37684077" y="960293"/>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37" name="TextBox 36">
            <a:extLst>
              <a:ext uri="{FF2B5EF4-FFF2-40B4-BE49-F238E27FC236}">
                <a16:creationId xmlns:a16="http://schemas.microsoft.com/office/drawing/2014/main" id="{EB6B1BFA-BE82-449B-AEB8-0FA434640E69}"/>
              </a:ext>
            </a:extLst>
          </xdr:cNvPr>
          <xdr:cNvSpPr txBox="1"/>
        </xdr:nvSpPr>
        <xdr:spPr>
          <a:xfrm>
            <a:off x="35424350" y="211146"/>
            <a:ext cx="600941"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AGO</a:t>
            </a:r>
          </a:p>
        </xdr:txBody>
      </xdr:sp>
      <xdr:sp macro="" textlink="">
        <xdr:nvSpPr>
          <xdr:cNvPr id="38" name="TextBox 37">
            <a:extLst>
              <a:ext uri="{FF2B5EF4-FFF2-40B4-BE49-F238E27FC236}">
                <a16:creationId xmlns:a16="http://schemas.microsoft.com/office/drawing/2014/main" id="{99F5D5CF-C5A3-4751-9B1A-835934A17C49}"/>
              </a:ext>
            </a:extLst>
          </xdr:cNvPr>
          <xdr:cNvSpPr txBox="1"/>
        </xdr:nvSpPr>
        <xdr:spPr>
          <a:xfrm>
            <a:off x="36802868" y="1207078"/>
            <a:ext cx="1993110" cy="843821"/>
          </a:xfrm>
          <a:prstGeom prst="rect">
            <a:avLst/>
          </a:prstGeom>
          <a:no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baseline="0">
                <a:solidFill>
                  <a:schemeClr val="tx2">
                    <a:lumMod val="60000"/>
                    <a:lumOff val="40000"/>
                  </a:schemeClr>
                </a:solidFill>
                <a:effectLst/>
                <a:latin typeface="+mn-lt"/>
                <a:ea typeface="+mn-ea"/>
                <a:cs typeface="+mn-cs"/>
              </a:rPr>
              <a:t>Q1</a:t>
            </a:r>
            <a:r>
              <a:rPr lang="en-US" sz="110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100" b="1" baseline="0">
                <a:solidFill>
                  <a:schemeClr val="tx2">
                    <a:lumMod val="60000"/>
                    <a:lumOff val="40000"/>
                  </a:schemeClr>
                </a:solidFill>
                <a:effectLst/>
                <a:latin typeface="+mn-lt"/>
                <a:ea typeface="+mn-ea"/>
                <a:cs typeface="+mn-cs"/>
              </a:rPr>
              <a:t>Q2</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200" b="1" baseline="0">
                <a:solidFill>
                  <a:schemeClr val="tx1"/>
                </a:solidFill>
                <a:effectLst/>
                <a:latin typeface="+mn-lt"/>
                <a:ea typeface="+mn-ea"/>
                <a:cs typeface="+mn-cs"/>
              </a:rPr>
              <a:t>Q3</a:t>
            </a:r>
            <a:r>
              <a:rPr lang="en-US" sz="1100" b="0" baseline="0">
                <a:solidFill>
                  <a:schemeClr val="tx1"/>
                </a:solidFill>
                <a:effectLst/>
                <a:latin typeface="+mn-lt"/>
                <a:ea typeface="+mn-ea"/>
                <a:cs typeface="+mn-cs"/>
              </a:rPr>
              <a:t> = </a:t>
            </a:r>
            <a:r>
              <a:rPr lang="en-US" sz="1100" b="0" u="sng" baseline="0">
                <a:solidFill>
                  <a:schemeClr val="tx1"/>
                </a:solidFill>
                <a:effectLst/>
                <a:latin typeface="+mn-lt"/>
                <a:ea typeface="+mn-ea"/>
                <a:cs typeface="+mn-cs"/>
              </a:rPr>
              <a:t>ACT + PIAN(SET)</a:t>
            </a:r>
            <a:endParaRPr lang="en-US"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Q3 + PIAN(OTT-NOV-DIC) </a:t>
            </a:r>
            <a:endParaRPr lang="en-US">
              <a:effectLst/>
            </a:endParaRPr>
          </a:p>
        </xdr:txBody>
      </xdr:sp>
      <xdr:sp macro="" textlink="">
        <xdr:nvSpPr>
          <xdr:cNvPr id="39" name="Arrow: Pentagon 38">
            <a:extLst>
              <a:ext uri="{FF2B5EF4-FFF2-40B4-BE49-F238E27FC236}">
                <a16:creationId xmlns:a16="http://schemas.microsoft.com/office/drawing/2014/main" id="{B2631718-1C4F-442A-849C-EB597BD3F545}"/>
              </a:ext>
            </a:extLst>
          </xdr:cNvPr>
          <xdr:cNvSpPr/>
        </xdr:nvSpPr>
        <xdr:spPr>
          <a:xfrm rot="5400000">
            <a:off x="37678597" y="2177761"/>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40" name="TextBox 39">
            <a:extLst>
              <a:ext uri="{FF2B5EF4-FFF2-40B4-BE49-F238E27FC236}">
                <a16:creationId xmlns:a16="http://schemas.microsoft.com/office/drawing/2014/main" id="{1C75E24F-1B75-4F5E-9392-2EB52858CAFB}"/>
              </a:ext>
            </a:extLst>
          </xdr:cNvPr>
          <xdr:cNvSpPr txBox="1"/>
        </xdr:nvSpPr>
        <xdr:spPr>
          <a:xfrm>
            <a:off x="36915437" y="2358737"/>
            <a:ext cx="1825335"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CONGELARE Q3</a:t>
            </a:r>
          </a:p>
        </xdr:txBody>
      </xdr:sp>
      <xdr:sp macro="" textlink="">
        <xdr:nvSpPr>
          <xdr:cNvPr id="41" name="Arrow: Pentagon 40">
            <a:extLst>
              <a:ext uri="{FF2B5EF4-FFF2-40B4-BE49-F238E27FC236}">
                <a16:creationId xmlns:a16="http://schemas.microsoft.com/office/drawing/2014/main" id="{E73BE567-10A8-43DB-9D96-D197F36E8BA2}"/>
              </a:ext>
            </a:extLst>
          </xdr:cNvPr>
          <xdr:cNvSpPr/>
        </xdr:nvSpPr>
        <xdr:spPr>
          <a:xfrm rot="5400000">
            <a:off x="39802377" y="955097"/>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6E339FA5-D11A-40FF-8737-FAADC4615562}"/>
              </a:ext>
            </a:extLst>
          </xdr:cNvPr>
          <xdr:cNvSpPr txBox="1"/>
        </xdr:nvSpPr>
        <xdr:spPr>
          <a:xfrm>
            <a:off x="37501306" y="204035"/>
            <a:ext cx="597478"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SET</a:t>
            </a:r>
          </a:p>
        </xdr:txBody>
      </xdr:sp>
      <xdr:sp macro="" textlink="">
        <xdr:nvSpPr>
          <xdr:cNvPr id="43" name="TextBox 42">
            <a:extLst>
              <a:ext uri="{FF2B5EF4-FFF2-40B4-BE49-F238E27FC236}">
                <a16:creationId xmlns:a16="http://schemas.microsoft.com/office/drawing/2014/main" id="{E94B5950-B5E1-4697-9A26-3837452155CA}"/>
              </a:ext>
            </a:extLst>
          </xdr:cNvPr>
          <xdr:cNvSpPr txBox="1"/>
        </xdr:nvSpPr>
        <xdr:spPr>
          <a:xfrm>
            <a:off x="38884514" y="1201881"/>
            <a:ext cx="2125197" cy="796885"/>
          </a:xfrm>
          <a:prstGeom prst="rect">
            <a:avLst/>
          </a:prstGeom>
          <a:solidFill>
            <a:schemeClr val="bg1"/>
          </a:solid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baseline="0">
                <a:solidFill>
                  <a:schemeClr val="tx2">
                    <a:lumMod val="60000"/>
                    <a:lumOff val="40000"/>
                  </a:schemeClr>
                </a:solidFill>
                <a:effectLst/>
                <a:latin typeface="+mn-lt"/>
                <a:ea typeface="+mn-ea"/>
                <a:cs typeface="+mn-cs"/>
              </a:rPr>
              <a:t>Q1</a:t>
            </a:r>
            <a:r>
              <a:rPr lang="en-US" sz="110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100" b="1" baseline="0">
                <a:solidFill>
                  <a:schemeClr val="tx2">
                    <a:lumMod val="60000"/>
                    <a:lumOff val="40000"/>
                  </a:schemeClr>
                </a:solidFill>
                <a:effectLst/>
                <a:latin typeface="+mn-lt"/>
                <a:ea typeface="+mn-ea"/>
                <a:cs typeface="+mn-cs"/>
              </a:rPr>
              <a:t>Q2</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100" b="1" baseline="0">
                <a:solidFill>
                  <a:schemeClr val="tx2">
                    <a:lumMod val="60000"/>
                    <a:lumOff val="40000"/>
                  </a:schemeClr>
                </a:solidFill>
                <a:effectLst/>
                <a:latin typeface="+mn-lt"/>
                <a:ea typeface="+mn-ea"/>
                <a:cs typeface="+mn-cs"/>
              </a:rPr>
              <a:t>Q3</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a:t>
            </a:r>
            <a:r>
              <a:rPr lang="en-US" sz="1100" b="0" i="1" baseline="0">
                <a:solidFill>
                  <a:schemeClr val="tx1"/>
                </a:solidFill>
                <a:effectLst/>
                <a:latin typeface="+mn-lt"/>
                <a:ea typeface="+mn-ea"/>
                <a:cs typeface="+mn-cs"/>
              </a:rPr>
              <a:t>ACT + </a:t>
            </a:r>
            <a:r>
              <a:rPr lang="en-US" sz="1100" b="0" baseline="0">
                <a:solidFill>
                  <a:schemeClr val="tx1"/>
                </a:solidFill>
                <a:effectLst/>
                <a:latin typeface="+mn-lt"/>
                <a:ea typeface="+mn-ea"/>
                <a:cs typeface="+mn-cs"/>
              </a:rPr>
              <a:t>PIAN(OTT-NOV-DIC) </a:t>
            </a:r>
            <a:endParaRPr lang="en-US">
              <a:effectLst/>
            </a:endParaRPr>
          </a:p>
        </xdr:txBody>
      </xdr:sp>
      <xdr:sp macro="" textlink="">
        <xdr:nvSpPr>
          <xdr:cNvPr id="44" name="Arrow: Pentagon 43">
            <a:extLst>
              <a:ext uri="{FF2B5EF4-FFF2-40B4-BE49-F238E27FC236}">
                <a16:creationId xmlns:a16="http://schemas.microsoft.com/office/drawing/2014/main" id="{B255B9B1-731B-4814-8E24-8D32E1494D5A}"/>
              </a:ext>
            </a:extLst>
          </xdr:cNvPr>
          <xdr:cNvSpPr/>
        </xdr:nvSpPr>
        <xdr:spPr>
          <a:xfrm rot="5400000">
            <a:off x="41955027" y="960292"/>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669F35E0-620B-4C17-83FA-08AE7C9840B8}"/>
              </a:ext>
            </a:extLst>
          </xdr:cNvPr>
          <xdr:cNvSpPr txBox="1"/>
        </xdr:nvSpPr>
        <xdr:spPr>
          <a:xfrm>
            <a:off x="39606094" y="191912"/>
            <a:ext cx="600941"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OTT</a:t>
            </a:r>
          </a:p>
        </xdr:txBody>
      </xdr:sp>
      <xdr:sp macro="" textlink="">
        <xdr:nvSpPr>
          <xdr:cNvPr id="46" name="TextBox 45">
            <a:extLst>
              <a:ext uri="{FF2B5EF4-FFF2-40B4-BE49-F238E27FC236}">
                <a16:creationId xmlns:a16="http://schemas.microsoft.com/office/drawing/2014/main" id="{2C85368B-E530-423C-B1E9-AE91CAE97BDA}"/>
              </a:ext>
            </a:extLst>
          </xdr:cNvPr>
          <xdr:cNvSpPr txBox="1"/>
        </xdr:nvSpPr>
        <xdr:spPr>
          <a:xfrm>
            <a:off x="41063141" y="1198418"/>
            <a:ext cx="1851084" cy="796885"/>
          </a:xfrm>
          <a:prstGeom prst="rect">
            <a:avLst/>
          </a:prstGeom>
          <a:solidFill>
            <a:sysClr val="window" lastClr="FFFFFF"/>
          </a:solid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baseline="0">
                <a:solidFill>
                  <a:schemeClr val="tx2">
                    <a:lumMod val="60000"/>
                    <a:lumOff val="40000"/>
                  </a:schemeClr>
                </a:solidFill>
                <a:effectLst/>
                <a:latin typeface="+mn-lt"/>
                <a:ea typeface="+mn-ea"/>
                <a:cs typeface="+mn-cs"/>
              </a:rPr>
              <a:t>Q1</a:t>
            </a:r>
            <a:r>
              <a:rPr lang="en-US" sz="110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100" b="1" baseline="0">
                <a:solidFill>
                  <a:schemeClr val="tx2">
                    <a:lumMod val="60000"/>
                    <a:lumOff val="40000"/>
                  </a:schemeClr>
                </a:solidFill>
                <a:effectLst/>
                <a:latin typeface="+mn-lt"/>
                <a:ea typeface="+mn-ea"/>
                <a:cs typeface="+mn-cs"/>
              </a:rPr>
              <a:t>Q2</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100" b="1" baseline="0">
                <a:solidFill>
                  <a:schemeClr val="tx2">
                    <a:lumMod val="60000"/>
                    <a:lumOff val="40000"/>
                  </a:schemeClr>
                </a:solidFill>
                <a:effectLst/>
                <a:latin typeface="+mn-lt"/>
                <a:ea typeface="+mn-ea"/>
                <a:cs typeface="+mn-cs"/>
              </a:rPr>
              <a:t>Q3</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ACT + PIAN(NOV-DIC) </a:t>
            </a:r>
            <a:endParaRPr lang="en-US">
              <a:effectLst/>
            </a:endParaRPr>
          </a:p>
        </xdr:txBody>
      </xdr:sp>
      <xdr:sp macro="" textlink="">
        <xdr:nvSpPr>
          <xdr:cNvPr id="47" name="Arrow: Pentagon 46">
            <a:extLst>
              <a:ext uri="{FF2B5EF4-FFF2-40B4-BE49-F238E27FC236}">
                <a16:creationId xmlns:a16="http://schemas.microsoft.com/office/drawing/2014/main" id="{6247B90E-0E56-4B16-A571-66F0476C85EF}"/>
              </a:ext>
            </a:extLst>
          </xdr:cNvPr>
          <xdr:cNvSpPr/>
        </xdr:nvSpPr>
        <xdr:spPr>
          <a:xfrm rot="5400000">
            <a:off x="44038404" y="956829"/>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48" name="TextBox 47">
            <a:extLst>
              <a:ext uri="{FF2B5EF4-FFF2-40B4-BE49-F238E27FC236}">
                <a16:creationId xmlns:a16="http://schemas.microsoft.com/office/drawing/2014/main" id="{A02009E2-9CA8-4F75-B4E6-76BEA55BAEEB}"/>
              </a:ext>
            </a:extLst>
          </xdr:cNvPr>
          <xdr:cNvSpPr txBox="1"/>
        </xdr:nvSpPr>
        <xdr:spPr>
          <a:xfrm>
            <a:off x="43839246" y="225136"/>
            <a:ext cx="600941"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DIC</a:t>
            </a:r>
          </a:p>
        </xdr:txBody>
      </xdr:sp>
      <xdr:sp macro="" textlink="">
        <xdr:nvSpPr>
          <xdr:cNvPr id="49" name="TextBox 48">
            <a:extLst>
              <a:ext uri="{FF2B5EF4-FFF2-40B4-BE49-F238E27FC236}">
                <a16:creationId xmlns:a16="http://schemas.microsoft.com/office/drawing/2014/main" id="{BBA08855-EC82-418F-8A37-8AE9F1F32840}"/>
              </a:ext>
            </a:extLst>
          </xdr:cNvPr>
          <xdr:cNvSpPr txBox="1"/>
        </xdr:nvSpPr>
        <xdr:spPr>
          <a:xfrm>
            <a:off x="43146518" y="1194955"/>
            <a:ext cx="1984664" cy="796885"/>
          </a:xfrm>
          <a:prstGeom prst="rect">
            <a:avLst/>
          </a:prstGeom>
          <a:noFill/>
          <a:ln>
            <a:solidFill>
              <a:schemeClr val="accent3"/>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baseline="0">
                <a:solidFill>
                  <a:schemeClr val="tx2">
                    <a:lumMod val="60000"/>
                    <a:lumOff val="40000"/>
                  </a:schemeClr>
                </a:solidFill>
                <a:effectLst/>
                <a:latin typeface="+mn-lt"/>
                <a:ea typeface="+mn-ea"/>
                <a:cs typeface="+mn-cs"/>
              </a:rPr>
              <a:t>Q1</a:t>
            </a:r>
            <a:r>
              <a:rPr lang="en-US" sz="110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100" b="1" baseline="0">
                <a:solidFill>
                  <a:schemeClr val="tx2">
                    <a:lumMod val="60000"/>
                    <a:lumOff val="40000"/>
                  </a:schemeClr>
                </a:solidFill>
                <a:effectLst/>
                <a:latin typeface="+mn-lt"/>
                <a:ea typeface="+mn-ea"/>
                <a:cs typeface="+mn-cs"/>
              </a:rPr>
              <a:t>Q2</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r>
              <a:rPr lang="en-US" sz="1100" b="1" baseline="0">
                <a:solidFill>
                  <a:schemeClr val="tx2">
                    <a:lumMod val="60000"/>
                    <a:lumOff val="40000"/>
                  </a:schemeClr>
                </a:solidFill>
                <a:effectLst/>
                <a:latin typeface="+mn-lt"/>
                <a:ea typeface="+mn-ea"/>
                <a:cs typeface="+mn-cs"/>
              </a:rPr>
              <a:t>Q3</a:t>
            </a:r>
            <a:r>
              <a:rPr lang="en-US" sz="1100" b="0" baseline="0">
                <a:solidFill>
                  <a:schemeClr val="tx2">
                    <a:lumMod val="60000"/>
                    <a:lumOff val="40000"/>
                  </a:schemeClr>
                </a:solidFill>
                <a:effectLst/>
                <a:latin typeface="+mn-lt"/>
                <a:ea typeface="+mn-ea"/>
                <a:cs typeface="+mn-cs"/>
              </a:rPr>
              <a:t> = </a:t>
            </a:r>
            <a:r>
              <a:rPr lang="en-US" sz="1100" b="1" baseline="0">
                <a:solidFill>
                  <a:schemeClr val="tx2">
                    <a:lumMod val="60000"/>
                    <a:lumOff val="40000"/>
                  </a:schemeClr>
                </a:solidFill>
                <a:effectLst/>
                <a:latin typeface="+mn-lt"/>
                <a:ea typeface="+mn-ea"/>
                <a:cs typeface="+mn-cs"/>
              </a:rPr>
              <a:t>CONGELATO</a:t>
            </a:r>
            <a:endParaRPr lang="en-US" sz="1200">
              <a:solidFill>
                <a:schemeClr val="tx2">
                  <a:lumMod val="60000"/>
                  <a:lumOff val="40000"/>
                </a:schemeClr>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tx1"/>
                </a:solidFill>
                <a:effectLst/>
                <a:latin typeface="+mn-lt"/>
                <a:ea typeface="+mn-ea"/>
                <a:cs typeface="+mn-cs"/>
              </a:rPr>
              <a:t>Q4</a:t>
            </a:r>
            <a:r>
              <a:rPr lang="en-US" sz="1100" b="0" baseline="0">
                <a:solidFill>
                  <a:schemeClr val="tx1"/>
                </a:solidFill>
                <a:effectLst/>
                <a:latin typeface="+mn-lt"/>
                <a:ea typeface="+mn-ea"/>
                <a:cs typeface="+mn-cs"/>
              </a:rPr>
              <a:t> = </a:t>
            </a:r>
            <a:r>
              <a:rPr lang="en-US" sz="1100" b="0" u="sng" baseline="0">
                <a:solidFill>
                  <a:schemeClr val="tx1"/>
                </a:solidFill>
                <a:effectLst/>
                <a:latin typeface="+mn-lt"/>
                <a:ea typeface="+mn-ea"/>
                <a:cs typeface="+mn-cs"/>
              </a:rPr>
              <a:t>ACT + PIAN(DIC)</a:t>
            </a:r>
            <a:endParaRPr lang="en-US" u="sng">
              <a:effectLst/>
            </a:endParaRPr>
          </a:p>
        </xdr:txBody>
      </xdr:sp>
      <xdr:sp macro="" textlink="">
        <xdr:nvSpPr>
          <xdr:cNvPr id="50" name="Arrow: Pentagon 49">
            <a:extLst>
              <a:ext uri="{FF2B5EF4-FFF2-40B4-BE49-F238E27FC236}">
                <a16:creationId xmlns:a16="http://schemas.microsoft.com/office/drawing/2014/main" id="{D8AEAE91-EE30-4C28-9523-9CCB278B849A}"/>
              </a:ext>
            </a:extLst>
          </xdr:cNvPr>
          <xdr:cNvSpPr/>
        </xdr:nvSpPr>
        <xdr:spPr>
          <a:xfrm rot="5400000">
            <a:off x="44043600" y="2139661"/>
            <a:ext cx="246784" cy="116898"/>
          </a:xfrm>
          <a:prstGeom prst="homePlat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51" name="TextBox 50">
            <a:extLst>
              <a:ext uri="{FF2B5EF4-FFF2-40B4-BE49-F238E27FC236}">
                <a16:creationId xmlns:a16="http://schemas.microsoft.com/office/drawing/2014/main" id="{D35731A9-3A4D-4BC1-B4A3-2B80FAFDB724}"/>
              </a:ext>
            </a:extLst>
          </xdr:cNvPr>
          <xdr:cNvSpPr txBox="1"/>
        </xdr:nvSpPr>
        <xdr:spPr>
          <a:xfrm>
            <a:off x="43259087" y="2346614"/>
            <a:ext cx="1825335" cy="354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CONGELARE Q4</a:t>
            </a:r>
          </a:p>
        </xdr:txBody>
      </xdr:sp>
    </xdr:grpSp>
    <xdr:clientData/>
  </xdr:twoCellAnchor>
  <xdr:oneCellAnchor>
    <xdr:from>
      <xdr:col>37</xdr:col>
      <xdr:colOff>94129</xdr:colOff>
      <xdr:row>2</xdr:row>
      <xdr:rowOff>6164</xdr:rowOff>
    </xdr:from>
    <xdr:ext cx="11579708" cy="1114424"/>
    <xdr:sp macro="" textlink="">
      <xdr:nvSpPr>
        <xdr:cNvPr id="52" name="TextBox 51">
          <a:extLst>
            <a:ext uri="{FF2B5EF4-FFF2-40B4-BE49-F238E27FC236}">
              <a16:creationId xmlns:a16="http://schemas.microsoft.com/office/drawing/2014/main" id="{33BD3745-0CEC-446B-87F9-06CAD2B28489}"/>
            </a:ext>
          </a:extLst>
        </xdr:cNvPr>
        <xdr:cNvSpPr txBox="1"/>
      </xdr:nvSpPr>
      <xdr:spPr>
        <a:xfrm>
          <a:off x="28078579" y="920564"/>
          <a:ext cx="11579708" cy="11144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2800">
              <a:latin typeface="Century Gothic" panose="020B0502020202020204" pitchFamily="34" charset="0"/>
            </a:rPr>
            <a:t>TIMELINE</a:t>
          </a:r>
          <a:r>
            <a:rPr lang="en-US" sz="2800" baseline="0">
              <a:latin typeface="Century Gothic" panose="020B0502020202020204" pitchFamily="34" charset="0"/>
            </a:rPr>
            <a:t> DI CALCOLO FORECAST </a:t>
          </a:r>
          <a:r>
            <a:rPr lang="en-US" sz="2800" b="1" baseline="0">
              <a:latin typeface="Century Gothic" panose="020B0502020202020204" pitchFamily="34" charset="0"/>
            </a:rPr>
            <a:t>ACTUAL + COMMITMENT</a:t>
          </a:r>
        </a:p>
        <a:p>
          <a:pPr marL="0" marR="0" lvl="0" indent="0" algn="ctr" defTabSz="914400" eaLnBrk="1" fontAlgn="auto" latinLnBrk="0" hangingPunct="1">
            <a:lnSpc>
              <a:spcPct val="100000"/>
            </a:lnSpc>
            <a:spcBef>
              <a:spcPts val="0"/>
            </a:spcBef>
            <a:spcAft>
              <a:spcPts val="0"/>
            </a:spcAft>
            <a:buClrTx/>
            <a:buSzTx/>
            <a:buFontTx/>
            <a:buNone/>
            <a:tabLst/>
            <a:defRPr/>
          </a:pPr>
          <a:r>
            <a:rPr lang="en-US" sz="2800" b="0" i="1" baseline="0">
              <a:solidFill>
                <a:schemeClr val="tx1"/>
              </a:solidFill>
              <a:effectLst/>
              <a:latin typeface="Century Gothic" panose="020B0502020202020204" pitchFamily="34" charset="0"/>
              <a:ea typeface="+mn-ea"/>
              <a:cs typeface="+mn-cs"/>
            </a:rPr>
            <a:t>in base al mese in cui viene calcolato</a:t>
          </a:r>
          <a:endParaRPr lang="en-US" sz="6600">
            <a:effectLst/>
            <a:latin typeface="Century Gothic" panose="020B0502020202020204" pitchFamily="34" charset="0"/>
          </a:endParaRPr>
        </a:p>
        <a:p>
          <a:pPr algn="ctr"/>
          <a:endParaRPr lang="en-US" sz="2800" b="1">
            <a:latin typeface="Century Gothic" panose="020B0502020202020204" pitchFamily="34" charset="0"/>
          </a:endParaRPr>
        </a:p>
      </xdr:txBody>
    </xdr:sp>
    <xdr:clientData/>
  </xdr:oneCellAnchor>
  <xdr:oneCellAnchor>
    <xdr:from>
      <xdr:col>7</xdr:col>
      <xdr:colOff>692210</xdr:colOff>
      <xdr:row>34</xdr:row>
      <xdr:rowOff>84388</xdr:rowOff>
    </xdr:from>
    <xdr:ext cx="461996" cy="453626"/>
    <xdr:pic>
      <xdr:nvPicPr>
        <xdr:cNvPr id="53" name="Picture 52">
          <a:extLst>
            <a:ext uri="{FF2B5EF4-FFF2-40B4-BE49-F238E27FC236}">
              <a16:creationId xmlns:a16="http://schemas.microsoft.com/office/drawing/2014/main" id="{D679AD45-082D-4192-9A23-044FCB29A450}"/>
            </a:ext>
          </a:extLst>
        </xdr:cNvPr>
        <xdr:cNvPicPr>
          <a:picLocks noChangeAspect="1"/>
        </xdr:cNvPicPr>
      </xdr:nvPicPr>
      <xdr:blipFill>
        <a:blip xmlns:r="http://schemas.openxmlformats.org/officeDocument/2006/relationships" r:embed="rId3" cstate="print">
          <a:duotone>
            <a:prstClr val="black"/>
            <a:schemeClr val="accent1">
              <a:tint val="45000"/>
              <a:satMod val="400000"/>
            </a:schemeClr>
          </a:duotone>
          <a:extLst>
            <a:ext uri="{BEBA8EAE-BF5A-486C-A8C5-ECC9F3942E4B}">
              <a14:imgProps xmlns:a14="http://schemas.microsoft.com/office/drawing/2010/main">
                <a14:imgLayer r:embed="rId4">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5226110" y="9295063"/>
          <a:ext cx="461996" cy="453626"/>
        </a:xfrm>
        <a:prstGeom prst="rect">
          <a:avLst/>
        </a:prstGeom>
      </xdr:spPr>
    </xdr:pic>
    <xdr:clientData/>
  </xdr:oneCellAnchor>
  <xdr:oneCellAnchor>
    <xdr:from>
      <xdr:col>13</xdr:col>
      <xdr:colOff>148013</xdr:colOff>
      <xdr:row>31</xdr:row>
      <xdr:rowOff>42255</xdr:rowOff>
    </xdr:from>
    <xdr:ext cx="452520" cy="444322"/>
    <xdr:pic>
      <xdr:nvPicPr>
        <xdr:cNvPr id="54" name="Picture 53">
          <a:extLst>
            <a:ext uri="{FF2B5EF4-FFF2-40B4-BE49-F238E27FC236}">
              <a16:creationId xmlns:a16="http://schemas.microsoft.com/office/drawing/2014/main" id="{3195DBEB-2E27-47C0-926B-4127EC9FACA1}"/>
            </a:ext>
          </a:extLst>
        </xdr:cNvPr>
        <xdr:cNvPicPr>
          <a:picLocks noChangeAspect="1"/>
        </xdr:cNvPicPr>
      </xdr:nvPicPr>
      <xdr:blipFill>
        <a:blip xmlns:r="http://schemas.openxmlformats.org/officeDocument/2006/relationships" r:embed="rId3" cstate="print">
          <a:duotone>
            <a:prstClr val="black"/>
            <a:schemeClr val="accent1">
              <a:tint val="45000"/>
              <a:satMod val="400000"/>
            </a:schemeClr>
          </a:duotone>
          <a:extLst>
            <a:ext uri="{BEBA8EAE-BF5A-486C-A8C5-ECC9F3942E4B}">
              <a14:imgProps xmlns:a14="http://schemas.microsoft.com/office/drawing/2010/main">
                <a14:imgLayer r:embed="rId4">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9330113" y="8433780"/>
          <a:ext cx="452520" cy="444322"/>
        </a:xfrm>
        <a:prstGeom prst="rect">
          <a:avLst/>
        </a:prstGeom>
      </xdr:spPr>
    </xdr:pic>
    <xdr:clientData/>
  </xdr:oneCellAnchor>
  <xdr:twoCellAnchor>
    <xdr:from>
      <xdr:col>5</xdr:col>
      <xdr:colOff>148167</xdr:colOff>
      <xdr:row>26</xdr:row>
      <xdr:rowOff>85725</xdr:rowOff>
    </xdr:from>
    <xdr:to>
      <xdr:col>122</xdr:col>
      <xdr:colOff>212911</xdr:colOff>
      <xdr:row>51</xdr:row>
      <xdr:rowOff>179293</xdr:rowOff>
    </xdr:to>
    <xdr:sp macro="" textlink="">
      <xdr:nvSpPr>
        <xdr:cNvPr id="55" name="Rectangle 54">
          <a:extLst>
            <a:ext uri="{FF2B5EF4-FFF2-40B4-BE49-F238E27FC236}">
              <a16:creationId xmlns:a16="http://schemas.microsoft.com/office/drawing/2014/main" id="{9F72D350-71B7-4006-9B61-C12968B8C324}"/>
            </a:ext>
          </a:extLst>
        </xdr:cNvPr>
        <xdr:cNvSpPr/>
      </xdr:nvSpPr>
      <xdr:spPr>
        <a:xfrm>
          <a:off x="3272367" y="7515225"/>
          <a:ext cx="76740994" cy="6789643"/>
        </a:xfrm>
        <a:prstGeom prst="rect">
          <a:avLst/>
        </a:prstGeom>
        <a:noFill/>
        <a:ln w="19050">
          <a:solidFill>
            <a:schemeClr val="accent4">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189859</xdr:colOff>
      <xdr:row>25</xdr:row>
      <xdr:rowOff>43702</xdr:rowOff>
    </xdr:from>
    <xdr:ext cx="2096142" cy="468013"/>
    <xdr:sp macro="" textlink="">
      <xdr:nvSpPr>
        <xdr:cNvPr id="56" name="TextBox 55">
          <a:extLst>
            <a:ext uri="{FF2B5EF4-FFF2-40B4-BE49-F238E27FC236}">
              <a16:creationId xmlns:a16="http://schemas.microsoft.com/office/drawing/2014/main" id="{66245725-DBED-4901-878F-3E14935EFE74}"/>
            </a:ext>
          </a:extLst>
        </xdr:cNvPr>
        <xdr:cNvSpPr txBox="1"/>
      </xdr:nvSpPr>
      <xdr:spPr>
        <a:xfrm>
          <a:off x="11572234" y="7282702"/>
          <a:ext cx="2096142" cy="468013"/>
        </a:xfrm>
        <a:prstGeom prst="rect">
          <a:avLst/>
        </a:prstGeom>
        <a:solidFill>
          <a:schemeClr val="accent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2400" b="1">
              <a:solidFill>
                <a:schemeClr val="bg1"/>
              </a:solidFill>
            </a:rPr>
            <a:t>LUMP SUM</a:t>
          </a:r>
        </a:p>
      </xdr:txBody>
    </xdr:sp>
    <xdr:clientData/>
  </xdr:oneCellAnchor>
  <xdr:oneCellAnchor>
    <xdr:from>
      <xdr:col>39</xdr:col>
      <xdr:colOff>577780</xdr:colOff>
      <xdr:row>27</xdr:row>
      <xdr:rowOff>66675</xdr:rowOff>
    </xdr:from>
    <xdr:ext cx="7735771" cy="972830"/>
    <xdr:sp macro="" textlink="">
      <xdr:nvSpPr>
        <xdr:cNvPr id="57" name="TextBox 56">
          <a:extLst>
            <a:ext uri="{FF2B5EF4-FFF2-40B4-BE49-F238E27FC236}">
              <a16:creationId xmlns:a16="http://schemas.microsoft.com/office/drawing/2014/main" id="{C4F2666C-3773-4BF4-A145-4B82687A3404}"/>
            </a:ext>
          </a:extLst>
        </xdr:cNvPr>
        <xdr:cNvSpPr txBox="1"/>
      </xdr:nvSpPr>
      <xdr:spPr>
        <a:xfrm>
          <a:off x="29781430" y="7686675"/>
          <a:ext cx="7735771" cy="9728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2800">
              <a:latin typeface="Century Gothic" panose="020B0502020202020204" pitchFamily="34" charset="0"/>
            </a:rPr>
            <a:t>TIMELINE</a:t>
          </a:r>
          <a:r>
            <a:rPr lang="en-US" sz="2800" baseline="0">
              <a:latin typeface="Century Gothic" panose="020B0502020202020204" pitchFamily="34" charset="0"/>
            </a:rPr>
            <a:t> DI CALCOLO FORECAST </a:t>
          </a:r>
          <a:r>
            <a:rPr lang="en-US" sz="2800" b="1" baseline="0">
              <a:latin typeface="Century Gothic" panose="020B0502020202020204" pitchFamily="34" charset="0"/>
            </a:rPr>
            <a:t>LUMP SUM</a:t>
          </a:r>
        </a:p>
        <a:p>
          <a:pPr algn="ctr"/>
          <a:r>
            <a:rPr lang="en-US" sz="2800" b="0" i="1" baseline="0">
              <a:latin typeface="Century Gothic" panose="020B0502020202020204" pitchFamily="34" charset="0"/>
            </a:rPr>
            <a:t>in base al mese in cui viene calcolato</a:t>
          </a:r>
        </a:p>
      </xdr:txBody>
    </xdr:sp>
    <xdr:clientData/>
  </xdr:oneCellAnchor>
  <xdr:twoCellAnchor>
    <xdr:from>
      <xdr:col>27</xdr:col>
      <xdr:colOff>874068</xdr:colOff>
      <xdr:row>33</xdr:row>
      <xdr:rowOff>105000</xdr:rowOff>
    </xdr:from>
    <xdr:to>
      <xdr:col>30</xdr:col>
      <xdr:colOff>234500</xdr:colOff>
      <xdr:row>34</xdr:row>
      <xdr:rowOff>97204</xdr:rowOff>
    </xdr:to>
    <xdr:sp macro="" textlink="">
      <xdr:nvSpPr>
        <xdr:cNvPr id="58" name="Arrow: Right 57">
          <a:extLst>
            <a:ext uri="{FF2B5EF4-FFF2-40B4-BE49-F238E27FC236}">
              <a16:creationId xmlns:a16="http://schemas.microsoft.com/office/drawing/2014/main" id="{903E84A3-5623-40C7-B844-A618F8AB1585}"/>
            </a:ext>
          </a:extLst>
        </xdr:cNvPr>
        <xdr:cNvSpPr/>
      </xdr:nvSpPr>
      <xdr:spPr>
        <a:xfrm rot="2595709">
          <a:off x="22162443" y="9010875"/>
          <a:ext cx="1789307" cy="297004"/>
        </a:xfrm>
        <a:prstGeom prst="rightArrow">
          <a:avLst>
            <a:gd name="adj1" fmla="val 50000"/>
            <a:gd name="adj2" fmla="val 94091"/>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85724</xdr:colOff>
      <xdr:row>33</xdr:row>
      <xdr:rowOff>95890</xdr:rowOff>
    </xdr:from>
    <xdr:to>
      <xdr:col>121</xdr:col>
      <xdr:colOff>112058</xdr:colOff>
      <xdr:row>52</xdr:row>
      <xdr:rowOff>36046</xdr:rowOff>
    </xdr:to>
    <xdr:grpSp>
      <xdr:nvGrpSpPr>
        <xdr:cNvPr id="60" name="Group 59">
          <a:extLst>
            <a:ext uri="{FF2B5EF4-FFF2-40B4-BE49-F238E27FC236}">
              <a16:creationId xmlns:a16="http://schemas.microsoft.com/office/drawing/2014/main" id="{5362DB5B-FFEC-4AA8-B7FC-7956B66BAEF9}"/>
            </a:ext>
          </a:extLst>
        </xdr:cNvPr>
        <xdr:cNvGrpSpPr/>
      </xdr:nvGrpSpPr>
      <xdr:grpSpPr>
        <a:xfrm>
          <a:off x="22891295" y="9389569"/>
          <a:ext cx="55747584" cy="5029227"/>
          <a:chOff x="21680260" y="7425989"/>
          <a:chExt cx="55747584" cy="4450944"/>
        </a:xfrm>
      </xdr:grpSpPr>
      <xdr:sp macro="" textlink="">
        <xdr:nvSpPr>
          <xdr:cNvPr id="61" name="Arrow: Pentagon 60">
            <a:extLst>
              <a:ext uri="{FF2B5EF4-FFF2-40B4-BE49-F238E27FC236}">
                <a16:creationId xmlns:a16="http://schemas.microsoft.com/office/drawing/2014/main" id="{AD4DD54C-40F6-452F-A1D0-C4FE7F00544F}"/>
              </a:ext>
            </a:extLst>
          </xdr:cNvPr>
          <xdr:cNvSpPr/>
        </xdr:nvSpPr>
        <xdr:spPr>
          <a:xfrm rot="5400000">
            <a:off x="32659457" y="11145379"/>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62" name="Arrow: Notched Right 61">
            <a:extLst>
              <a:ext uri="{FF2B5EF4-FFF2-40B4-BE49-F238E27FC236}">
                <a16:creationId xmlns:a16="http://schemas.microsoft.com/office/drawing/2014/main" id="{23D328AE-DE78-4788-9B24-C8A2089C7042}"/>
              </a:ext>
            </a:extLst>
          </xdr:cNvPr>
          <xdr:cNvSpPr/>
        </xdr:nvSpPr>
        <xdr:spPr>
          <a:xfrm>
            <a:off x="22707706" y="7817220"/>
            <a:ext cx="54720138" cy="678492"/>
          </a:xfrm>
          <a:prstGeom prst="notchedRightArrow">
            <a:avLst>
              <a:gd name="adj1" fmla="val 42937"/>
              <a:gd name="adj2" fmla="val 160417"/>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63" name="Arrow: Pentagon 62">
            <a:extLst>
              <a:ext uri="{FF2B5EF4-FFF2-40B4-BE49-F238E27FC236}">
                <a16:creationId xmlns:a16="http://schemas.microsoft.com/office/drawing/2014/main" id="{EA08AFB5-628B-4042-894A-D56BB8FCC9E9}"/>
              </a:ext>
            </a:extLst>
          </xdr:cNvPr>
          <xdr:cNvSpPr/>
        </xdr:nvSpPr>
        <xdr:spPr>
          <a:xfrm rot="5400000">
            <a:off x="23736048" y="8357194"/>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64" name="Arrow: Pentagon 63">
            <a:extLst>
              <a:ext uri="{FF2B5EF4-FFF2-40B4-BE49-F238E27FC236}">
                <a16:creationId xmlns:a16="http://schemas.microsoft.com/office/drawing/2014/main" id="{3D0DEDEA-7AAD-4C73-9DC8-1F6712D0A027}"/>
              </a:ext>
            </a:extLst>
          </xdr:cNvPr>
          <xdr:cNvSpPr/>
        </xdr:nvSpPr>
        <xdr:spPr>
          <a:xfrm rot="5400000">
            <a:off x="28336569" y="8352885"/>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37886579-FB6C-4E20-9C2C-0A41BBB8E8C8}"/>
              </a:ext>
            </a:extLst>
          </xdr:cNvPr>
          <xdr:cNvSpPr txBox="1"/>
        </xdr:nvSpPr>
        <xdr:spPr>
          <a:xfrm>
            <a:off x="23602110" y="7523483"/>
            <a:ext cx="1119690"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GEN</a:t>
            </a:r>
          </a:p>
        </xdr:txBody>
      </xdr:sp>
      <xdr:sp macro="" textlink="">
        <xdr:nvSpPr>
          <xdr:cNvPr id="66" name="Arrow: Pentagon 65">
            <a:extLst>
              <a:ext uri="{FF2B5EF4-FFF2-40B4-BE49-F238E27FC236}">
                <a16:creationId xmlns:a16="http://schemas.microsoft.com/office/drawing/2014/main" id="{FA521D45-ED62-4D07-925A-01AF5936AA9F}"/>
              </a:ext>
            </a:extLst>
          </xdr:cNvPr>
          <xdr:cNvSpPr/>
        </xdr:nvSpPr>
        <xdr:spPr>
          <a:xfrm rot="5400000">
            <a:off x="32660605" y="8359798"/>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B2EA1147-B7CE-4B48-8C05-E85CAD90B01B}"/>
              </a:ext>
            </a:extLst>
          </xdr:cNvPr>
          <xdr:cNvSpPr txBox="1"/>
        </xdr:nvSpPr>
        <xdr:spPr>
          <a:xfrm>
            <a:off x="32428534" y="7496735"/>
            <a:ext cx="1119690"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MAR</a:t>
            </a:r>
          </a:p>
        </xdr:txBody>
      </xdr:sp>
      <xdr:sp macro="" textlink="">
        <xdr:nvSpPr>
          <xdr:cNvPr id="68" name="TextBox 67">
            <a:extLst>
              <a:ext uri="{FF2B5EF4-FFF2-40B4-BE49-F238E27FC236}">
                <a16:creationId xmlns:a16="http://schemas.microsoft.com/office/drawing/2014/main" id="{39957A51-BEA1-4BFE-902B-5D7E23F42240}"/>
              </a:ext>
            </a:extLst>
          </xdr:cNvPr>
          <xdr:cNvSpPr txBox="1"/>
        </xdr:nvSpPr>
        <xdr:spPr>
          <a:xfrm>
            <a:off x="31947519" y="11426583"/>
            <a:ext cx="3401016"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CONGELARE Q1</a:t>
            </a:r>
          </a:p>
        </xdr:txBody>
      </xdr:sp>
      <xdr:sp macro="" textlink="">
        <xdr:nvSpPr>
          <xdr:cNvPr id="69" name="Arrow: Pentagon 68">
            <a:extLst>
              <a:ext uri="{FF2B5EF4-FFF2-40B4-BE49-F238E27FC236}">
                <a16:creationId xmlns:a16="http://schemas.microsoft.com/office/drawing/2014/main" id="{78253F65-F705-4CD2-82CD-45BD448C7DF2}"/>
              </a:ext>
            </a:extLst>
          </xdr:cNvPr>
          <xdr:cNvSpPr/>
        </xdr:nvSpPr>
        <xdr:spPr>
          <a:xfrm rot="5400000">
            <a:off x="37086514" y="8364554"/>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5B40AEBD-349E-4937-932B-AD74EAD7A2CC}"/>
              </a:ext>
            </a:extLst>
          </xdr:cNvPr>
          <xdr:cNvSpPr txBox="1"/>
        </xdr:nvSpPr>
        <xdr:spPr>
          <a:xfrm>
            <a:off x="36941653" y="7501043"/>
            <a:ext cx="1113238"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APR</a:t>
            </a:r>
          </a:p>
        </xdr:txBody>
      </xdr:sp>
      <xdr:sp macro="" textlink="">
        <xdr:nvSpPr>
          <xdr:cNvPr id="71" name="Arrow: Pentagon 70">
            <a:extLst>
              <a:ext uri="{FF2B5EF4-FFF2-40B4-BE49-F238E27FC236}">
                <a16:creationId xmlns:a16="http://schemas.microsoft.com/office/drawing/2014/main" id="{490844F9-C682-4FEF-AAE4-F096206F0A5E}"/>
              </a:ext>
            </a:extLst>
          </xdr:cNvPr>
          <xdr:cNvSpPr/>
        </xdr:nvSpPr>
        <xdr:spPr>
          <a:xfrm rot="5400000">
            <a:off x="41732388" y="8360244"/>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72" name="Arrow: Pentagon 71">
            <a:extLst>
              <a:ext uri="{FF2B5EF4-FFF2-40B4-BE49-F238E27FC236}">
                <a16:creationId xmlns:a16="http://schemas.microsoft.com/office/drawing/2014/main" id="{82BAFAAC-1C5A-4250-ADE6-32B070627773}"/>
              </a:ext>
            </a:extLst>
          </xdr:cNvPr>
          <xdr:cNvSpPr/>
        </xdr:nvSpPr>
        <xdr:spPr>
          <a:xfrm rot="5400000">
            <a:off x="46192497" y="8367160"/>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73" name="TextBox 72">
            <a:extLst>
              <a:ext uri="{FF2B5EF4-FFF2-40B4-BE49-F238E27FC236}">
                <a16:creationId xmlns:a16="http://schemas.microsoft.com/office/drawing/2014/main" id="{0F823694-5C50-4DCC-B867-CEB29EC5C95F}"/>
              </a:ext>
            </a:extLst>
          </xdr:cNvPr>
          <xdr:cNvSpPr txBox="1"/>
        </xdr:nvSpPr>
        <xdr:spPr>
          <a:xfrm>
            <a:off x="41515453" y="7441300"/>
            <a:ext cx="670092"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MAG</a:t>
            </a:r>
          </a:p>
        </xdr:txBody>
      </xdr:sp>
      <xdr:sp macro="" textlink="">
        <xdr:nvSpPr>
          <xdr:cNvPr id="74" name="Arrow: Pentagon 73">
            <a:extLst>
              <a:ext uri="{FF2B5EF4-FFF2-40B4-BE49-F238E27FC236}">
                <a16:creationId xmlns:a16="http://schemas.microsoft.com/office/drawing/2014/main" id="{8DD44A65-DD4E-48F6-8EBF-974E53C52223}"/>
              </a:ext>
            </a:extLst>
          </xdr:cNvPr>
          <xdr:cNvSpPr/>
        </xdr:nvSpPr>
        <xdr:spPr>
          <a:xfrm rot="5400000">
            <a:off x="46229245" y="11040499"/>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75" name="TextBox 74">
            <a:extLst>
              <a:ext uri="{FF2B5EF4-FFF2-40B4-BE49-F238E27FC236}">
                <a16:creationId xmlns:a16="http://schemas.microsoft.com/office/drawing/2014/main" id="{C2F75E01-0F0F-49A2-BD4F-5C295D49B5CE}"/>
              </a:ext>
            </a:extLst>
          </xdr:cNvPr>
          <xdr:cNvSpPr txBox="1"/>
        </xdr:nvSpPr>
        <xdr:spPr>
          <a:xfrm>
            <a:off x="45426597" y="11418169"/>
            <a:ext cx="1952309"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CONGELARE Q2</a:t>
            </a:r>
          </a:p>
        </xdr:txBody>
      </xdr:sp>
      <xdr:sp macro="" textlink="">
        <xdr:nvSpPr>
          <xdr:cNvPr id="76" name="Arrow: Pentagon 75">
            <a:extLst>
              <a:ext uri="{FF2B5EF4-FFF2-40B4-BE49-F238E27FC236}">
                <a16:creationId xmlns:a16="http://schemas.microsoft.com/office/drawing/2014/main" id="{94771179-3D90-4CDA-A5F9-779424A1A6FD}"/>
              </a:ext>
            </a:extLst>
          </xdr:cNvPr>
          <xdr:cNvSpPr/>
        </xdr:nvSpPr>
        <xdr:spPr>
          <a:xfrm rot="5400000">
            <a:off x="50670126" y="8382237"/>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77" name="TextBox 76">
            <a:extLst>
              <a:ext uri="{FF2B5EF4-FFF2-40B4-BE49-F238E27FC236}">
                <a16:creationId xmlns:a16="http://schemas.microsoft.com/office/drawing/2014/main" id="{8E877A8C-8331-4FE0-AA0B-16C35C3C0A49}"/>
              </a:ext>
            </a:extLst>
          </xdr:cNvPr>
          <xdr:cNvSpPr txBox="1"/>
        </xdr:nvSpPr>
        <xdr:spPr>
          <a:xfrm>
            <a:off x="46023595" y="7436492"/>
            <a:ext cx="618262"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GIU</a:t>
            </a:r>
          </a:p>
        </xdr:txBody>
      </xdr:sp>
      <xdr:sp macro="" textlink="">
        <xdr:nvSpPr>
          <xdr:cNvPr id="78" name="Arrow: Pentagon 77">
            <a:extLst>
              <a:ext uri="{FF2B5EF4-FFF2-40B4-BE49-F238E27FC236}">
                <a16:creationId xmlns:a16="http://schemas.microsoft.com/office/drawing/2014/main" id="{3A3D175A-B5C6-4FCF-A6F6-3200D8EAE1DD}"/>
              </a:ext>
            </a:extLst>
          </xdr:cNvPr>
          <xdr:cNvSpPr/>
        </xdr:nvSpPr>
        <xdr:spPr>
          <a:xfrm rot="5400000">
            <a:off x="55372696" y="8366709"/>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79" name="Arrow: Pentagon 78">
            <a:extLst>
              <a:ext uri="{FF2B5EF4-FFF2-40B4-BE49-F238E27FC236}">
                <a16:creationId xmlns:a16="http://schemas.microsoft.com/office/drawing/2014/main" id="{447F7FC9-AE8F-4108-9408-4D3543D07572}"/>
              </a:ext>
            </a:extLst>
          </xdr:cNvPr>
          <xdr:cNvSpPr/>
        </xdr:nvSpPr>
        <xdr:spPr>
          <a:xfrm rot="5400000">
            <a:off x="73723352" y="8351184"/>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80" name="TextBox 79">
            <a:extLst>
              <a:ext uri="{FF2B5EF4-FFF2-40B4-BE49-F238E27FC236}">
                <a16:creationId xmlns:a16="http://schemas.microsoft.com/office/drawing/2014/main" id="{B490B636-14D1-43E9-8543-7CC6540BAF72}"/>
              </a:ext>
            </a:extLst>
          </xdr:cNvPr>
          <xdr:cNvSpPr txBox="1"/>
        </xdr:nvSpPr>
        <xdr:spPr>
          <a:xfrm>
            <a:off x="55189774" y="7439619"/>
            <a:ext cx="1119690"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AGO</a:t>
            </a:r>
          </a:p>
        </xdr:txBody>
      </xdr:sp>
      <xdr:sp macro="" textlink="">
        <xdr:nvSpPr>
          <xdr:cNvPr id="81" name="Arrow: Pentagon 80">
            <a:extLst>
              <a:ext uri="{FF2B5EF4-FFF2-40B4-BE49-F238E27FC236}">
                <a16:creationId xmlns:a16="http://schemas.microsoft.com/office/drawing/2014/main" id="{8F14C590-EB2D-4D3D-AF1B-E4FC0AE5B9EB}"/>
              </a:ext>
            </a:extLst>
          </xdr:cNvPr>
          <xdr:cNvSpPr/>
        </xdr:nvSpPr>
        <xdr:spPr>
          <a:xfrm rot="5400000">
            <a:off x="59967745" y="11113439"/>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82" name="TextBox 81">
            <a:extLst>
              <a:ext uri="{FF2B5EF4-FFF2-40B4-BE49-F238E27FC236}">
                <a16:creationId xmlns:a16="http://schemas.microsoft.com/office/drawing/2014/main" id="{6C0AF2EC-82E1-4CB5-A5A6-A634199A083B}"/>
              </a:ext>
            </a:extLst>
          </xdr:cNvPr>
          <xdr:cNvSpPr txBox="1"/>
        </xdr:nvSpPr>
        <xdr:spPr>
          <a:xfrm>
            <a:off x="59223308" y="11376755"/>
            <a:ext cx="1910074"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CONGELARE Q3</a:t>
            </a:r>
          </a:p>
        </xdr:txBody>
      </xdr:sp>
      <xdr:sp macro="" textlink="">
        <xdr:nvSpPr>
          <xdr:cNvPr id="83" name="Arrow: Pentagon 82">
            <a:extLst>
              <a:ext uri="{FF2B5EF4-FFF2-40B4-BE49-F238E27FC236}">
                <a16:creationId xmlns:a16="http://schemas.microsoft.com/office/drawing/2014/main" id="{39084DC4-2382-4313-85CE-718AFDD2EB29}"/>
              </a:ext>
            </a:extLst>
          </xdr:cNvPr>
          <xdr:cNvSpPr/>
        </xdr:nvSpPr>
        <xdr:spPr>
          <a:xfrm rot="5400000">
            <a:off x="59893114" y="8378379"/>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84" name="TextBox 83">
            <a:extLst>
              <a:ext uri="{FF2B5EF4-FFF2-40B4-BE49-F238E27FC236}">
                <a16:creationId xmlns:a16="http://schemas.microsoft.com/office/drawing/2014/main" id="{2BA44161-A8F7-4B25-83BA-D89B5911C8DC}"/>
              </a:ext>
            </a:extLst>
          </xdr:cNvPr>
          <xdr:cNvSpPr txBox="1"/>
        </xdr:nvSpPr>
        <xdr:spPr>
          <a:xfrm>
            <a:off x="59644188" y="7425989"/>
            <a:ext cx="1113238"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SETT</a:t>
            </a:r>
          </a:p>
        </xdr:txBody>
      </xdr:sp>
      <xdr:sp macro="" textlink="">
        <xdr:nvSpPr>
          <xdr:cNvPr id="85" name="Arrow: Pentagon 84">
            <a:extLst>
              <a:ext uri="{FF2B5EF4-FFF2-40B4-BE49-F238E27FC236}">
                <a16:creationId xmlns:a16="http://schemas.microsoft.com/office/drawing/2014/main" id="{D862CAEA-42DF-4AD8-94DB-D8E1477CAE9D}"/>
              </a:ext>
            </a:extLst>
          </xdr:cNvPr>
          <xdr:cNvSpPr/>
        </xdr:nvSpPr>
        <xdr:spPr>
          <a:xfrm rot="5400000">
            <a:off x="64493630" y="8351181"/>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86" name="TextBox 85">
            <a:extLst>
              <a:ext uri="{FF2B5EF4-FFF2-40B4-BE49-F238E27FC236}">
                <a16:creationId xmlns:a16="http://schemas.microsoft.com/office/drawing/2014/main" id="{B9FD34EE-DC50-4611-A9B0-1664D0F77E22}"/>
              </a:ext>
            </a:extLst>
          </xdr:cNvPr>
          <xdr:cNvSpPr txBox="1"/>
        </xdr:nvSpPr>
        <xdr:spPr>
          <a:xfrm>
            <a:off x="64288864" y="7475729"/>
            <a:ext cx="1119690"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OTT</a:t>
            </a:r>
          </a:p>
        </xdr:txBody>
      </xdr:sp>
      <xdr:sp macro="" textlink="">
        <xdr:nvSpPr>
          <xdr:cNvPr id="87" name="Arrow: Pentagon 86">
            <a:extLst>
              <a:ext uri="{FF2B5EF4-FFF2-40B4-BE49-F238E27FC236}">
                <a16:creationId xmlns:a16="http://schemas.microsoft.com/office/drawing/2014/main" id="{8E3F1B2C-05C8-4FC8-9924-93CC3CD94EA6}"/>
              </a:ext>
            </a:extLst>
          </xdr:cNvPr>
          <xdr:cNvSpPr/>
        </xdr:nvSpPr>
        <xdr:spPr>
          <a:xfrm rot="5400000">
            <a:off x="69089810" y="8380534"/>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759199BC-094C-4B17-AF2D-54D45CAC8705}"/>
              </a:ext>
            </a:extLst>
          </xdr:cNvPr>
          <xdr:cNvSpPr txBox="1"/>
        </xdr:nvSpPr>
        <xdr:spPr>
          <a:xfrm>
            <a:off x="73586195" y="7465694"/>
            <a:ext cx="1119690"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DIC</a:t>
            </a:r>
          </a:p>
        </xdr:txBody>
      </xdr:sp>
      <xdr:sp macro="" textlink="">
        <xdr:nvSpPr>
          <xdr:cNvPr id="89" name="Arrow: Pentagon 88">
            <a:extLst>
              <a:ext uri="{FF2B5EF4-FFF2-40B4-BE49-F238E27FC236}">
                <a16:creationId xmlns:a16="http://schemas.microsoft.com/office/drawing/2014/main" id="{6051F2D8-4195-4660-A1A8-7C86A42BEE8E}"/>
              </a:ext>
            </a:extLst>
          </xdr:cNvPr>
          <xdr:cNvSpPr/>
        </xdr:nvSpPr>
        <xdr:spPr>
          <a:xfrm rot="5400000">
            <a:off x="73805268" y="11172576"/>
            <a:ext cx="306937" cy="217808"/>
          </a:xfrm>
          <a:prstGeom prst="homePlate">
            <a:avLst/>
          </a:prstGeom>
          <a:solidFill>
            <a:schemeClr val="accent4">
              <a:lumMod val="60000"/>
              <a:lumOff val="4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90" name="TextBox 89">
            <a:extLst>
              <a:ext uri="{FF2B5EF4-FFF2-40B4-BE49-F238E27FC236}">
                <a16:creationId xmlns:a16="http://schemas.microsoft.com/office/drawing/2014/main" id="{FFEBF637-3CCF-496C-9809-ADA3F929AABB}"/>
              </a:ext>
            </a:extLst>
          </xdr:cNvPr>
          <xdr:cNvSpPr txBox="1"/>
        </xdr:nvSpPr>
        <xdr:spPr>
          <a:xfrm>
            <a:off x="73015491" y="11436228"/>
            <a:ext cx="1849690" cy="440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CONGELARE Q4</a:t>
            </a:r>
          </a:p>
        </xdr:txBody>
      </xdr:sp>
      <xdr:sp macro="" textlink="">
        <xdr:nvSpPr>
          <xdr:cNvPr id="91" name="TextBox 90">
            <a:extLst>
              <a:ext uri="{FF2B5EF4-FFF2-40B4-BE49-F238E27FC236}">
                <a16:creationId xmlns:a16="http://schemas.microsoft.com/office/drawing/2014/main" id="{8682A9CD-334C-44DA-ACB5-DBE2E41F52E1}"/>
              </a:ext>
            </a:extLst>
          </xdr:cNvPr>
          <xdr:cNvSpPr txBox="1"/>
        </xdr:nvSpPr>
        <xdr:spPr>
          <a:xfrm>
            <a:off x="21680260" y="8763403"/>
            <a:ext cx="4516983" cy="2228310"/>
          </a:xfrm>
          <a:prstGeom prst="rect">
            <a:avLst/>
          </a:prstGeom>
          <a:no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600" b="1" baseline="0">
                <a:solidFill>
                  <a:schemeClr val="tx1"/>
                </a:solidFill>
                <a:effectLst/>
                <a:latin typeface="+mn-lt"/>
                <a:ea typeface="Yu Gothic" panose="020B0400000000000000" pitchFamily="34" charset="-128"/>
                <a:cs typeface="+mn-cs"/>
              </a:rPr>
              <a:t>Q1:</a:t>
            </a:r>
          </a:p>
          <a:p>
            <a:pPr algn="ctr"/>
            <a:r>
              <a:rPr lang="en-US" sz="1400" b="1" baseline="0">
                <a:solidFill>
                  <a:schemeClr val="tx1"/>
                </a:solidFill>
                <a:effectLst/>
                <a:latin typeface="+mn-lt"/>
                <a:ea typeface="Yu Gothic" panose="020B0400000000000000" pitchFamily="34" charset="-128"/>
                <a:cs typeface="+mn-cs"/>
              </a:rPr>
              <a:t>Q1 </a:t>
            </a:r>
            <a:r>
              <a:rPr lang="en-US" sz="1400" b="1" i="0" baseline="0">
                <a:solidFill>
                  <a:schemeClr val="tx1"/>
                </a:solidFill>
                <a:effectLst/>
                <a:latin typeface="+mn-lt"/>
                <a:ea typeface="Yu Gothic" panose="020B0400000000000000" pitchFamily="34" charset="-128"/>
                <a:cs typeface="+mn-cs"/>
              </a:rPr>
              <a:t>= PIAN (GEN - FEB - MAR)</a:t>
            </a:r>
          </a:p>
          <a:p>
            <a:pPr algn="ct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600" b="1" baseline="0">
                <a:solidFill>
                  <a:schemeClr val="tx1"/>
                </a:solidFill>
                <a:effectLst/>
                <a:latin typeface="+mn-lt"/>
                <a:ea typeface="Yu Gothic" panose="020B0400000000000000" pitchFamily="34" charset="-128"/>
                <a:cs typeface="+mn-cs"/>
              </a:rPr>
              <a:t>Q2</a:t>
            </a:r>
            <a:r>
              <a:rPr lang="en-US" sz="1200" b="0" baseline="0">
                <a:solidFill>
                  <a:schemeClr val="tx1"/>
                </a:solidFill>
                <a:effectLst/>
                <a:latin typeface="+mn-lt"/>
                <a:ea typeface="Yu Gothic" panose="020B0400000000000000" pitchFamily="34" charset="-128"/>
                <a:cs typeface="+mn-cs"/>
              </a:rPr>
              <a:t> = Q1 + PIAN(APR-MAG-GIU)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algn="ctr"/>
            <a:r>
              <a:rPr lang="en-US" sz="1600" b="1" baseline="0">
                <a:solidFill>
                  <a:schemeClr val="tx1"/>
                </a:solidFill>
                <a:effectLst/>
                <a:latin typeface="+mn-lt"/>
                <a:ea typeface="Yu Gothic" panose="020B0400000000000000" pitchFamily="34" charset="-128"/>
                <a:cs typeface="+mn-cs"/>
              </a:rPr>
              <a:t>Q3</a:t>
            </a:r>
            <a:r>
              <a:rPr lang="en-US" sz="1200" b="0" baseline="0">
                <a:solidFill>
                  <a:schemeClr val="tx1"/>
                </a:solidFill>
                <a:effectLst/>
                <a:latin typeface="+mn-lt"/>
                <a:ea typeface="Yu Gothic" panose="020B0400000000000000" pitchFamily="34" charset="-128"/>
                <a:cs typeface="+mn-cs"/>
              </a:rPr>
              <a:t> = Q2 + PIAN(LUG-AGO-SETT) </a:t>
            </a:r>
          </a:p>
          <a:p>
            <a:pPr algn="ctr"/>
            <a:endParaRPr lang="en-US" sz="1200">
              <a:effectLst/>
              <a:latin typeface="+mn-lt"/>
              <a:ea typeface="Yu Gothic" panose="020B0400000000000000" pitchFamily="34"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600" b="1" baseline="0">
                <a:solidFill>
                  <a:schemeClr val="tx1"/>
                </a:solidFill>
                <a:effectLst/>
                <a:latin typeface="+mn-lt"/>
                <a:ea typeface="Yu Gothic" panose="020B0400000000000000" pitchFamily="34" charset="-128"/>
                <a:cs typeface="+mn-cs"/>
              </a:rPr>
              <a:t>Q4</a:t>
            </a:r>
            <a:r>
              <a:rPr lang="en-US" sz="1200" b="0" baseline="0">
                <a:solidFill>
                  <a:schemeClr val="tx1"/>
                </a:solidFill>
                <a:effectLst/>
                <a:latin typeface="+mn-lt"/>
                <a:ea typeface="Yu Gothic" panose="020B0400000000000000" pitchFamily="34" charset="-128"/>
                <a:cs typeface="+mn-cs"/>
              </a:rPr>
              <a:t> = Q3 + PIAN(OTT-NOV-DIC) </a:t>
            </a:r>
            <a:endParaRPr lang="en-US" sz="1200">
              <a:effectLst/>
              <a:latin typeface="+mn-lt"/>
              <a:ea typeface="Yu Gothic" panose="020B0400000000000000" pitchFamily="34" charset="-128"/>
            </a:endParaRPr>
          </a:p>
        </xdr:txBody>
      </xdr:sp>
      <xdr:sp macro="" textlink="">
        <xdr:nvSpPr>
          <xdr:cNvPr id="92" name="TextBox 91">
            <a:extLst>
              <a:ext uri="{FF2B5EF4-FFF2-40B4-BE49-F238E27FC236}">
                <a16:creationId xmlns:a16="http://schemas.microsoft.com/office/drawing/2014/main" id="{3ED33429-359F-42BD-93BD-CA10AC4B423D}"/>
              </a:ext>
            </a:extLst>
          </xdr:cNvPr>
          <xdr:cNvSpPr txBox="1"/>
        </xdr:nvSpPr>
        <xdr:spPr>
          <a:xfrm>
            <a:off x="26358716" y="8739787"/>
            <a:ext cx="4245351" cy="2240808"/>
          </a:xfrm>
          <a:prstGeom prst="rect">
            <a:avLst/>
          </a:prstGeom>
          <a:no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600" b="1" baseline="0">
                <a:solidFill>
                  <a:schemeClr val="tx1"/>
                </a:solidFill>
                <a:effectLst/>
                <a:latin typeface="+mn-lt"/>
                <a:ea typeface="Yu Gothic" panose="020B0400000000000000" pitchFamily="34" charset="-128"/>
                <a:cs typeface="+mn-cs"/>
              </a:rPr>
              <a:t>Q1:</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&gt;</a:t>
            </a:r>
            <a:r>
              <a:rPr lang="en-US" sz="1200" b="0" baseline="0">
                <a:solidFill>
                  <a:schemeClr val="tx1"/>
                </a:solidFill>
                <a:effectLst/>
                <a:latin typeface="+mn-lt"/>
                <a:ea typeface="Yu Gothic" panose="020B0400000000000000" pitchFamily="34" charset="-128"/>
                <a:cs typeface="+mn-cs"/>
              </a:rPr>
              <a:t> PIAN (GEN)  ==&gt; </a:t>
            </a:r>
            <a:r>
              <a:rPr lang="en-US" sz="1200" b="1" baseline="0">
                <a:solidFill>
                  <a:schemeClr val="tx1"/>
                </a:solidFill>
                <a:effectLst/>
                <a:latin typeface="+mn-lt"/>
                <a:ea typeface="Yu Gothic" panose="020B0400000000000000" pitchFamily="34" charset="-128"/>
                <a:cs typeface="+mn-cs"/>
              </a:rPr>
              <a:t>Q1 </a:t>
            </a:r>
            <a:r>
              <a:rPr lang="en-US" sz="1200" b="1" i="0" baseline="0">
                <a:solidFill>
                  <a:schemeClr val="tx1"/>
                </a:solidFill>
                <a:effectLst/>
                <a:latin typeface="+mn-lt"/>
                <a:ea typeface="Yu Gothic" panose="020B0400000000000000" pitchFamily="34" charset="-128"/>
                <a:cs typeface="+mn-cs"/>
              </a:rPr>
              <a:t>= ACT + PIAN (FEB-MAR)</a:t>
            </a:r>
          </a:p>
          <a:p>
            <a:pPr marL="0" marR="0" lvl="0" indent="0" algn="ctr" defTabSz="914400" eaLnBrk="1" fontAlgn="auto" latinLnBrk="0" hangingPunct="1">
              <a:lnSpc>
                <a:spcPct val="100000"/>
              </a:lnSpc>
              <a:spcBef>
                <a:spcPts val="0"/>
              </a:spcBef>
              <a:spcAft>
                <a:spcPts val="0"/>
              </a:spcAft>
              <a:buClrTx/>
              <a:buSzTx/>
              <a:buFontTx/>
              <a:buNone/>
              <a:tabLst/>
              <a:defRPr/>
            </a:pP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&lt;</a:t>
            </a:r>
            <a:r>
              <a:rPr lang="en-US" sz="1200" b="0" baseline="0">
                <a:solidFill>
                  <a:schemeClr val="tx1"/>
                </a:solidFill>
                <a:effectLst/>
                <a:latin typeface="+mn-lt"/>
                <a:ea typeface="Yu Gothic" panose="020B0400000000000000" pitchFamily="34" charset="-128"/>
                <a:cs typeface="+mn-cs"/>
              </a:rPr>
              <a:t> PIAN (GEN)  ==&gt; </a:t>
            </a:r>
            <a:r>
              <a:rPr lang="en-US" sz="1200" b="1" baseline="0">
                <a:solidFill>
                  <a:schemeClr val="tx1"/>
                </a:solidFill>
                <a:effectLst/>
                <a:latin typeface="+mn-lt"/>
                <a:ea typeface="Yu Gothic" panose="020B0400000000000000" pitchFamily="34" charset="-128"/>
                <a:cs typeface="+mn-cs"/>
              </a:rPr>
              <a:t>Q1 = PIAN (da GEN a MAR)</a:t>
            </a:r>
            <a:endParaRPr lang="en-US" sz="1400" b="1" baseline="0">
              <a:solidFill>
                <a:schemeClr val="tx1"/>
              </a:solidFill>
              <a:effectLst/>
              <a:latin typeface="+mn-lt"/>
              <a:ea typeface="Yu Gothic" panose="020B0400000000000000" pitchFamily="34" charset="-128"/>
              <a:cs typeface="+mn-cs"/>
            </a:endParaRPr>
          </a:p>
          <a:p>
            <a:pPr algn="ct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Q2</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Q1 + PIAN(APR-MAG-GIU)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Q2 + PIAN(LUG-AGO-SETT)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Q3 + PIAN(OTT-NOV-DIC) </a:t>
            </a:r>
          </a:p>
        </xdr:txBody>
      </xdr:sp>
      <xdr:sp macro="" textlink="">
        <xdr:nvSpPr>
          <xdr:cNvPr id="93" name="TextBox 92">
            <a:extLst>
              <a:ext uri="{FF2B5EF4-FFF2-40B4-BE49-F238E27FC236}">
                <a16:creationId xmlns:a16="http://schemas.microsoft.com/office/drawing/2014/main" id="{BECFAF5D-EDDE-4167-8250-74E13C3D9AD9}"/>
              </a:ext>
            </a:extLst>
          </xdr:cNvPr>
          <xdr:cNvSpPr txBox="1"/>
        </xdr:nvSpPr>
        <xdr:spPr>
          <a:xfrm>
            <a:off x="30782158" y="8735304"/>
            <a:ext cx="4238147" cy="2240808"/>
          </a:xfrm>
          <a:prstGeom prst="rect">
            <a:avLst/>
          </a:prstGeom>
          <a:no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600" b="1" baseline="0">
                <a:solidFill>
                  <a:schemeClr val="tx1"/>
                </a:solidFill>
                <a:effectLst/>
                <a:latin typeface="+mn-lt"/>
                <a:ea typeface="Yu Gothic" panose="020B0400000000000000" pitchFamily="34" charset="-128"/>
                <a:cs typeface="+mn-cs"/>
              </a:rPr>
              <a:t>Q1:</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&gt;</a:t>
            </a:r>
            <a:r>
              <a:rPr lang="en-US" sz="1200" b="0" baseline="0">
                <a:solidFill>
                  <a:schemeClr val="tx1"/>
                </a:solidFill>
                <a:effectLst/>
                <a:latin typeface="+mn-lt"/>
                <a:ea typeface="Yu Gothic" panose="020B0400000000000000" pitchFamily="34" charset="-128"/>
                <a:cs typeface="+mn-cs"/>
              </a:rPr>
              <a:t> PIAN (da GEN a FEB)  ==&gt; </a:t>
            </a:r>
            <a:r>
              <a:rPr lang="en-US" sz="1200" b="1" baseline="0">
                <a:solidFill>
                  <a:schemeClr val="tx1"/>
                </a:solidFill>
                <a:effectLst/>
                <a:latin typeface="+mn-lt"/>
                <a:ea typeface="Yu Gothic" panose="020B0400000000000000" pitchFamily="34" charset="-128"/>
                <a:cs typeface="+mn-cs"/>
              </a:rPr>
              <a:t>Q1 </a:t>
            </a:r>
            <a:r>
              <a:rPr lang="en-US" sz="1200" b="1" i="0" baseline="0">
                <a:solidFill>
                  <a:schemeClr val="tx1"/>
                </a:solidFill>
                <a:effectLst/>
                <a:latin typeface="+mn-lt"/>
                <a:ea typeface="Yu Gothic" panose="020B0400000000000000" pitchFamily="34" charset="-128"/>
                <a:cs typeface="+mn-cs"/>
              </a:rPr>
              <a:t>= ACT + PIAN(MAR)</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&lt;</a:t>
            </a:r>
            <a:r>
              <a:rPr lang="en-US" sz="1200" b="0" baseline="0">
                <a:solidFill>
                  <a:schemeClr val="tx1"/>
                </a:solidFill>
                <a:effectLst/>
                <a:latin typeface="+mn-lt"/>
                <a:ea typeface="Yu Gothic" panose="020B0400000000000000" pitchFamily="34" charset="-128"/>
                <a:cs typeface="+mn-cs"/>
              </a:rPr>
              <a:t> PIAN </a:t>
            </a:r>
            <a:r>
              <a:rPr lang="en-US" sz="1400" b="0" baseline="0">
                <a:solidFill>
                  <a:schemeClr val="tx1"/>
                </a:solidFill>
                <a:effectLst/>
                <a:latin typeface="+mn-lt"/>
                <a:ea typeface="Yu Gothic" panose="020B0400000000000000" pitchFamily="34" charset="-128"/>
                <a:cs typeface="+mn-cs"/>
              </a:rPr>
              <a:t>(</a:t>
            </a:r>
            <a:r>
              <a:rPr lang="en-US" sz="1200" b="0" baseline="0">
                <a:solidFill>
                  <a:schemeClr val="tx1"/>
                </a:solidFill>
                <a:effectLst/>
                <a:latin typeface="+mn-lt"/>
                <a:ea typeface="+mn-ea"/>
                <a:cs typeface="+mn-cs"/>
              </a:rPr>
              <a:t>da GEN a FEB</a:t>
            </a:r>
            <a:r>
              <a:rPr lang="en-US" sz="1400" b="0" baseline="0">
                <a:solidFill>
                  <a:schemeClr val="tx1"/>
                </a:solidFill>
                <a:effectLst/>
                <a:latin typeface="+mn-lt"/>
                <a:ea typeface="Yu Gothic" panose="020B0400000000000000" pitchFamily="34" charset="-128"/>
                <a:cs typeface="+mn-cs"/>
              </a:rPr>
              <a:t>)  </a:t>
            </a:r>
            <a:r>
              <a:rPr lang="en-US" sz="1200" b="0" baseline="0">
                <a:solidFill>
                  <a:schemeClr val="tx1"/>
                </a:solidFill>
                <a:effectLst/>
                <a:latin typeface="+mn-lt"/>
                <a:ea typeface="Yu Gothic" panose="020B0400000000000000" pitchFamily="34" charset="-128"/>
                <a:cs typeface="+mn-cs"/>
              </a:rPr>
              <a:t>==&gt; </a:t>
            </a:r>
            <a:r>
              <a:rPr lang="en-US" sz="1200" b="1" baseline="0">
                <a:solidFill>
                  <a:schemeClr val="tx1"/>
                </a:solidFill>
                <a:effectLst/>
                <a:latin typeface="+mn-lt"/>
                <a:ea typeface="Yu Gothic" panose="020B0400000000000000" pitchFamily="34" charset="-128"/>
                <a:cs typeface="+mn-cs"/>
              </a:rPr>
              <a:t>Q1 = PIAN (da GEN a MAR)</a:t>
            </a:r>
            <a:endParaRPr lang="en-US" sz="1400" b="1" baseline="0">
              <a:solidFill>
                <a:schemeClr val="tx1"/>
              </a:solidFill>
              <a:effectLst/>
              <a:latin typeface="+mn-lt"/>
              <a:ea typeface="Yu Gothic" panose="020B0400000000000000" pitchFamily="34" charset="-128"/>
              <a:cs typeface="+mn-cs"/>
            </a:endParaRPr>
          </a:p>
          <a:p>
            <a:pPr algn="ct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Q2</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Q1 + PIAN(APR-MAG-GIU)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Q2 + PIAN(LUG-AGO-SETT)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Q3 + PIAN(OTT-NOV-DIC) </a:t>
            </a:r>
          </a:p>
        </xdr:txBody>
      </xdr:sp>
      <xdr:sp macro="" textlink="">
        <xdr:nvSpPr>
          <xdr:cNvPr id="94" name="TextBox 93">
            <a:extLst>
              <a:ext uri="{FF2B5EF4-FFF2-40B4-BE49-F238E27FC236}">
                <a16:creationId xmlns:a16="http://schemas.microsoft.com/office/drawing/2014/main" id="{7B2572AB-E2A1-4E54-8B30-715E17EB1ED9}"/>
              </a:ext>
            </a:extLst>
          </xdr:cNvPr>
          <xdr:cNvSpPr txBox="1"/>
        </xdr:nvSpPr>
        <xdr:spPr>
          <a:xfrm>
            <a:off x="35232014" y="8730821"/>
            <a:ext cx="4245351" cy="2240808"/>
          </a:xfrm>
          <a:prstGeom prst="rect">
            <a:avLst/>
          </a:prstGeom>
          <a:no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accent1"/>
                </a:solidFill>
                <a:effectLst/>
                <a:latin typeface="+mn-lt"/>
                <a:ea typeface="+mn-ea"/>
                <a:cs typeface="+mn-cs"/>
              </a:rPr>
              <a:t>Q1</a:t>
            </a:r>
            <a:r>
              <a:rPr lang="en-US" sz="1400" b="0" baseline="0">
                <a:solidFill>
                  <a:schemeClr val="accent1"/>
                </a:solidFill>
                <a:effectLst/>
                <a:latin typeface="+mn-lt"/>
                <a:ea typeface="+mn-ea"/>
                <a:cs typeface="+mn-cs"/>
              </a:rPr>
              <a:t> = </a:t>
            </a:r>
            <a:r>
              <a:rPr lang="en-US" sz="1400" b="1" baseline="0">
                <a:solidFill>
                  <a:schemeClr val="accent1"/>
                </a:solidFill>
                <a:effectLst/>
                <a:latin typeface="+mn-lt"/>
                <a:ea typeface="+mn-ea"/>
                <a:cs typeface="+mn-cs"/>
              </a:rPr>
              <a:t>CONGELATO</a:t>
            </a:r>
            <a:endParaRPr lang="en-US" sz="2000" b="1" baseline="0">
              <a:solidFill>
                <a:schemeClr val="accent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algn="ctr"/>
            <a:r>
              <a:rPr lang="en-US" sz="1600" b="1" baseline="0">
                <a:solidFill>
                  <a:schemeClr val="tx1"/>
                </a:solidFill>
                <a:effectLst/>
                <a:latin typeface="+mn-lt"/>
                <a:ea typeface="Yu Gothic" panose="020B0400000000000000" pitchFamily="34" charset="-128"/>
                <a:cs typeface="+mn-cs"/>
              </a:rPr>
              <a:t>Q2:</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&gt;</a:t>
            </a:r>
            <a:r>
              <a:rPr lang="en-US" sz="1200" b="0" baseline="0">
                <a:solidFill>
                  <a:schemeClr val="tx1"/>
                </a:solidFill>
                <a:effectLst/>
                <a:latin typeface="+mn-lt"/>
                <a:ea typeface="Yu Gothic" panose="020B0400000000000000" pitchFamily="34" charset="-128"/>
                <a:cs typeface="+mn-cs"/>
              </a:rPr>
              <a:t> PIAN (da GEN a MAR)  ==&gt; </a:t>
            </a:r>
            <a:r>
              <a:rPr lang="en-US" sz="1200" b="1" baseline="0">
                <a:solidFill>
                  <a:schemeClr val="tx1"/>
                </a:solidFill>
                <a:effectLst/>
                <a:latin typeface="+mn-lt"/>
                <a:ea typeface="Yu Gothic" panose="020B0400000000000000" pitchFamily="34" charset="-128"/>
                <a:cs typeface="+mn-cs"/>
              </a:rPr>
              <a:t>Q2 </a:t>
            </a:r>
            <a:r>
              <a:rPr lang="en-US" sz="1200" b="1" i="0" baseline="0">
                <a:solidFill>
                  <a:schemeClr val="tx1"/>
                </a:solidFill>
                <a:effectLst/>
                <a:latin typeface="+mn-lt"/>
                <a:ea typeface="Yu Gothic" panose="020B0400000000000000" pitchFamily="34" charset="-128"/>
                <a:cs typeface="+mn-cs"/>
              </a:rPr>
              <a:t>= ACT + PIAN (APR - MAG - GIU)</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&lt;</a:t>
            </a:r>
            <a:r>
              <a:rPr lang="en-US" sz="1200" b="0" baseline="0">
                <a:solidFill>
                  <a:schemeClr val="tx1"/>
                </a:solidFill>
                <a:effectLst/>
                <a:latin typeface="+mn-lt"/>
                <a:ea typeface="Yu Gothic" panose="020B0400000000000000" pitchFamily="34" charset="-128"/>
                <a:cs typeface="+mn-cs"/>
              </a:rPr>
              <a:t> PIAN </a:t>
            </a:r>
            <a:r>
              <a:rPr lang="en-US" sz="1400" b="0" baseline="0">
                <a:solidFill>
                  <a:schemeClr val="tx1"/>
                </a:solidFill>
                <a:effectLst/>
                <a:latin typeface="+mn-lt"/>
                <a:ea typeface="Yu Gothic" panose="020B0400000000000000" pitchFamily="34" charset="-128"/>
                <a:cs typeface="+mn-cs"/>
              </a:rPr>
              <a:t>(</a:t>
            </a:r>
            <a:r>
              <a:rPr lang="en-US" sz="1200" b="0" baseline="0">
                <a:solidFill>
                  <a:schemeClr val="tx1"/>
                </a:solidFill>
                <a:effectLst/>
                <a:latin typeface="+mn-lt"/>
                <a:ea typeface="+mn-ea"/>
                <a:cs typeface="+mn-cs"/>
              </a:rPr>
              <a:t>da GEN a MAR</a:t>
            </a:r>
            <a:r>
              <a:rPr lang="en-US" sz="1400" b="0" baseline="0">
                <a:solidFill>
                  <a:schemeClr val="tx1"/>
                </a:solidFill>
                <a:effectLst/>
                <a:latin typeface="+mn-lt"/>
                <a:ea typeface="Yu Gothic" panose="020B0400000000000000" pitchFamily="34" charset="-128"/>
                <a:cs typeface="+mn-cs"/>
              </a:rPr>
              <a:t>)  </a:t>
            </a:r>
            <a:r>
              <a:rPr lang="en-US" sz="1200" b="0" baseline="0">
                <a:solidFill>
                  <a:schemeClr val="tx1"/>
                </a:solidFill>
                <a:effectLst/>
                <a:latin typeface="+mn-lt"/>
                <a:ea typeface="Yu Gothic" panose="020B0400000000000000" pitchFamily="34" charset="-128"/>
                <a:cs typeface="+mn-cs"/>
              </a:rPr>
              <a:t>==&gt; </a:t>
            </a:r>
            <a:r>
              <a:rPr lang="en-US" sz="1200" b="1" baseline="0">
                <a:solidFill>
                  <a:schemeClr val="tx1"/>
                </a:solidFill>
                <a:effectLst/>
                <a:latin typeface="+mn-lt"/>
                <a:ea typeface="Yu Gothic" panose="020B0400000000000000" pitchFamily="34" charset="-128"/>
                <a:cs typeface="+mn-cs"/>
              </a:rPr>
              <a:t>Q2 = PIAN (da GEN a GIU)</a:t>
            </a: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Q2 + PIAN(LUG-AGO-SETT)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Q3 + PIAN(OTT-NOV-DIC) </a:t>
            </a:r>
          </a:p>
        </xdr:txBody>
      </xdr:sp>
      <xdr:sp macro="" textlink="">
        <xdr:nvSpPr>
          <xdr:cNvPr id="95" name="TextBox 94">
            <a:extLst>
              <a:ext uri="{FF2B5EF4-FFF2-40B4-BE49-F238E27FC236}">
                <a16:creationId xmlns:a16="http://schemas.microsoft.com/office/drawing/2014/main" id="{5038C619-148C-4905-AC17-9AFF97CDA64A}"/>
              </a:ext>
            </a:extLst>
          </xdr:cNvPr>
          <xdr:cNvSpPr txBox="1"/>
        </xdr:nvSpPr>
        <xdr:spPr>
          <a:xfrm>
            <a:off x="39704282" y="8726339"/>
            <a:ext cx="4245350" cy="2240808"/>
          </a:xfrm>
          <a:prstGeom prst="rect">
            <a:avLst/>
          </a:prstGeom>
          <a:solidFill>
            <a:schemeClr val="bg1"/>
          </a:solidFill>
          <a:ln>
            <a:solidFill>
              <a:schemeClr val="accent4">
                <a:lumMod val="40000"/>
                <a:lumOff val="60000"/>
              </a:schemeClr>
            </a:solidFill>
          </a:ln>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accent1"/>
                </a:solidFill>
                <a:effectLst/>
                <a:latin typeface="+mn-lt"/>
                <a:ea typeface="+mn-ea"/>
                <a:cs typeface="+mn-cs"/>
              </a:rPr>
              <a:t>Q1</a:t>
            </a:r>
            <a:r>
              <a:rPr lang="en-US" sz="1400" b="0" baseline="0">
                <a:solidFill>
                  <a:schemeClr val="accent1"/>
                </a:solidFill>
                <a:effectLst/>
                <a:latin typeface="+mn-lt"/>
                <a:ea typeface="+mn-ea"/>
                <a:cs typeface="+mn-cs"/>
              </a:rPr>
              <a:t> = </a:t>
            </a:r>
            <a:r>
              <a:rPr lang="en-US" sz="1400" b="1" baseline="0">
                <a:solidFill>
                  <a:schemeClr val="accent1"/>
                </a:solidFill>
                <a:effectLst/>
                <a:latin typeface="+mn-lt"/>
                <a:ea typeface="+mn-ea"/>
                <a:cs typeface="+mn-cs"/>
              </a:rPr>
              <a:t>CONGELATO</a:t>
            </a:r>
            <a:endParaRPr lang="en-US" sz="2000" b="1" baseline="0">
              <a:solidFill>
                <a:schemeClr val="accent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algn="ctr"/>
            <a:r>
              <a:rPr lang="en-US" sz="1600" b="1" baseline="0">
                <a:solidFill>
                  <a:schemeClr val="tx1"/>
                </a:solidFill>
                <a:effectLst/>
                <a:latin typeface="+mn-lt"/>
                <a:ea typeface="Yu Gothic" panose="020B0400000000000000" pitchFamily="34" charset="-128"/>
                <a:cs typeface="+mn-cs"/>
              </a:rPr>
              <a:t>Q2:</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&gt;</a:t>
            </a:r>
            <a:r>
              <a:rPr lang="en-US" sz="1200" b="0" baseline="0">
                <a:solidFill>
                  <a:schemeClr val="tx1"/>
                </a:solidFill>
                <a:effectLst/>
                <a:latin typeface="+mn-lt"/>
                <a:ea typeface="Yu Gothic" panose="020B0400000000000000" pitchFamily="34" charset="-128"/>
                <a:cs typeface="+mn-cs"/>
              </a:rPr>
              <a:t> PIAN (da GEN a APR)  ==&gt; </a:t>
            </a:r>
            <a:r>
              <a:rPr lang="en-US" sz="1200" b="1" baseline="0">
                <a:solidFill>
                  <a:schemeClr val="tx1"/>
                </a:solidFill>
                <a:effectLst/>
                <a:latin typeface="+mn-lt"/>
                <a:ea typeface="Yu Gothic" panose="020B0400000000000000" pitchFamily="34" charset="-128"/>
                <a:cs typeface="+mn-cs"/>
              </a:rPr>
              <a:t>Q2 </a:t>
            </a:r>
            <a:r>
              <a:rPr lang="en-US" sz="1200" b="1" i="0" baseline="0">
                <a:solidFill>
                  <a:schemeClr val="tx1"/>
                </a:solidFill>
                <a:effectLst/>
                <a:latin typeface="+mn-lt"/>
                <a:ea typeface="Yu Gothic" panose="020B0400000000000000" pitchFamily="34" charset="-128"/>
                <a:cs typeface="+mn-cs"/>
              </a:rPr>
              <a:t>= ACT + PIAN (MAG - GIU)</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&lt;</a:t>
            </a:r>
            <a:r>
              <a:rPr lang="en-US" sz="1200" b="0" baseline="0">
                <a:solidFill>
                  <a:schemeClr val="tx1"/>
                </a:solidFill>
                <a:effectLst/>
                <a:latin typeface="+mn-lt"/>
                <a:ea typeface="Yu Gothic" panose="020B0400000000000000" pitchFamily="34" charset="-128"/>
                <a:cs typeface="+mn-cs"/>
              </a:rPr>
              <a:t> PIAN </a:t>
            </a:r>
            <a:r>
              <a:rPr lang="en-US" sz="1400" b="0" baseline="0">
                <a:solidFill>
                  <a:schemeClr val="tx1"/>
                </a:solidFill>
                <a:effectLst/>
                <a:latin typeface="+mn-lt"/>
                <a:ea typeface="Yu Gothic" panose="020B0400000000000000" pitchFamily="34" charset="-128"/>
                <a:cs typeface="+mn-cs"/>
              </a:rPr>
              <a:t>(</a:t>
            </a:r>
            <a:r>
              <a:rPr lang="en-US" sz="1200" b="0" baseline="0">
                <a:solidFill>
                  <a:schemeClr val="tx1"/>
                </a:solidFill>
                <a:effectLst/>
                <a:latin typeface="+mn-lt"/>
                <a:ea typeface="+mn-ea"/>
                <a:cs typeface="+mn-cs"/>
              </a:rPr>
              <a:t>da GEN a APR</a:t>
            </a:r>
            <a:r>
              <a:rPr lang="en-US" sz="1400" b="0" baseline="0">
                <a:solidFill>
                  <a:schemeClr val="tx1"/>
                </a:solidFill>
                <a:effectLst/>
                <a:latin typeface="+mn-lt"/>
                <a:ea typeface="Yu Gothic" panose="020B0400000000000000" pitchFamily="34" charset="-128"/>
                <a:cs typeface="+mn-cs"/>
              </a:rPr>
              <a:t>)  </a:t>
            </a:r>
            <a:r>
              <a:rPr lang="en-US" sz="1200" b="0" baseline="0">
                <a:solidFill>
                  <a:schemeClr val="tx1"/>
                </a:solidFill>
                <a:effectLst/>
                <a:latin typeface="+mn-lt"/>
                <a:ea typeface="Yu Gothic" panose="020B0400000000000000" pitchFamily="34" charset="-128"/>
                <a:cs typeface="+mn-cs"/>
              </a:rPr>
              <a:t>==&gt; </a:t>
            </a:r>
            <a:r>
              <a:rPr lang="en-US" sz="1200" b="1" baseline="0">
                <a:solidFill>
                  <a:schemeClr val="tx1"/>
                </a:solidFill>
                <a:effectLst/>
                <a:latin typeface="+mn-lt"/>
                <a:ea typeface="Yu Gothic" panose="020B0400000000000000" pitchFamily="34" charset="-128"/>
                <a:cs typeface="+mn-cs"/>
              </a:rPr>
              <a:t>Q2 = PIAN (da GEN a GIU)</a:t>
            </a: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Q2 + PIAN(LUG-AGO-SETT)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Q3 + PIAN(OTT-NOV-DIC) </a:t>
            </a:r>
          </a:p>
        </xdr:txBody>
      </xdr:sp>
      <xdr:sp macro="" textlink="">
        <xdr:nvSpPr>
          <xdr:cNvPr id="96" name="TextBox 95">
            <a:extLst>
              <a:ext uri="{FF2B5EF4-FFF2-40B4-BE49-F238E27FC236}">
                <a16:creationId xmlns:a16="http://schemas.microsoft.com/office/drawing/2014/main" id="{D336B707-A987-49D0-82AD-2481A8E731E7}"/>
              </a:ext>
            </a:extLst>
          </xdr:cNvPr>
          <xdr:cNvSpPr txBox="1"/>
        </xdr:nvSpPr>
        <xdr:spPr>
          <a:xfrm>
            <a:off x="44214650" y="8737545"/>
            <a:ext cx="4245351" cy="2240808"/>
          </a:xfrm>
          <a:prstGeom prst="rect">
            <a:avLst/>
          </a:prstGeom>
          <a:solidFill>
            <a:schemeClr val="bg1"/>
          </a:solidFill>
          <a:ln w="3175"/>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bg1"/>
                </a:solidFill>
                <a:effectLst/>
                <a:latin typeface="+mn-lt"/>
                <a:ea typeface="+mn-ea"/>
                <a:cs typeface="+mn-cs"/>
              </a:rPr>
              <a:t>Q1</a:t>
            </a:r>
            <a:r>
              <a:rPr lang="en-US" sz="1400" b="0" baseline="0">
                <a:solidFill>
                  <a:schemeClr val="bg1"/>
                </a:solidFill>
                <a:effectLst/>
                <a:latin typeface="+mn-lt"/>
                <a:ea typeface="+mn-ea"/>
                <a:cs typeface="+mn-cs"/>
              </a:rPr>
              <a:t> = </a:t>
            </a:r>
            <a:r>
              <a:rPr lang="en-US" sz="1400" b="1" baseline="0">
                <a:solidFill>
                  <a:schemeClr val="bg1"/>
                </a:solidFill>
                <a:effectLst/>
                <a:latin typeface="+mn-lt"/>
                <a:ea typeface="+mn-ea"/>
                <a:cs typeface="+mn-cs"/>
              </a:rPr>
              <a:t>CONGELATO</a:t>
            </a:r>
            <a:endParaRPr lang="en-US" sz="2000" b="1" baseline="0">
              <a:solidFill>
                <a:schemeClr val="bg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algn="ctr"/>
            <a:r>
              <a:rPr lang="en-US" sz="1600" b="1" baseline="0">
                <a:solidFill>
                  <a:schemeClr val="tx1"/>
                </a:solidFill>
                <a:effectLst/>
                <a:latin typeface="+mn-lt"/>
                <a:ea typeface="Yu Gothic" panose="020B0400000000000000" pitchFamily="34" charset="-128"/>
                <a:cs typeface="+mn-cs"/>
              </a:rPr>
              <a:t>Q2:</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&gt;</a:t>
            </a:r>
            <a:r>
              <a:rPr lang="en-US" sz="1200" b="0" baseline="0">
                <a:solidFill>
                  <a:schemeClr val="tx1"/>
                </a:solidFill>
                <a:effectLst/>
                <a:latin typeface="+mn-lt"/>
                <a:ea typeface="Yu Gothic" panose="020B0400000000000000" pitchFamily="34" charset="-128"/>
                <a:cs typeface="+mn-cs"/>
              </a:rPr>
              <a:t> PIAN (da GEN a MAG)  ==&gt; </a:t>
            </a:r>
            <a:r>
              <a:rPr lang="en-US" sz="1200" b="1" baseline="0">
                <a:solidFill>
                  <a:schemeClr val="tx1"/>
                </a:solidFill>
                <a:effectLst/>
                <a:latin typeface="+mn-lt"/>
                <a:ea typeface="Yu Gothic" panose="020B0400000000000000" pitchFamily="34" charset="-128"/>
                <a:cs typeface="+mn-cs"/>
              </a:rPr>
              <a:t>Q2 </a:t>
            </a:r>
            <a:r>
              <a:rPr lang="en-US" sz="1200" b="1" i="0" baseline="0">
                <a:solidFill>
                  <a:schemeClr val="tx1"/>
                </a:solidFill>
                <a:effectLst/>
                <a:latin typeface="+mn-lt"/>
                <a:ea typeface="Yu Gothic" panose="020B0400000000000000" pitchFamily="34" charset="-128"/>
                <a:cs typeface="+mn-cs"/>
              </a:rPr>
              <a:t>= ACT + PIAN (GIU)</a:t>
            </a:r>
          </a:p>
          <a:p>
            <a:pPr algn="ctr"/>
            <a:r>
              <a:rPr lang="en-US" sz="1200" b="0" baseline="0">
                <a:solidFill>
                  <a:schemeClr val="tx1"/>
                </a:solidFill>
                <a:effectLst/>
                <a:latin typeface="+mn-lt"/>
                <a:ea typeface="Yu Gothic" panose="020B0400000000000000" pitchFamily="34" charset="-128"/>
                <a:cs typeface="+mn-cs"/>
              </a:rPr>
              <a:t>SE (ACT) </a:t>
            </a:r>
            <a:r>
              <a:rPr lang="en-US" sz="1400" b="1" baseline="0">
                <a:solidFill>
                  <a:schemeClr val="tx1"/>
                </a:solidFill>
                <a:effectLst/>
                <a:latin typeface="+mn-lt"/>
                <a:ea typeface="Yu Gothic" panose="020B0400000000000000" pitchFamily="34" charset="-128"/>
                <a:cs typeface="+mn-cs"/>
              </a:rPr>
              <a:t>&lt;</a:t>
            </a:r>
            <a:r>
              <a:rPr lang="en-US" sz="1200" b="0" baseline="0">
                <a:solidFill>
                  <a:schemeClr val="tx1"/>
                </a:solidFill>
                <a:effectLst/>
                <a:latin typeface="+mn-lt"/>
                <a:ea typeface="Yu Gothic" panose="020B0400000000000000" pitchFamily="34" charset="-128"/>
                <a:cs typeface="+mn-cs"/>
              </a:rPr>
              <a:t> PIAN </a:t>
            </a:r>
            <a:r>
              <a:rPr lang="en-US" sz="1400" b="0" baseline="0">
                <a:solidFill>
                  <a:schemeClr val="tx1"/>
                </a:solidFill>
                <a:effectLst/>
                <a:latin typeface="+mn-lt"/>
                <a:ea typeface="Yu Gothic" panose="020B0400000000000000" pitchFamily="34" charset="-128"/>
                <a:cs typeface="+mn-cs"/>
              </a:rPr>
              <a:t>(</a:t>
            </a:r>
            <a:r>
              <a:rPr lang="en-US" sz="1200" b="0" baseline="0">
                <a:solidFill>
                  <a:schemeClr val="tx1"/>
                </a:solidFill>
                <a:effectLst/>
                <a:latin typeface="+mn-lt"/>
                <a:ea typeface="+mn-ea"/>
                <a:cs typeface="+mn-cs"/>
              </a:rPr>
              <a:t>da GEN a MAG</a:t>
            </a:r>
            <a:r>
              <a:rPr lang="en-US" sz="1400" b="0" baseline="0">
                <a:solidFill>
                  <a:schemeClr val="tx1"/>
                </a:solidFill>
                <a:effectLst/>
                <a:latin typeface="+mn-lt"/>
                <a:ea typeface="Yu Gothic" panose="020B0400000000000000" pitchFamily="34" charset="-128"/>
                <a:cs typeface="+mn-cs"/>
              </a:rPr>
              <a:t>)  </a:t>
            </a:r>
            <a:r>
              <a:rPr lang="en-US" sz="1200" b="0" baseline="0">
                <a:solidFill>
                  <a:schemeClr val="tx1"/>
                </a:solidFill>
                <a:effectLst/>
                <a:latin typeface="+mn-lt"/>
                <a:ea typeface="Yu Gothic" panose="020B0400000000000000" pitchFamily="34" charset="-128"/>
                <a:cs typeface="+mn-cs"/>
              </a:rPr>
              <a:t>==&gt; </a:t>
            </a:r>
            <a:r>
              <a:rPr lang="en-US" sz="1200" b="1" baseline="0">
                <a:solidFill>
                  <a:schemeClr val="tx1"/>
                </a:solidFill>
                <a:effectLst/>
                <a:latin typeface="+mn-lt"/>
                <a:ea typeface="Yu Gothic" panose="020B0400000000000000" pitchFamily="34" charset="-128"/>
                <a:cs typeface="+mn-cs"/>
              </a:rPr>
              <a:t>Q2 = PIAN (da GEN a GIU)</a:t>
            </a: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Q2 + PIAN(LUG-AGO-SETT) </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Q3 + PIAN(OTT-NOV-DIC) </a:t>
            </a:r>
          </a:p>
        </xdr:txBody>
      </xdr:sp>
      <xdr:sp macro="" textlink="">
        <xdr:nvSpPr>
          <xdr:cNvPr id="97" name="TextBox 96">
            <a:extLst>
              <a:ext uri="{FF2B5EF4-FFF2-40B4-BE49-F238E27FC236}">
                <a16:creationId xmlns:a16="http://schemas.microsoft.com/office/drawing/2014/main" id="{D50C6974-2D1B-4762-B858-CBEED16CA9C7}"/>
              </a:ext>
            </a:extLst>
          </xdr:cNvPr>
          <xdr:cNvSpPr txBox="1"/>
        </xdr:nvSpPr>
        <xdr:spPr>
          <a:xfrm>
            <a:off x="48682916" y="8733062"/>
            <a:ext cx="4397749" cy="2236068"/>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accent1"/>
                </a:solidFill>
                <a:effectLst/>
                <a:latin typeface="+mn-lt"/>
                <a:ea typeface="+mn-ea"/>
                <a:cs typeface="+mn-cs"/>
              </a:rPr>
              <a:t>Q1</a:t>
            </a:r>
            <a:r>
              <a:rPr lang="en-US" sz="1400" b="0" baseline="0">
                <a:solidFill>
                  <a:schemeClr val="accent1"/>
                </a:solidFill>
                <a:effectLst/>
                <a:latin typeface="+mn-lt"/>
                <a:ea typeface="+mn-ea"/>
                <a:cs typeface="+mn-cs"/>
              </a:rPr>
              <a:t> = </a:t>
            </a:r>
            <a:r>
              <a:rPr lang="en-US" sz="1400" b="1" baseline="0">
                <a:solidFill>
                  <a:schemeClr val="accent1"/>
                </a:solidFill>
                <a:effectLst/>
                <a:latin typeface="+mn-lt"/>
                <a:ea typeface="+mn-ea"/>
                <a:cs typeface="+mn-cs"/>
              </a:rPr>
              <a:t>CONGELATO</a:t>
            </a:r>
            <a:endParaRPr lang="en-US" sz="2000" b="1" baseline="0">
              <a:solidFill>
                <a:schemeClr val="accent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Q2</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&gt;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(da GEN a GIU)  ==&gt;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 = ACT + PIAN(LUG-AGO-SET)</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&lt;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da GEN a </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GIU</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 = PIAN (da GEN a SET)</a:t>
            </a:r>
            <a:endPar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Q3 + PIAN(OTT-NOV-DIC) </a:t>
            </a:r>
          </a:p>
        </xdr:txBody>
      </xdr:sp>
      <xdr:sp macro="" textlink="">
        <xdr:nvSpPr>
          <xdr:cNvPr id="98" name="TextBox 97">
            <a:extLst>
              <a:ext uri="{FF2B5EF4-FFF2-40B4-BE49-F238E27FC236}">
                <a16:creationId xmlns:a16="http://schemas.microsoft.com/office/drawing/2014/main" id="{C81CB438-8AAD-43CE-9294-10AE9F99B41C}"/>
              </a:ext>
            </a:extLst>
          </xdr:cNvPr>
          <xdr:cNvSpPr txBox="1"/>
        </xdr:nvSpPr>
        <xdr:spPr>
          <a:xfrm>
            <a:off x="53244831" y="8739786"/>
            <a:ext cx="4397748" cy="2248018"/>
          </a:xfrm>
          <a:prstGeom prst="rect">
            <a:avLst/>
          </a:prstGeom>
          <a:no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accent1"/>
                </a:solidFill>
                <a:effectLst/>
                <a:latin typeface="+mn-lt"/>
                <a:ea typeface="+mn-ea"/>
                <a:cs typeface="+mn-cs"/>
              </a:rPr>
              <a:t>Q1</a:t>
            </a:r>
            <a:r>
              <a:rPr lang="en-US" sz="1400" b="0" baseline="0">
                <a:solidFill>
                  <a:schemeClr val="accent1"/>
                </a:solidFill>
                <a:effectLst/>
                <a:latin typeface="+mn-lt"/>
                <a:ea typeface="+mn-ea"/>
                <a:cs typeface="+mn-cs"/>
              </a:rPr>
              <a:t> = </a:t>
            </a:r>
            <a:r>
              <a:rPr lang="en-US" sz="1400" b="1" baseline="0">
                <a:solidFill>
                  <a:schemeClr val="accent1"/>
                </a:solidFill>
                <a:effectLst/>
                <a:latin typeface="+mn-lt"/>
                <a:ea typeface="+mn-ea"/>
                <a:cs typeface="+mn-cs"/>
              </a:rPr>
              <a:t>CONGELATO</a:t>
            </a:r>
            <a:endParaRPr lang="en-US" sz="2000" b="1" baseline="0">
              <a:solidFill>
                <a:schemeClr val="accent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Q2</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&gt;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(da GEN a LUG)  ==&gt;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 = ACT + PIAN(AGO-SET)</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&lt;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da GEN a LUG</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 = PIAN (da GEN a SET)</a:t>
            </a:r>
            <a:endPar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Q3 + PIAN(OTT-NOV-DIC) </a:t>
            </a:r>
          </a:p>
        </xdr:txBody>
      </xdr:sp>
      <xdr:sp macro="" textlink="">
        <xdr:nvSpPr>
          <xdr:cNvPr id="99" name="TextBox 98">
            <a:extLst>
              <a:ext uri="{FF2B5EF4-FFF2-40B4-BE49-F238E27FC236}">
                <a16:creationId xmlns:a16="http://schemas.microsoft.com/office/drawing/2014/main" id="{8E36C5AB-1E15-42A5-9E44-992D73B5310E}"/>
              </a:ext>
            </a:extLst>
          </xdr:cNvPr>
          <xdr:cNvSpPr txBox="1"/>
        </xdr:nvSpPr>
        <xdr:spPr>
          <a:xfrm>
            <a:off x="57847566" y="8746510"/>
            <a:ext cx="4397749" cy="2241294"/>
          </a:xfrm>
          <a:prstGeom prst="rect">
            <a:avLst/>
          </a:prstGeom>
          <a:no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accent1"/>
                </a:solidFill>
                <a:effectLst/>
                <a:latin typeface="+mn-lt"/>
                <a:ea typeface="+mn-ea"/>
                <a:cs typeface="+mn-cs"/>
              </a:rPr>
              <a:t>Q1</a:t>
            </a:r>
            <a:r>
              <a:rPr lang="en-US" sz="1400" b="0" baseline="0">
                <a:solidFill>
                  <a:schemeClr val="accent1"/>
                </a:solidFill>
                <a:effectLst/>
                <a:latin typeface="+mn-lt"/>
                <a:ea typeface="+mn-ea"/>
                <a:cs typeface="+mn-cs"/>
              </a:rPr>
              <a:t> = </a:t>
            </a:r>
            <a:r>
              <a:rPr lang="en-US" sz="1400" b="1" baseline="0">
                <a:solidFill>
                  <a:schemeClr val="accent1"/>
                </a:solidFill>
                <a:effectLst/>
                <a:latin typeface="+mn-lt"/>
                <a:ea typeface="+mn-ea"/>
                <a:cs typeface="+mn-cs"/>
              </a:rPr>
              <a:t>CONGELATO</a:t>
            </a:r>
            <a:endParaRPr lang="en-US" sz="2000" b="1" baseline="0">
              <a:solidFill>
                <a:schemeClr val="accent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Q2</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&gt;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(da GEN a AGO)  ==&gt;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 = ACT + PIAN(SET)</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&lt;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da GEN a AGO</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Q3 = PIAN (da GEN a SET)</a:t>
            </a:r>
            <a:endPar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 Q3 + PIAN(OTT-NOV-DIC) </a:t>
            </a:r>
          </a:p>
        </xdr:txBody>
      </xdr:sp>
      <xdr:sp macro="" textlink="">
        <xdr:nvSpPr>
          <xdr:cNvPr id="100" name="TextBox 99">
            <a:extLst>
              <a:ext uri="{FF2B5EF4-FFF2-40B4-BE49-F238E27FC236}">
                <a16:creationId xmlns:a16="http://schemas.microsoft.com/office/drawing/2014/main" id="{EF1EFD99-A798-4884-BA08-F732108BF912}"/>
              </a:ext>
            </a:extLst>
          </xdr:cNvPr>
          <xdr:cNvSpPr txBox="1"/>
        </xdr:nvSpPr>
        <xdr:spPr>
          <a:xfrm>
            <a:off x="62443099" y="8742028"/>
            <a:ext cx="4397748" cy="2264453"/>
          </a:xfrm>
          <a:prstGeom prst="rect">
            <a:avLst/>
          </a:prstGeom>
          <a:solidFill>
            <a:schemeClr val="bg1"/>
          </a:solid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accent1"/>
                </a:solidFill>
                <a:effectLst/>
                <a:latin typeface="+mn-lt"/>
                <a:ea typeface="+mn-ea"/>
                <a:cs typeface="+mn-cs"/>
              </a:rPr>
              <a:t>Q1</a:t>
            </a:r>
            <a:r>
              <a:rPr lang="en-US" sz="1400" b="0" baseline="0">
                <a:solidFill>
                  <a:schemeClr val="accent1"/>
                </a:solidFill>
                <a:effectLst/>
                <a:latin typeface="+mn-lt"/>
                <a:ea typeface="+mn-ea"/>
                <a:cs typeface="+mn-cs"/>
              </a:rPr>
              <a:t> = </a:t>
            </a:r>
            <a:r>
              <a:rPr lang="en-US" sz="1400" b="1" baseline="0">
                <a:solidFill>
                  <a:schemeClr val="accent1"/>
                </a:solidFill>
                <a:effectLst/>
                <a:latin typeface="+mn-lt"/>
                <a:ea typeface="+mn-ea"/>
                <a:cs typeface="+mn-cs"/>
              </a:rPr>
              <a:t>CONGELATO</a:t>
            </a:r>
            <a:endParaRPr lang="en-US" sz="2000" b="1" baseline="0">
              <a:solidFill>
                <a:schemeClr val="accent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Q2</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Q3</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&gt;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(da GEN a SET)  ==&gt;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 = ACT + PIAN(OTT-NOV-DIC)</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&lt;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da GEN a SET</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 = PIAN (da GEN a DIC)</a:t>
            </a:r>
            <a:endPar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xdr:txBody>
      </xdr:sp>
      <xdr:sp macro="" textlink="">
        <xdr:nvSpPr>
          <xdr:cNvPr id="101" name="TextBox 100">
            <a:extLst>
              <a:ext uri="{FF2B5EF4-FFF2-40B4-BE49-F238E27FC236}">
                <a16:creationId xmlns:a16="http://schemas.microsoft.com/office/drawing/2014/main" id="{975DC013-5E53-47B2-94A2-9FDCEA7F97D6}"/>
              </a:ext>
            </a:extLst>
          </xdr:cNvPr>
          <xdr:cNvSpPr txBox="1"/>
        </xdr:nvSpPr>
        <xdr:spPr>
          <a:xfrm>
            <a:off x="67018381" y="8759314"/>
            <a:ext cx="4397748" cy="2237557"/>
          </a:xfrm>
          <a:prstGeom prst="rect">
            <a:avLst/>
          </a:prstGeom>
          <a:no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accent1"/>
                </a:solidFill>
                <a:effectLst/>
                <a:latin typeface="+mn-lt"/>
                <a:ea typeface="+mn-ea"/>
                <a:cs typeface="+mn-cs"/>
              </a:rPr>
              <a:t>Q1</a:t>
            </a:r>
            <a:r>
              <a:rPr lang="en-US" sz="1400" b="0" baseline="0">
                <a:solidFill>
                  <a:schemeClr val="accent1"/>
                </a:solidFill>
                <a:effectLst/>
                <a:latin typeface="+mn-lt"/>
                <a:ea typeface="+mn-ea"/>
                <a:cs typeface="+mn-cs"/>
              </a:rPr>
              <a:t> = </a:t>
            </a:r>
            <a:r>
              <a:rPr lang="en-US" sz="1400" b="1" baseline="0">
                <a:solidFill>
                  <a:schemeClr val="accent1"/>
                </a:solidFill>
                <a:effectLst/>
                <a:latin typeface="+mn-lt"/>
                <a:ea typeface="+mn-ea"/>
                <a:cs typeface="+mn-cs"/>
              </a:rPr>
              <a:t>CONGELATO</a:t>
            </a:r>
            <a:endParaRPr lang="en-US" sz="2000" b="1" baseline="0">
              <a:solidFill>
                <a:schemeClr val="accent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Q2</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Q3</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&gt;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(da GEN a OTT)  ==&gt;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 = ACT+PIAN(NOV-DIC)</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&lt;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da GEN a OTT</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 = PIAN (da GEN a DIC)</a:t>
            </a:r>
            <a:endPar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xdr:txBody>
      </xdr:sp>
      <xdr:sp macro="" textlink="">
        <xdr:nvSpPr>
          <xdr:cNvPr id="102" name="TextBox 101">
            <a:extLst>
              <a:ext uri="{FF2B5EF4-FFF2-40B4-BE49-F238E27FC236}">
                <a16:creationId xmlns:a16="http://schemas.microsoft.com/office/drawing/2014/main" id="{04952CB2-CD8F-4F1C-81E5-19BB5AEA55B0}"/>
              </a:ext>
            </a:extLst>
          </xdr:cNvPr>
          <xdr:cNvSpPr txBox="1"/>
        </xdr:nvSpPr>
        <xdr:spPr>
          <a:xfrm>
            <a:off x="71647530" y="8767395"/>
            <a:ext cx="4397749" cy="2237557"/>
          </a:xfrm>
          <a:prstGeom prst="rect">
            <a:avLst/>
          </a:prstGeom>
          <a:noFill/>
          <a:ln>
            <a:solidFill>
              <a:schemeClr val="accent4">
                <a:lumMod val="40000"/>
                <a:lumOff val="6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baseline="0">
                <a:solidFill>
                  <a:schemeClr val="accent1"/>
                </a:solidFill>
                <a:effectLst/>
                <a:latin typeface="+mn-lt"/>
                <a:ea typeface="+mn-ea"/>
                <a:cs typeface="+mn-cs"/>
              </a:rPr>
              <a:t>Q1</a:t>
            </a:r>
            <a:r>
              <a:rPr lang="en-US" sz="1400" b="0" baseline="0">
                <a:solidFill>
                  <a:schemeClr val="accent1"/>
                </a:solidFill>
                <a:effectLst/>
                <a:latin typeface="+mn-lt"/>
                <a:ea typeface="+mn-ea"/>
                <a:cs typeface="+mn-cs"/>
              </a:rPr>
              <a:t> = </a:t>
            </a:r>
            <a:r>
              <a:rPr lang="en-US" sz="1400" b="1" baseline="0">
                <a:solidFill>
                  <a:schemeClr val="accent1"/>
                </a:solidFill>
                <a:effectLst/>
                <a:latin typeface="+mn-lt"/>
                <a:ea typeface="+mn-ea"/>
                <a:cs typeface="+mn-cs"/>
              </a:rPr>
              <a:t>CONGELATO</a:t>
            </a:r>
            <a:endParaRPr lang="en-US" sz="2000" b="1" baseline="0">
              <a:solidFill>
                <a:schemeClr val="accent1"/>
              </a:solidFill>
              <a:effectLst/>
              <a:latin typeface="+mn-lt"/>
              <a:ea typeface="Yu Gothic" panose="020B0400000000000000" pitchFamily="34" charset="-128"/>
              <a:cs typeface="+mn-cs"/>
            </a:endParaRPr>
          </a:p>
          <a:p>
            <a:pPr algn="ctr"/>
            <a:endParaRPr lang="en-US" sz="16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Q2</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sz="1400" b="1" baseline="0">
              <a:solidFill>
                <a:schemeClr val="tx1"/>
              </a:solidFill>
              <a:effectLst/>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4F81BD"/>
                </a:solidFill>
                <a:effectLst/>
                <a:uLnTx/>
                <a:uFillTx/>
                <a:latin typeface="+mn-lt"/>
                <a:ea typeface="+mn-ea"/>
                <a:cs typeface="+mn-cs"/>
              </a:rPr>
              <a:t>Q3</a:t>
            </a:r>
            <a:r>
              <a:rPr kumimoji="0" lang="en-US" sz="1400" b="0" i="0" u="none" strike="noStrike" kern="0" cap="none" spc="0" normalizeH="0" baseline="0" noProof="0">
                <a:ln>
                  <a:noFill/>
                </a:ln>
                <a:solidFill>
                  <a:srgbClr val="4F81BD"/>
                </a:solidFill>
                <a:effectLst/>
                <a:uLnTx/>
                <a:uFillTx/>
                <a:latin typeface="+mn-lt"/>
                <a:ea typeface="+mn-ea"/>
                <a:cs typeface="+mn-cs"/>
              </a:rPr>
              <a:t> = </a:t>
            </a:r>
            <a:r>
              <a:rPr kumimoji="0" lang="en-US" sz="1400" b="1" i="0" u="none" strike="noStrike" kern="0" cap="none" spc="0" normalizeH="0" baseline="0" noProof="0">
                <a:ln>
                  <a:noFill/>
                </a:ln>
                <a:solidFill>
                  <a:srgbClr val="4F81BD"/>
                </a:solidFill>
                <a:effectLst/>
                <a:uLnTx/>
                <a:uFillTx/>
                <a:latin typeface="+mn-lt"/>
                <a:ea typeface="+mn-ea"/>
                <a:cs typeface="+mn-cs"/>
              </a:rPr>
              <a:t>CONGELATO</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2000" b="1" i="0" u="none" strike="noStrike" kern="0" cap="none" spc="0" normalizeH="0" baseline="0" noProof="0">
              <a:ln>
                <a:noFill/>
              </a:ln>
              <a:solidFill>
                <a:srgbClr val="4F81BD"/>
              </a:solidFill>
              <a:effectLst/>
              <a:uLnTx/>
              <a:uFillTx/>
              <a:latin typeface="+mn-lt"/>
              <a:ea typeface="Yu Gothic" panose="020B0400000000000000" pitchFamily="34"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&gt;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(da GEN a NOV)  ==&gt;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 = ACT + PIAN(DIC)</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SE (ACT) </a:t>
            </a:r>
            <a:r>
              <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&lt;</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PIAN </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da GEN a NOV</a:t>
            </a:r>
            <a:r>
              <a:rPr kumimoji="0" lang="en-US" sz="14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  </a:t>
            </a:r>
            <a:r>
              <a:rPr kumimoji="0" lang="en-US" sz="1200" b="0" i="0" u="none" strike="noStrike" kern="0" cap="none" spc="0" normalizeH="0" baseline="0" noProof="0">
                <a:ln>
                  <a:noFill/>
                </a:ln>
                <a:solidFill>
                  <a:prstClr val="black"/>
                </a:solidFill>
                <a:effectLst/>
                <a:uLnTx/>
                <a:uFillTx/>
                <a:latin typeface="+mn-lt"/>
                <a:ea typeface="Yu Gothic" panose="020B0400000000000000" pitchFamily="34" charset="-128"/>
                <a:cs typeface="+mn-cs"/>
              </a:rPr>
              <a:t>==&gt; </a:t>
            </a:r>
            <a:r>
              <a:rPr kumimoji="0" lang="en-US" sz="1200" b="1" i="0" u="none" strike="noStrike" kern="0" cap="none" spc="0" normalizeH="0" baseline="0" noProof="0">
                <a:ln>
                  <a:noFill/>
                </a:ln>
                <a:solidFill>
                  <a:prstClr val="black"/>
                </a:solidFill>
                <a:effectLst/>
                <a:uLnTx/>
                <a:uFillTx/>
                <a:latin typeface="+mn-lt"/>
                <a:ea typeface="Yu Gothic" panose="020B0400000000000000" pitchFamily="34" charset="-128"/>
                <a:cs typeface="+mn-cs"/>
              </a:rPr>
              <a:t>Q4 = PIAN (da GEN a DIC)</a:t>
            </a:r>
            <a:endParaRPr kumimoji="0" lang="en-US" sz="1400" b="1" i="0" u="none" strike="noStrike" kern="0" cap="none" spc="0" normalizeH="0" baseline="0" noProof="0">
              <a:ln>
                <a:noFill/>
              </a:ln>
              <a:solidFill>
                <a:prstClr val="black"/>
              </a:solidFill>
              <a:effectLst/>
              <a:uLnTx/>
              <a:uFillTx/>
              <a:latin typeface="+mn-lt"/>
              <a:ea typeface="Yu Gothic" panose="020B0400000000000000" pitchFamily="34" charset="-128"/>
              <a:cs typeface="+mn-cs"/>
            </a:endParaRPr>
          </a:p>
        </xdr:txBody>
      </xdr:sp>
    </xdr:grpSp>
    <xdr:clientData/>
  </xdr:twoCellAnchor>
  <xdr:oneCellAnchor>
    <xdr:from>
      <xdr:col>8</xdr:col>
      <xdr:colOff>1100214</xdr:colOff>
      <xdr:row>0</xdr:row>
      <xdr:rowOff>61124</xdr:rowOff>
    </xdr:from>
    <xdr:ext cx="12338694" cy="537882"/>
    <xdr:sp macro="" textlink="">
      <xdr:nvSpPr>
        <xdr:cNvPr id="105" name="TextBox 104">
          <a:extLst>
            <a:ext uri="{FF2B5EF4-FFF2-40B4-BE49-F238E27FC236}">
              <a16:creationId xmlns:a16="http://schemas.microsoft.com/office/drawing/2014/main" id="{B2114FA2-80C3-4059-B50F-72FA2B7E7AAC}"/>
            </a:ext>
          </a:extLst>
        </xdr:cNvPr>
        <xdr:cNvSpPr txBox="1"/>
      </xdr:nvSpPr>
      <xdr:spPr>
        <a:xfrm>
          <a:off x="6462789" y="61124"/>
          <a:ext cx="12338694" cy="537882"/>
        </a:xfrm>
        <a:prstGeom prst="rect">
          <a:avLst/>
        </a:prstGeom>
        <a:solidFill>
          <a:schemeClr val="tx2"/>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3200" b="1">
              <a:solidFill>
                <a:schemeClr val="bg1"/>
              </a:solidFill>
            </a:rPr>
            <a:t>PREVISIONE SU QUARTER</a:t>
          </a:r>
        </a:p>
      </xdr:txBody>
    </xdr:sp>
    <xdr:clientData/>
  </xdr:oneCellAnchor>
  <xdr:twoCellAnchor>
    <xdr:from>
      <xdr:col>11</xdr:col>
      <xdr:colOff>22407</xdr:colOff>
      <xdr:row>21</xdr:row>
      <xdr:rowOff>22415</xdr:rowOff>
    </xdr:from>
    <xdr:to>
      <xdr:col>15</xdr:col>
      <xdr:colOff>719665</xdr:colOff>
      <xdr:row>21</xdr:row>
      <xdr:rowOff>357191</xdr:rowOff>
    </xdr:to>
    <xdr:sp macro="" textlink="">
      <xdr:nvSpPr>
        <xdr:cNvPr id="106" name="Right Brace 105">
          <a:extLst>
            <a:ext uri="{FF2B5EF4-FFF2-40B4-BE49-F238E27FC236}">
              <a16:creationId xmlns:a16="http://schemas.microsoft.com/office/drawing/2014/main" id="{1ADF3D57-BF5E-4E60-BAE8-42D9ECFBB05C}"/>
            </a:ext>
          </a:extLst>
        </xdr:cNvPr>
        <xdr:cNvSpPr/>
      </xdr:nvSpPr>
      <xdr:spPr>
        <a:xfrm rot="5400000">
          <a:off x="9385748" y="4289349"/>
          <a:ext cx="334776" cy="3630958"/>
        </a:xfrm>
        <a:prstGeom prst="rightBrace">
          <a:avLst>
            <a:gd name="adj1" fmla="val 184009"/>
            <a:gd name="adj2" fmla="val 50000"/>
          </a:avLst>
        </a:prstGeom>
        <a:ln w="31750">
          <a:headEnd type="oval" w="med" len="med"/>
          <a:tailEnd type="oval"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8</xdr:col>
      <xdr:colOff>1012030</xdr:colOff>
      <xdr:row>21</xdr:row>
      <xdr:rowOff>442630</xdr:rowOff>
    </xdr:from>
    <xdr:ext cx="5679282" cy="564065"/>
    <xdr:sp macro="" textlink="">
      <xdr:nvSpPr>
        <xdr:cNvPr id="107" name="TextBox 106">
          <a:extLst>
            <a:ext uri="{FF2B5EF4-FFF2-40B4-BE49-F238E27FC236}">
              <a16:creationId xmlns:a16="http://schemas.microsoft.com/office/drawing/2014/main" id="{838096B9-5204-4BD1-9FDA-116AB9310EAA}"/>
            </a:ext>
          </a:extLst>
        </xdr:cNvPr>
        <xdr:cNvSpPr txBox="1"/>
      </xdr:nvSpPr>
      <xdr:spPr>
        <a:xfrm>
          <a:off x="6374605" y="6357655"/>
          <a:ext cx="5679282" cy="5640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1F497D"/>
              </a:solidFill>
              <a:effectLst/>
              <a:uLnTx/>
              <a:uFillTx/>
              <a:latin typeface="Century Gothic" panose="020B0502020202020204" pitchFamily="34" charset="0"/>
              <a:ea typeface="+mn-ea"/>
              <a:cs typeface="Arial" panose="020B0604020202020204" pitchFamily="34" charset="0"/>
            </a:rPr>
            <a:t>Si presume che questi mesi siano inclusi nel</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1F497D"/>
              </a:solidFill>
              <a:effectLst/>
              <a:uLnTx/>
              <a:uFillTx/>
              <a:latin typeface="Century Gothic" panose="020B0502020202020204" pitchFamily="34" charset="0"/>
              <a:ea typeface="+mn-ea"/>
              <a:cs typeface="Arial" panose="020B0604020202020204" pitchFamily="34" charset="0"/>
            </a:rPr>
            <a:t>consumo poiché i consumi sono riferiti al </a:t>
          </a:r>
          <a:r>
            <a:rPr kumimoji="0" lang="en-US" sz="1600" b="1" i="0" u="sng" strike="noStrike" kern="0" cap="none" spc="0" normalizeH="0" baseline="0" noProof="0">
              <a:ln>
                <a:noFill/>
              </a:ln>
              <a:solidFill>
                <a:srgbClr val="1F497D"/>
              </a:solidFill>
              <a:effectLst/>
              <a:uLnTx/>
              <a:uFillTx/>
              <a:latin typeface="Century Gothic" panose="020B0502020202020204" pitchFamily="34" charset="0"/>
              <a:ea typeface="+mn-ea"/>
              <a:cs typeface="Arial" panose="020B0604020202020204" pitchFamily="34" charset="0"/>
            </a:rPr>
            <a:t>05 Giugno</a:t>
          </a:r>
          <a:endParaRPr kumimoji="0" lang="en-US" sz="1400" b="1" i="0" u="sng" strike="noStrike" kern="0" cap="none" spc="0" normalizeH="0" baseline="0" noProof="0">
            <a:ln>
              <a:noFill/>
            </a:ln>
            <a:solidFill>
              <a:srgbClr val="1F497D"/>
            </a:solidFill>
            <a:effectLst/>
            <a:uLnTx/>
            <a:uFillTx/>
            <a:latin typeface="Century Gothic" panose="020B0502020202020204" pitchFamily="34" charset="0"/>
            <a:ea typeface="+mn-ea"/>
            <a:cs typeface="Arial" panose="020B0604020202020204" pitchFamily="34" charset="0"/>
          </a:endParaRPr>
        </a:p>
      </xdr:txBody>
    </xdr:sp>
    <xdr:clientData/>
  </xdr:oneCellAnchor>
  <xdr:twoCellAnchor>
    <xdr:from>
      <xdr:col>11</xdr:col>
      <xdr:colOff>6996</xdr:colOff>
      <xdr:row>48</xdr:row>
      <xdr:rowOff>22415</xdr:rowOff>
    </xdr:from>
    <xdr:to>
      <xdr:col>15</xdr:col>
      <xdr:colOff>698500</xdr:colOff>
      <xdr:row>48</xdr:row>
      <xdr:rowOff>394610</xdr:rowOff>
    </xdr:to>
    <xdr:sp macro="" textlink="">
      <xdr:nvSpPr>
        <xdr:cNvPr id="108" name="Right Brace 107">
          <a:extLst>
            <a:ext uri="{FF2B5EF4-FFF2-40B4-BE49-F238E27FC236}">
              <a16:creationId xmlns:a16="http://schemas.microsoft.com/office/drawing/2014/main" id="{41D36054-C8E0-4EE9-BB12-6E2D35C100F6}"/>
            </a:ext>
          </a:extLst>
        </xdr:cNvPr>
        <xdr:cNvSpPr/>
      </xdr:nvSpPr>
      <xdr:spPr>
        <a:xfrm rot="5400000">
          <a:off x="9348750" y="11340386"/>
          <a:ext cx="372195" cy="3625204"/>
        </a:xfrm>
        <a:prstGeom prst="rightBrace">
          <a:avLst>
            <a:gd name="adj1" fmla="val 184009"/>
            <a:gd name="adj2" fmla="val 50000"/>
          </a:avLst>
        </a:prstGeom>
        <a:ln w="38100">
          <a:headEnd type="oval" w="med" len="med"/>
          <a:tailEnd type="oval"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9</xdr:col>
      <xdr:colOff>0</xdr:colOff>
      <xdr:row>48</xdr:row>
      <xdr:rowOff>357891</xdr:rowOff>
    </xdr:from>
    <xdr:ext cx="5441155" cy="564065"/>
    <xdr:sp macro="" textlink="">
      <xdr:nvSpPr>
        <xdr:cNvPr id="109" name="TextBox 108">
          <a:extLst>
            <a:ext uri="{FF2B5EF4-FFF2-40B4-BE49-F238E27FC236}">
              <a16:creationId xmlns:a16="http://schemas.microsoft.com/office/drawing/2014/main" id="{2E3812C8-4829-4EF2-A51D-FBC5A96808B6}"/>
            </a:ext>
          </a:extLst>
        </xdr:cNvPr>
        <xdr:cNvSpPr txBox="1"/>
      </xdr:nvSpPr>
      <xdr:spPr>
        <a:xfrm>
          <a:off x="6515100" y="13302366"/>
          <a:ext cx="5441155" cy="5640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1F497D"/>
              </a:solidFill>
              <a:effectLst/>
              <a:uLnTx/>
              <a:uFillTx/>
              <a:latin typeface="Century Gothic" panose="020B0502020202020204" pitchFamily="34" charset="0"/>
              <a:ea typeface="+mn-ea"/>
              <a:cs typeface="Arial" panose="020B0604020202020204" pitchFamily="34" charset="0"/>
            </a:rPr>
            <a:t>Si presume che questi mesi siano inclusi nel</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1F497D"/>
              </a:solidFill>
              <a:effectLst/>
              <a:uLnTx/>
              <a:uFillTx/>
              <a:latin typeface="Century Gothic" panose="020B0502020202020204" pitchFamily="34" charset="0"/>
              <a:ea typeface="+mn-ea"/>
              <a:cs typeface="Arial" panose="020B0604020202020204" pitchFamily="34" charset="0"/>
            </a:rPr>
            <a:t>consumo poiché i consumi sono riferiti al </a:t>
          </a:r>
          <a:r>
            <a:rPr kumimoji="0" lang="en-US" sz="1600" b="1" i="0" u="sng" strike="noStrike" kern="0" cap="none" spc="0" normalizeH="0" baseline="0" noProof="0">
              <a:ln>
                <a:noFill/>
              </a:ln>
              <a:solidFill>
                <a:srgbClr val="1F497D"/>
              </a:solidFill>
              <a:effectLst/>
              <a:uLnTx/>
              <a:uFillTx/>
              <a:latin typeface="Century Gothic" panose="020B0502020202020204" pitchFamily="34" charset="0"/>
              <a:ea typeface="+mn-ea"/>
              <a:cs typeface="Arial" panose="020B0604020202020204" pitchFamily="34" charset="0"/>
            </a:rPr>
            <a:t>05 Giugno</a:t>
          </a:r>
          <a:endParaRPr kumimoji="0" lang="en-US" sz="1400" b="1" i="0" u="sng" strike="noStrike" kern="0" cap="none" spc="0" normalizeH="0" baseline="0" noProof="0">
            <a:ln>
              <a:noFill/>
            </a:ln>
            <a:solidFill>
              <a:srgbClr val="1F497D"/>
            </a:solidFill>
            <a:effectLst/>
            <a:uLnTx/>
            <a:uFillTx/>
            <a:latin typeface="Century Gothic" panose="020B0502020202020204" pitchFamily="34" charset="0"/>
            <a:ea typeface="+mn-ea"/>
            <a:cs typeface="Arial" panose="020B0604020202020204" pitchFamily="34" charset="0"/>
          </a:endParaRPr>
        </a:p>
      </xdr:txBody>
    </xdr:sp>
    <xdr:clientData/>
  </xdr:oneCellAnchor>
  <xdr:twoCellAnchor>
    <xdr:from>
      <xdr:col>68</xdr:col>
      <xdr:colOff>359546</xdr:colOff>
      <xdr:row>32</xdr:row>
      <xdr:rowOff>162719</xdr:rowOff>
    </xdr:from>
    <xdr:to>
      <xdr:col>71</xdr:col>
      <xdr:colOff>592182</xdr:colOff>
      <xdr:row>34</xdr:row>
      <xdr:rowOff>245584</xdr:rowOff>
    </xdr:to>
    <xdr:sp macro="" textlink="">
      <xdr:nvSpPr>
        <xdr:cNvPr id="110" name="TextBox 109">
          <a:extLst>
            <a:ext uri="{FF2B5EF4-FFF2-40B4-BE49-F238E27FC236}">
              <a16:creationId xmlns:a16="http://schemas.microsoft.com/office/drawing/2014/main" id="{0FC2F10A-5DF1-428E-B8D0-D821C4B09DF8}"/>
            </a:ext>
          </a:extLst>
        </xdr:cNvPr>
        <xdr:cNvSpPr txBox="1"/>
      </xdr:nvSpPr>
      <xdr:spPr>
        <a:xfrm>
          <a:off x="47241596" y="8859044"/>
          <a:ext cx="2061436" cy="597215"/>
        </a:xfrm>
        <a:prstGeom prst="rect">
          <a:avLst/>
        </a:prstGeom>
        <a:solidFill>
          <a:schemeClr val="accent4">
            <a:lumMod val="20000"/>
            <a:lumOff val="8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2000" b="1">
              <a:ln>
                <a:solidFill>
                  <a:schemeClr val="tx1"/>
                </a:solidFill>
              </a:ln>
              <a:latin typeface="Yu Gothic" panose="020B0400000000000000" pitchFamily="34" charset="-128"/>
              <a:ea typeface="Yu Gothic" panose="020B0400000000000000" pitchFamily="34" charset="-128"/>
            </a:rPr>
            <a:t>GIU</a:t>
          </a:r>
        </a:p>
      </xdr:txBody>
    </xdr:sp>
    <xdr:clientData/>
  </xdr:twoCellAnchor>
  <xdr:twoCellAnchor>
    <xdr:from>
      <xdr:col>77</xdr:col>
      <xdr:colOff>141753</xdr:colOff>
      <xdr:row>33</xdr:row>
      <xdr:rowOff>108588</xdr:rowOff>
    </xdr:from>
    <xdr:to>
      <xdr:col>78</xdr:col>
      <xdr:colOff>147627</xdr:colOff>
      <xdr:row>34</xdr:row>
      <xdr:rowOff>334891</xdr:rowOff>
    </xdr:to>
    <xdr:sp macro="" textlink="">
      <xdr:nvSpPr>
        <xdr:cNvPr id="111" name="TextBox 110">
          <a:extLst>
            <a:ext uri="{FF2B5EF4-FFF2-40B4-BE49-F238E27FC236}">
              <a16:creationId xmlns:a16="http://schemas.microsoft.com/office/drawing/2014/main" id="{EB074C35-6A38-4311-BFD6-EB8D4AD03494}"/>
            </a:ext>
          </a:extLst>
        </xdr:cNvPr>
        <xdr:cNvSpPr txBox="1"/>
      </xdr:nvSpPr>
      <xdr:spPr>
        <a:xfrm>
          <a:off x="52510203" y="9014463"/>
          <a:ext cx="615474" cy="531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LUG</a:t>
          </a:r>
        </a:p>
      </xdr:txBody>
    </xdr:sp>
    <xdr:clientData/>
  </xdr:twoCellAnchor>
  <xdr:twoCellAnchor>
    <xdr:from>
      <xdr:col>48</xdr:col>
      <xdr:colOff>75517</xdr:colOff>
      <xdr:row>7</xdr:row>
      <xdr:rowOff>247051</xdr:rowOff>
    </xdr:from>
    <xdr:to>
      <xdr:col>51</xdr:col>
      <xdr:colOff>303174</xdr:colOff>
      <xdr:row>9</xdr:row>
      <xdr:rowOff>33689</xdr:rowOff>
    </xdr:to>
    <xdr:sp macro="" textlink="">
      <xdr:nvSpPr>
        <xdr:cNvPr id="112" name="TextBox 111">
          <a:extLst>
            <a:ext uri="{FF2B5EF4-FFF2-40B4-BE49-F238E27FC236}">
              <a16:creationId xmlns:a16="http://schemas.microsoft.com/office/drawing/2014/main" id="{107F9418-C365-444D-93E8-39BA01929DB3}"/>
            </a:ext>
          </a:extLst>
        </xdr:cNvPr>
        <xdr:cNvSpPr txBox="1"/>
      </xdr:nvSpPr>
      <xdr:spPr>
        <a:xfrm>
          <a:off x="34765567" y="2380651"/>
          <a:ext cx="2056457" cy="481963"/>
        </a:xfrm>
        <a:prstGeom prst="rect">
          <a:avLst/>
        </a:prstGeom>
        <a:solidFill>
          <a:schemeClr val="accent3">
            <a:lumMod val="20000"/>
            <a:lumOff val="8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2000" b="1">
              <a:ln>
                <a:solidFill>
                  <a:schemeClr val="tx1"/>
                </a:solidFill>
              </a:ln>
              <a:latin typeface="Yu Gothic" panose="020B0400000000000000" pitchFamily="34" charset="-128"/>
              <a:ea typeface="Yu Gothic" panose="020B0400000000000000" pitchFamily="34" charset="-128"/>
            </a:rPr>
            <a:t>GIU</a:t>
          </a:r>
        </a:p>
      </xdr:txBody>
    </xdr:sp>
    <xdr:clientData/>
  </xdr:twoCellAnchor>
  <xdr:twoCellAnchor>
    <xdr:from>
      <xdr:col>53</xdr:col>
      <xdr:colOff>74520</xdr:colOff>
      <xdr:row>7</xdr:row>
      <xdr:rowOff>257177</xdr:rowOff>
    </xdr:from>
    <xdr:to>
      <xdr:col>54</xdr:col>
      <xdr:colOff>96504</xdr:colOff>
      <xdr:row>8</xdr:row>
      <xdr:rowOff>399581</xdr:rowOff>
    </xdr:to>
    <xdr:sp macro="" textlink="">
      <xdr:nvSpPr>
        <xdr:cNvPr id="113" name="TextBox 112">
          <a:extLst>
            <a:ext uri="{FF2B5EF4-FFF2-40B4-BE49-F238E27FC236}">
              <a16:creationId xmlns:a16="http://schemas.microsoft.com/office/drawing/2014/main" id="{667E612A-C3AC-473F-AF09-EFD25882F2EA}"/>
            </a:ext>
          </a:extLst>
        </xdr:cNvPr>
        <xdr:cNvSpPr txBox="1"/>
      </xdr:nvSpPr>
      <xdr:spPr>
        <a:xfrm>
          <a:off x="37812570" y="2390777"/>
          <a:ext cx="631584" cy="4376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LUG</a:t>
          </a:r>
        </a:p>
      </xdr:txBody>
    </xdr:sp>
    <xdr:clientData/>
  </xdr:twoCellAnchor>
  <xdr:twoCellAnchor>
    <xdr:from>
      <xdr:col>67</xdr:col>
      <xdr:colOff>478631</xdr:colOff>
      <xdr:row>7</xdr:row>
      <xdr:rowOff>256235</xdr:rowOff>
    </xdr:from>
    <xdr:to>
      <xdr:col>68</xdr:col>
      <xdr:colOff>504343</xdr:colOff>
      <xdr:row>9</xdr:row>
      <xdr:rowOff>1836</xdr:rowOff>
    </xdr:to>
    <xdr:sp macro="" textlink="">
      <xdr:nvSpPr>
        <xdr:cNvPr id="114" name="TextBox 113">
          <a:extLst>
            <a:ext uri="{FF2B5EF4-FFF2-40B4-BE49-F238E27FC236}">
              <a16:creationId xmlns:a16="http://schemas.microsoft.com/office/drawing/2014/main" id="{D78A5F0E-ECCD-4B52-9F7B-B8287810E95E}"/>
            </a:ext>
          </a:extLst>
        </xdr:cNvPr>
        <xdr:cNvSpPr txBox="1"/>
      </xdr:nvSpPr>
      <xdr:spPr>
        <a:xfrm>
          <a:off x="46751081" y="2389835"/>
          <a:ext cx="635312" cy="4409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NOV</a:t>
          </a:r>
        </a:p>
      </xdr:txBody>
    </xdr:sp>
    <xdr:clientData/>
  </xdr:twoCellAnchor>
  <xdr:twoCellAnchor>
    <xdr:from>
      <xdr:col>107</xdr:col>
      <xdr:colOff>216693</xdr:colOff>
      <xdr:row>33</xdr:row>
      <xdr:rowOff>143514</xdr:rowOff>
    </xdr:from>
    <xdr:to>
      <xdr:col>109</xdr:col>
      <xdr:colOff>112620</xdr:colOff>
      <xdr:row>35</xdr:row>
      <xdr:rowOff>9588</xdr:rowOff>
    </xdr:to>
    <xdr:sp macro="" textlink="">
      <xdr:nvSpPr>
        <xdr:cNvPr id="115" name="TextBox 114">
          <a:extLst>
            <a:ext uri="{FF2B5EF4-FFF2-40B4-BE49-F238E27FC236}">
              <a16:creationId xmlns:a16="http://schemas.microsoft.com/office/drawing/2014/main" id="{AE05A9FF-D34D-46B9-920F-065F712C76ED}"/>
            </a:ext>
          </a:extLst>
        </xdr:cNvPr>
        <xdr:cNvSpPr txBox="1"/>
      </xdr:nvSpPr>
      <xdr:spPr>
        <a:xfrm>
          <a:off x="70873143" y="9049389"/>
          <a:ext cx="1115127" cy="532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NOV</a:t>
          </a:r>
        </a:p>
      </xdr:txBody>
    </xdr:sp>
    <xdr:clientData/>
  </xdr:twoCellAnchor>
  <xdr:twoCellAnchor>
    <xdr:from>
      <xdr:col>40</xdr:col>
      <xdr:colOff>440532</xdr:colOff>
      <xdr:row>33</xdr:row>
      <xdr:rowOff>202407</xdr:rowOff>
    </xdr:from>
    <xdr:to>
      <xdr:col>42</xdr:col>
      <xdr:colOff>336458</xdr:colOff>
      <xdr:row>35</xdr:row>
      <xdr:rowOff>68481</xdr:rowOff>
    </xdr:to>
    <xdr:sp macro="" textlink="">
      <xdr:nvSpPr>
        <xdr:cNvPr id="116" name="TextBox 115">
          <a:extLst>
            <a:ext uri="{FF2B5EF4-FFF2-40B4-BE49-F238E27FC236}">
              <a16:creationId xmlns:a16="http://schemas.microsoft.com/office/drawing/2014/main" id="{1FFC4DE0-A450-4653-8C85-DD40C267F167}"/>
            </a:ext>
          </a:extLst>
        </xdr:cNvPr>
        <xdr:cNvSpPr txBox="1"/>
      </xdr:nvSpPr>
      <xdr:spPr>
        <a:xfrm>
          <a:off x="30253782" y="9108282"/>
          <a:ext cx="1115126" cy="532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a:latin typeface="Yu Gothic" panose="020B0400000000000000" pitchFamily="34" charset="-128"/>
              <a:ea typeface="Yu Gothic" panose="020B0400000000000000" pitchFamily="34" charset="-128"/>
            </a:rPr>
            <a:t>FEB</a:t>
          </a:r>
        </a:p>
      </xdr:txBody>
    </xdr:sp>
    <xdr:clientData/>
  </xdr:twoCellAnchor>
  <xdr:twoCellAnchor editAs="oneCell">
    <xdr:from>
      <xdr:col>24</xdr:col>
      <xdr:colOff>238124</xdr:colOff>
      <xdr:row>50</xdr:row>
      <xdr:rowOff>35719</xdr:rowOff>
    </xdr:from>
    <xdr:to>
      <xdr:col>24</xdr:col>
      <xdr:colOff>785811</xdr:colOff>
      <xdr:row>52</xdr:row>
      <xdr:rowOff>190497</xdr:rowOff>
    </xdr:to>
    <xdr:pic>
      <xdr:nvPicPr>
        <xdr:cNvPr id="117" name="Graphic 116" descr="Badge Tick1 with solid fill">
          <a:extLst>
            <a:ext uri="{FF2B5EF4-FFF2-40B4-BE49-F238E27FC236}">
              <a16:creationId xmlns:a16="http://schemas.microsoft.com/office/drawing/2014/main" id="{7BED285E-8A20-4F9B-812B-F6DEC741B00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097499" y="13961269"/>
          <a:ext cx="547687" cy="535778"/>
        </a:xfrm>
        <a:prstGeom prst="rect">
          <a:avLst/>
        </a:prstGeom>
      </xdr:spPr>
    </xdr:pic>
    <xdr:clientData/>
  </xdr:twoCellAnchor>
  <xdr:twoCellAnchor editAs="oneCell">
    <xdr:from>
      <xdr:col>24</xdr:col>
      <xdr:colOff>295274</xdr:colOff>
      <xdr:row>22</xdr:row>
      <xdr:rowOff>450056</xdr:rowOff>
    </xdr:from>
    <xdr:to>
      <xdr:col>24</xdr:col>
      <xdr:colOff>842961</xdr:colOff>
      <xdr:row>25</xdr:row>
      <xdr:rowOff>157163</xdr:rowOff>
    </xdr:to>
    <xdr:pic>
      <xdr:nvPicPr>
        <xdr:cNvPr id="118" name="Graphic 117" descr="Badge Tick1 with solid fill">
          <a:extLst>
            <a:ext uri="{FF2B5EF4-FFF2-40B4-BE49-F238E27FC236}">
              <a16:creationId xmlns:a16="http://schemas.microsoft.com/office/drawing/2014/main" id="{8E68DAD8-86F8-4817-8782-F876924A3F5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154649" y="6822281"/>
          <a:ext cx="547687" cy="545307"/>
        </a:xfrm>
        <a:prstGeom prst="rect">
          <a:avLst/>
        </a:prstGeom>
      </xdr:spPr>
    </xdr:pic>
    <xdr:clientData/>
  </xdr:twoCellAnchor>
  <xdr:oneCellAnchor>
    <xdr:from>
      <xdr:col>0</xdr:col>
      <xdr:colOff>47625</xdr:colOff>
      <xdr:row>4</xdr:row>
      <xdr:rowOff>142875</xdr:rowOff>
    </xdr:from>
    <xdr:ext cx="2095500" cy="870857"/>
    <xdr:sp macro="" textlink="">
      <xdr:nvSpPr>
        <xdr:cNvPr id="119" name="TextBox 118">
          <a:extLst>
            <a:ext uri="{FF2B5EF4-FFF2-40B4-BE49-F238E27FC236}">
              <a16:creationId xmlns:a16="http://schemas.microsoft.com/office/drawing/2014/main" id="{0BF80464-C063-4618-8111-4D9996C3AD98}"/>
            </a:ext>
          </a:extLst>
        </xdr:cNvPr>
        <xdr:cNvSpPr txBox="1"/>
      </xdr:nvSpPr>
      <xdr:spPr>
        <a:xfrm>
          <a:off x="47625" y="1485900"/>
          <a:ext cx="2095500" cy="8708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800" b="1" u="dbl">
              <a:solidFill>
                <a:schemeClr val="tx2"/>
              </a:solidFill>
              <a:latin typeface="Yu Gothic" panose="020B0400000000000000" pitchFamily="34" charset="-128"/>
              <a:ea typeface="Yu Gothic" panose="020B0400000000000000" pitchFamily="34" charset="-128"/>
            </a:rPr>
            <a:t>SCEGLI IL TIPO DI CONSUMI</a:t>
          </a:r>
        </a:p>
      </xdr:txBody>
    </xdr:sp>
    <xdr:clientData/>
  </xdr:oneCellAnchor>
  <xdr:twoCellAnchor>
    <xdr:from>
      <xdr:col>1</xdr:col>
      <xdr:colOff>567944</xdr:colOff>
      <xdr:row>1</xdr:row>
      <xdr:rowOff>161550</xdr:rowOff>
    </xdr:from>
    <xdr:to>
      <xdr:col>2</xdr:col>
      <xdr:colOff>211438</xdr:colOff>
      <xdr:row>4</xdr:row>
      <xdr:rowOff>162911</xdr:rowOff>
    </xdr:to>
    <xdr:sp macro="" textlink="">
      <xdr:nvSpPr>
        <xdr:cNvPr id="120" name="Arrow: Down 119">
          <a:extLst>
            <a:ext uri="{FF2B5EF4-FFF2-40B4-BE49-F238E27FC236}">
              <a16:creationId xmlns:a16="http://schemas.microsoft.com/office/drawing/2014/main" id="{6DA1AF65-479D-43C4-8920-63462520615E}"/>
            </a:ext>
          </a:extLst>
        </xdr:cNvPr>
        <xdr:cNvSpPr/>
      </xdr:nvSpPr>
      <xdr:spPr>
        <a:xfrm rot="10800000">
          <a:off x="996569" y="914025"/>
          <a:ext cx="224519" cy="591911"/>
        </a:xfrm>
        <a:prstGeom prst="downArrow">
          <a:avLst>
            <a:gd name="adj1" fmla="val 19231"/>
            <a:gd name="adj2" fmla="val 60145"/>
          </a:avLst>
        </a:prstGeom>
        <a:solidFill>
          <a:schemeClr val="tx2"/>
        </a:solidFill>
        <a:ln>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25</xdr:col>
      <xdr:colOff>328084</xdr:colOff>
      <xdr:row>22</xdr:row>
      <xdr:rowOff>458197</xdr:rowOff>
    </xdr:from>
    <xdr:to>
      <xdr:col>25</xdr:col>
      <xdr:colOff>875771</xdr:colOff>
      <xdr:row>25</xdr:row>
      <xdr:rowOff>155779</xdr:rowOff>
    </xdr:to>
    <xdr:pic>
      <xdr:nvPicPr>
        <xdr:cNvPr id="121" name="Graphic 120" descr="Badge Tick1 with solid fill">
          <a:extLst>
            <a:ext uri="{FF2B5EF4-FFF2-40B4-BE49-F238E27FC236}">
              <a16:creationId xmlns:a16="http://schemas.microsoft.com/office/drawing/2014/main" id="{9750F7F0-2EBD-4424-9D41-E28A693B18F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9330459" y="6830422"/>
          <a:ext cx="547687" cy="545307"/>
        </a:xfrm>
        <a:prstGeom prst="rect">
          <a:avLst/>
        </a:prstGeom>
      </xdr:spPr>
    </xdr:pic>
    <xdr:clientData/>
  </xdr:twoCellAnchor>
  <xdr:twoCellAnchor editAs="oneCell">
    <xdr:from>
      <xdr:col>25</xdr:col>
      <xdr:colOff>306917</xdr:colOff>
      <xdr:row>50</xdr:row>
      <xdr:rowOff>22225</xdr:rowOff>
    </xdr:from>
    <xdr:to>
      <xdr:col>25</xdr:col>
      <xdr:colOff>854604</xdr:colOff>
      <xdr:row>52</xdr:row>
      <xdr:rowOff>177003</xdr:rowOff>
    </xdr:to>
    <xdr:pic>
      <xdr:nvPicPr>
        <xdr:cNvPr id="122" name="Graphic 121" descr="Badge Tick1 with solid fill">
          <a:extLst>
            <a:ext uri="{FF2B5EF4-FFF2-40B4-BE49-F238E27FC236}">
              <a16:creationId xmlns:a16="http://schemas.microsoft.com/office/drawing/2014/main" id="{F869899B-69E1-4DA3-9E8D-5FAB4A43919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9309292" y="13947775"/>
          <a:ext cx="547687" cy="53577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259219</xdr:colOff>
      <xdr:row>5</xdr:row>
      <xdr:rowOff>250372</xdr:rowOff>
    </xdr:from>
    <xdr:to>
      <xdr:col>3</xdr:col>
      <xdr:colOff>854610</xdr:colOff>
      <xdr:row>48</xdr:row>
      <xdr:rowOff>74840</xdr:rowOff>
    </xdr:to>
    <xdr:sp macro="" textlink="">
      <xdr:nvSpPr>
        <xdr:cNvPr id="2" name="Rectangle 1">
          <a:extLst>
            <a:ext uri="{FF2B5EF4-FFF2-40B4-BE49-F238E27FC236}">
              <a16:creationId xmlns:a16="http://schemas.microsoft.com/office/drawing/2014/main" id="{2D1EFEAE-7C73-46B1-AC75-AFBA11EC1B22}"/>
            </a:ext>
          </a:extLst>
        </xdr:cNvPr>
        <xdr:cNvSpPr/>
      </xdr:nvSpPr>
      <xdr:spPr>
        <a:xfrm>
          <a:off x="259219" y="1393372"/>
          <a:ext cx="3386216" cy="8777968"/>
        </a:xfrm>
        <a:prstGeom prst="rect">
          <a:avLst/>
        </a:prstGeom>
        <a:solidFill>
          <a:schemeClr val="bg1"/>
        </a:solidFill>
        <a:ln w="9525">
          <a:solidFill>
            <a:schemeClr val="tx1">
              <a:lumMod val="50000"/>
              <a:lumOff val="5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solidFill>
              <a:srgbClr val="339966"/>
            </a:solidFill>
          </a:endParaRPr>
        </a:p>
      </xdr:txBody>
    </xdr:sp>
    <xdr:clientData/>
  </xdr:twoCellAnchor>
  <xdr:twoCellAnchor>
    <xdr:from>
      <xdr:col>21</xdr:col>
      <xdr:colOff>359228</xdr:colOff>
      <xdr:row>1</xdr:row>
      <xdr:rowOff>87083</xdr:rowOff>
    </xdr:from>
    <xdr:to>
      <xdr:col>31</xdr:col>
      <xdr:colOff>206829</xdr:colOff>
      <xdr:row>99</xdr:row>
      <xdr:rowOff>149678</xdr:rowOff>
    </xdr:to>
    <xdr:grpSp>
      <xdr:nvGrpSpPr>
        <xdr:cNvPr id="3" name="Group 2">
          <a:extLst>
            <a:ext uri="{FF2B5EF4-FFF2-40B4-BE49-F238E27FC236}">
              <a16:creationId xmlns:a16="http://schemas.microsoft.com/office/drawing/2014/main" id="{BC900415-8598-42B7-A580-53B5566311A7}"/>
            </a:ext>
          </a:extLst>
        </xdr:cNvPr>
        <xdr:cNvGrpSpPr/>
      </xdr:nvGrpSpPr>
      <xdr:grpSpPr>
        <a:xfrm>
          <a:off x="18176581" y="445671"/>
          <a:ext cx="8857130" cy="19852183"/>
          <a:chOff x="3381377" y="504824"/>
          <a:chExt cx="4710605" cy="4552950"/>
        </a:xfrm>
      </xdr:grpSpPr>
      <xdr:sp macro="" textlink="">
        <xdr:nvSpPr>
          <xdr:cNvPr id="4" name="Rectangle 3">
            <a:extLst>
              <a:ext uri="{FF2B5EF4-FFF2-40B4-BE49-F238E27FC236}">
                <a16:creationId xmlns:a16="http://schemas.microsoft.com/office/drawing/2014/main" id="{03DF45B3-2D31-4DA8-A357-540BC4A6220D}"/>
              </a:ext>
            </a:extLst>
          </xdr:cNvPr>
          <xdr:cNvSpPr/>
        </xdr:nvSpPr>
        <xdr:spPr>
          <a:xfrm>
            <a:off x="3381377" y="504824"/>
            <a:ext cx="4671176" cy="4552950"/>
          </a:xfrm>
          <a:prstGeom prst="rect">
            <a:avLst/>
          </a:prstGeom>
          <a:noFill/>
          <a:ln w="9525">
            <a:solidFill>
              <a:schemeClr val="accent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sp macro="" textlink="">
        <xdr:nvSpPr>
          <xdr:cNvPr id="5" name="TextBox 4">
            <a:extLst>
              <a:ext uri="{FF2B5EF4-FFF2-40B4-BE49-F238E27FC236}">
                <a16:creationId xmlns:a16="http://schemas.microsoft.com/office/drawing/2014/main" id="{F2A146D1-78A2-4771-8973-9F2B1C761311}"/>
              </a:ext>
            </a:extLst>
          </xdr:cNvPr>
          <xdr:cNvSpPr txBox="1"/>
        </xdr:nvSpPr>
        <xdr:spPr>
          <a:xfrm>
            <a:off x="3462832" y="528827"/>
            <a:ext cx="4629150" cy="15359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it-IT" sz="2000">
                <a:latin typeface="Century Gothic" panose="020B0502020202020204" pitchFamily="34" charset="0"/>
              </a:rPr>
              <a:t>Scenari</a:t>
            </a:r>
            <a:r>
              <a:rPr lang="it-IT" sz="2000" baseline="0">
                <a:latin typeface="Century Gothic" panose="020B0502020202020204" pitchFamily="34" charset="0"/>
              </a:rPr>
              <a:t> </a:t>
            </a:r>
            <a:r>
              <a:rPr lang="it-IT" sz="2000" b="1" u="none" baseline="0">
                <a:latin typeface="Century Gothic" panose="020B0502020202020204" pitchFamily="34" charset="0"/>
              </a:rPr>
              <a:t>EURO</a:t>
            </a:r>
            <a:r>
              <a:rPr lang="it-IT" sz="2000" baseline="0">
                <a:latin typeface="Century Gothic" panose="020B0502020202020204" pitchFamily="34" charset="0"/>
              </a:rPr>
              <a:t> Fornitori + </a:t>
            </a:r>
            <a:r>
              <a:rPr lang="it-IT" sz="2000" b="1" baseline="0">
                <a:latin typeface="Century Gothic" panose="020B0502020202020204" pitchFamily="34" charset="0"/>
              </a:rPr>
              <a:t>Actual</a:t>
            </a:r>
            <a:endParaRPr lang="it-IT" sz="2000" b="1">
              <a:latin typeface="Century Gothic" panose="020B0502020202020204" pitchFamily="34" charset="0"/>
            </a:endParaRPr>
          </a:p>
        </xdr:txBody>
      </xdr:sp>
    </xdr:grpSp>
    <xdr:clientData/>
  </xdr:twoCellAnchor>
  <xdr:twoCellAnchor>
    <xdr:from>
      <xdr:col>4</xdr:col>
      <xdr:colOff>156198</xdr:colOff>
      <xdr:row>1</xdr:row>
      <xdr:rowOff>101598</xdr:rowOff>
    </xdr:from>
    <xdr:to>
      <xdr:col>21</xdr:col>
      <xdr:colOff>178492</xdr:colOff>
      <xdr:row>28</xdr:row>
      <xdr:rowOff>44823</xdr:rowOff>
    </xdr:to>
    <xdr:grpSp>
      <xdr:nvGrpSpPr>
        <xdr:cNvPr id="6" name="Group 5">
          <a:extLst>
            <a:ext uri="{FF2B5EF4-FFF2-40B4-BE49-F238E27FC236}">
              <a16:creationId xmlns:a16="http://schemas.microsoft.com/office/drawing/2014/main" id="{3D13B82F-A54B-4AF8-B0B6-4CF9E92F001C}"/>
            </a:ext>
            <a:ext uri="{147F2762-F138-4A5C-976F-8EAC2B608ADB}">
              <a16:predDERef xmlns:a16="http://schemas.microsoft.com/office/drawing/2014/main" pred="{00000000-0008-0000-0800-000008000000}"/>
            </a:ext>
          </a:extLst>
        </xdr:cNvPr>
        <xdr:cNvGrpSpPr/>
      </xdr:nvGrpSpPr>
      <xdr:grpSpPr>
        <a:xfrm>
          <a:off x="3966198" y="460186"/>
          <a:ext cx="14029647" cy="5915961"/>
          <a:chOff x="3381376" y="504824"/>
          <a:chExt cx="4557970" cy="4627697"/>
        </a:xfrm>
      </xdr:grpSpPr>
      <xdr:sp macro="" textlink="">
        <xdr:nvSpPr>
          <xdr:cNvPr id="7" name="Rectangle 6">
            <a:extLst>
              <a:ext uri="{FF2B5EF4-FFF2-40B4-BE49-F238E27FC236}">
                <a16:creationId xmlns:a16="http://schemas.microsoft.com/office/drawing/2014/main" id="{9A257D7F-36BA-40EB-BBBC-965F60D73143}"/>
              </a:ext>
            </a:extLst>
          </xdr:cNvPr>
          <xdr:cNvSpPr/>
        </xdr:nvSpPr>
        <xdr:spPr>
          <a:xfrm>
            <a:off x="3381376" y="504824"/>
            <a:ext cx="4557970" cy="4627697"/>
          </a:xfrm>
          <a:prstGeom prst="rect">
            <a:avLst/>
          </a:prstGeom>
          <a:noFill/>
          <a:ln w="9525">
            <a:solidFill>
              <a:schemeClr val="accent6">
                <a:lumMod val="7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sp macro="" textlink="">
        <xdr:nvSpPr>
          <xdr:cNvPr id="8" name="TextBox 7">
            <a:extLst>
              <a:ext uri="{FF2B5EF4-FFF2-40B4-BE49-F238E27FC236}">
                <a16:creationId xmlns:a16="http://schemas.microsoft.com/office/drawing/2014/main" id="{B39D1300-4C88-437D-84C8-5D6F1DFF66A9}"/>
              </a:ext>
            </a:extLst>
          </xdr:cNvPr>
          <xdr:cNvSpPr txBox="1"/>
        </xdr:nvSpPr>
        <xdr:spPr>
          <a:xfrm>
            <a:off x="3421082" y="639862"/>
            <a:ext cx="2793004" cy="462636"/>
          </a:xfrm>
          <a:prstGeom prst="rect">
            <a:avLst/>
          </a:prstGeom>
          <a:noFill/>
          <a:ln>
            <a:prstDash val="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it-IT" sz="2800" baseline="0">
                <a:latin typeface="Century Gothic" panose="020B0502020202020204" pitchFamily="34" charset="0"/>
              </a:rPr>
              <a:t>Specchietto riassuntivo ingegnerie</a:t>
            </a:r>
            <a:endParaRPr lang="it-IT" sz="2800" b="1">
              <a:solidFill>
                <a:srgbClr val="FF0000"/>
              </a:solidFill>
              <a:latin typeface="Century Gothic" panose="020B0502020202020204" pitchFamily="34" charset="0"/>
            </a:endParaRPr>
          </a:p>
        </xdr:txBody>
      </xdr:sp>
    </xdr:grpSp>
    <xdr:clientData/>
  </xdr:twoCellAnchor>
  <xdr:twoCellAnchor>
    <xdr:from>
      <xdr:col>0</xdr:col>
      <xdr:colOff>325292</xdr:colOff>
      <xdr:row>0</xdr:row>
      <xdr:rowOff>133192</xdr:rowOff>
    </xdr:from>
    <xdr:to>
      <xdr:col>3</xdr:col>
      <xdr:colOff>881104</xdr:colOff>
      <xdr:row>5</xdr:row>
      <xdr:rowOff>112059</xdr:rowOff>
    </xdr:to>
    <xdr:sp macro="" textlink="">
      <xdr:nvSpPr>
        <xdr:cNvPr id="9" name="TextBox 8">
          <a:extLst>
            <a:ext uri="{FF2B5EF4-FFF2-40B4-BE49-F238E27FC236}">
              <a16:creationId xmlns:a16="http://schemas.microsoft.com/office/drawing/2014/main" id="{FC96B30D-6466-4089-83F6-FCE800767596}"/>
            </a:ext>
            <a:ext uri="{147F2762-F138-4A5C-976F-8EAC2B608ADB}">
              <a16:predDERef xmlns:a16="http://schemas.microsoft.com/office/drawing/2014/main" pred="{00000000-0008-0000-0600-00000B000000}"/>
            </a:ext>
          </a:extLst>
        </xdr:cNvPr>
        <xdr:cNvSpPr txBox="1"/>
      </xdr:nvSpPr>
      <xdr:spPr>
        <a:xfrm>
          <a:off x="325292" y="133192"/>
          <a:ext cx="3346637" cy="1121867"/>
        </a:xfrm>
        <a:prstGeom prst="rect">
          <a:avLst/>
        </a:prstGeom>
        <a:solidFill>
          <a:schemeClr val="accent2">
            <a:lumMod val="20000"/>
            <a:lumOff val="80000"/>
          </a:schemeClr>
        </a:solidFill>
        <a:ln w="3175">
          <a:solidFill>
            <a:schemeClr val="accent2">
              <a:lumMod val="75000"/>
            </a:schemeClr>
          </a:solidFill>
          <a:prstDash val="sysDot"/>
        </a:ln>
        <a:effectLst>
          <a:outerShdw blurRad="44450" dist="27940" dir="5400000" algn="ctr">
            <a:srgbClr val="000000">
              <a:alpha val="32000"/>
            </a:srgbClr>
          </a:outerShdw>
        </a:effectLst>
        <a:scene3d>
          <a:camera prst="perspectiveRight"/>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it-IT" sz="2800" b="1" baseline="0">
              <a:solidFill>
                <a:schemeClr val="bg1"/>
              </a:solidFill>
              <a:effectLst>
                <a:outerShdw blurRad="50800" dist="38100" dir="2700000" algn="tl" rotWithShape="0">
                  <a:prstClr val="black">
                    <a:alpha val="40000"/>
                  </a:prstClr>
                </a:outerShdw>
              </a:effectLst>
              <a:latin typeface="Century Gothic" panose="020B0502020202020204" pitchFamily="34" charset="0"/>
            </a:rPr>
            <a:t>REPORT ESTERNI </a:t>
          </a:r>
        </a:p>
        <a:p>
          <a:pPr algn="ctr"/>
          <a:r>
            <a:rPr lang="it-IT" sz="3600" b="1" baseline="0">
              <a:solidFill>
                <a:schemeClr val="accent2">
                  <a:lumMod val="60000"/>
                  <a:lumOff val="40000"/>
                </a:schemeClr>
              </a:solidFill>
              <a:effectLst>
                <a:outerShdw blurRad="50800" dist="38100" dir="18900000" algn="bl" rotWithShape="0">
                  <a:prstClr val="black">
                    <a:alpha val="40000"/>
                  </a:prstClr>
                </a:outerShdw>
              </a:effectLst>
              <a:latin typeface="Century Gothic" panose="020B0502020202020204" pitchFamily="34" charset="0"/>
            </a:rPr>
            <a:t>20</a:t>
          </a:r>
          <a:r>
            <a:rPr lang="it-IT" sz="3600" b="1" baseline="0">
              <a:solidFill>
                <a:schemeClr val="accent2">
                  <a:lumMod val="60000"/>
                  <a:lumOff val="40000"/>
                </a:schemeClr>
              </a:solidFill>
              <a:effectLst>
                <a:outerShdw blurRad="50800" dist="38100" dir="18900000" algn="bl" rotWithShape="0">
                  <a:prstClr val="black">
                    <a:alpha val="40000"/>
                  </a:prstClr>
                </a:outerShdw>
              </a:effectLst>
              <a:latin typeface="Century Gothic" panose="020B0502020202020204" pitchFamily="34" charset="0"/>
              <a:ea typeface="+mn-ea"/>
              <a:cs typeface="+mn-cs"/>
            </a:rPr>
            <a:t>23</a:t>
          </a:r>
          <a:endParaRPr lang="it-IT" sz="2800" b="1">
            <a:solidFill>
              <a:schemeClr val="accent2">
                <a:lumMod val="60000"/>
                <a:lumOff val="40000"/>
              </a:schemeClr>
            </a:solidFill>
            <a:effectLst>
              <a:outerShdw blurRad="50800" dist="38100" dir="18900000" algn="bl" rotWithShape="0">
                <a:prstClr val="black">
                  <a:alpha val="40000"/>
                </a:prstClr>
              </a:outerShdw>
            </a:effectLst>
            <a:latin typeface="Century Gothic" panose="020B0502020202020204" pitchFamily="34" charset="0"/>
          </a:endParaRPr>
        </a:p>
      </xdr:txBody>
    </xdr:sp>
    <xdr:clientData/>
  </xdr:twoCellAnchor>
  <xdr:twoCellAnchor>
    <xdr:from>
      <xdr:col>0</xdr:col>
      <xdr:colOff>117926</xdr:colOff>
      <xdr:row>0</xdr:row>
      <xdr:rowOff>35858</xdr:rowOff>
    </xdr:from>
    <xdr:to>
      <xdr:col>39</xdr:col>
      <xdr:colOff>468084</xdr:colOff>
      <xdr:row>100</xdr:row>
      <xdr:rowOff>54428</xdr:rowOff>
    </xdr:to>
    <xdr:sp macro="" textlink="">
      <xdr:nvSpPr>
        <xdr:cNvPr id="10" name="Rectangle 9">
          <a:extLst>
            <a:ext uri="{FF2B5EF4-FFF2-40B4-BE49-F238E27FC236}">
              <a16:creationId xmlns:a16="http://schemas.microsoft.com/office/drawing/2014/main" id="{A715011C-D80F-4BA8-80CA-092EE87F0851}"/>
            </a:ext>
          </a:extLst>
        </xdr:cNvPr>
        <xdr:cNvSpPr/>
      </xdr:nvSpPr>
      <xdr:spPr>
        <a:xfrm>
          <a:off x="117926" y="35858"/>
          <a:ext cx="35430733" cy="20306820"/>
        </a:xfrm>
        <a:prstGeom prst="rect">
          <a:avLst/>
        </a:prstGeom>
        <a:no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1022</xdr:colOff>
      <xdr:row>6</xdr:row>
      <xdr:rowOff>97972</xdr:rowOff>
    </xdr:from>
    <xdr:to>
      <xdr:col>3</xdr:col>
      <xdr:colOff>456316</xdr:colOff>
      <xdr:row>9</xdr:row>
      <xdr:rowOff>160283</xdr:rowOff>
    </xdr:to>
    <xdr:grpSp>
      <xdr:nvGrpSpPr>
        <xdr:cNvPr id="11" name="Group 10">
          <a:extLst>
            <a:ext uri="{FF2B5EF4-FFF2-40B4-BE49-F238E27FC236}">
              <a16:creationId xmlns:a16="http://schemas.microsoft.com/office/drawing/2014/main" id="{FD8FB5C8-2608-4FD8-875E-0DC54DECD487}"/>
            </a:ext>
          </a:extLst>
        </xdr:cNvPr>
        <xdr:cNvGrpSpPr/>
      </xdr:nvGrpSpPr>
      <xdr:grpSpPr>
        <a:xfrm>
          <a:off x="729404" y="1509913"/>
          <a:ext cx="2528383" cy="869135"/>
          <a:chOff x="980029" y="1638300"/>
          <a:chExt cx="2455544" cy="800780"/>
        </a:xfrm>
      </xdr:grpSpPr>
      <xdr:sp macro="" textlink="">
        <xdr:nvSpPr>
          <xdr:cNvPr id="12" name="TextBox 11">
            <a:extLst>
              <a:ext uri="{FF2B5EF4-FFF2-40B4-BE49-F238E27FC236}">
                <a16:creationId xmlns:a16="http://schemas.microsoft.com/office/drawing/2014/main" id="{D6A63E43-4421-4002-962B-0C2B1338BA51}"/>
              </a:ext>
            </a:extLst>
          </xdr:cNvPr>
          <xdr:cNvSpPr txBox="1"/>
        </xdr:nvSpPr>
        <xdr:spPr>
          <a:xfrm>
            <a:off x="1148293" y="1906061"/>
            <a:ext cx="2141548"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400">
                <a:latin typeface="Century Gothic" panose="020B0502020202020204" pitchFamily="34" charset="0"/>
              </a:rPr>
              <a:t>FILTRA LA DASHBOARD</a:t>
            </a:r>
          </a:p>
        </xdr:txBody>
      </xdr:sp>
      <xdr:cxnSp macro="">
        <xdr:nvCxnSpPr>
          <xdr:cNvPr id="13" name="Straight Connector 12">
            <a:extLst>
              <a:ext uri="{FF2B5EF4-FFF2-40B4-BE49-F238E27FC236}">
                <a16:creationId xmlns:a16="http://schemas.microsoft.com/office/drawing/2014/main" id="{C47AF171-08C4-4CE0-BB1C-D02AFD48B2FA}"/>
              </a:ext>
            </a:extLst>
          </xdr:cNvPr>
          <xdr:cNvCxnSpPr/>
        </xdr:nvCxnSpPr>
        <xdr:spPr>
          <a:xfrm flipV="1">
            <a:off x="990599" y="2419351"/>
            <a:ext cx="2442825" cy="0"/>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14" name="Picture 13">
            <a:extLst>
              <a:ext uri="{FF2B5EF4-FFF2-40B4-BE49-F238E27FC236}">
                <a16:creationId xmlns:a16="http://schemas.microsoft.com/office/drawing/2014/main" id="{364C505D-0B71-41B4-B28B-F3C5D3C681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9050" y="1638300"/>
            <a:ext cx="298450" cy="287867"/>
          </a:xfrm>
          <a:prstGeom prst="rect">
            <a:avLst/>
          </a:prstGeom>
        </xdr:spPr>
      </xdr:pic>
      <xdr:sp macro="" textlink="">
        <xdr:nvSpPr>
          <xdr:cNvPr id="15" name="TextBox 14">
            <a:extLst>
              <a:ext uri="{FF2B5EF4-FFF2-40B4-BE49-F238E27FC236}">
                <a16:creationId xmlns:a16="http://schemas.microsoft.com/office/drawing/2014/main" id="{2C1F65D6-AE59-4494-9064-C81D202702E6}"/>
              </a:ext>
            </a:extLst>
          </xdr:cNvPr>
          <xdr:cNvSpPr txBox="1"/>
        </xdr:nvSpPr>
        <xdr:spPr>
          <a:xfrm>
            <a:off x="980029" y="2173815"/>
            <a:ext cx="2455544" cy="265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100" i="1">
                <a:latin typeface="Century Gothic" panose="020B0502020202020204" pitchFamily="34" charset="0"/>
              </a:rPr>
              <a:t>premi CTRL per selezione multipla</a:t>
            </a:r>
          </a:p>
        </xdr:txBody>
      </xdr:sp>
    </xdr:grpSp>
    <xdr:clientData/>
  </xdr:twoCellAnchor>
  <xdr:oneCellAnchor>
    <xdr:from>
      <xdr:col>4</xdr:col>
      <xdr:colOff>212272</xdr:colOff>
      <xdr:row>0</xdr:row>
      <xdr:rowOff>118382</xdr:rowOff>
    </xdr:from>
    <xdr:ext cx="13151303" cy="240393"/>
    <xdr:sp macro="" textlink="">
      <xdr:nvSpPr>
        <xdr:cNvPr id="16" name="TextBox 15">
          <a:extLst>
            <a:ext uri="{FF2B5EF4-FFF2-40B4-BE49-F238E27FC236}">
              <a16:creationId xmlns:a16="http://schemas.microsoft.com/office/drawing/2014/main" id="{64C01167-9B39-49B5-9981-5982E0E39754}"/>
            </a:ext>
          </a:extLst>
        </xdr:cNvPr>
        <xdr:cNvSpPr txBox="1"/>
      </xdr:nvSpPr>
      <xdr:spPr>
        <a:xfrm>
          <a:off x="4012747" y="118382"/>
          <a:ext cx="13151303" cy="240393"/>
        </a:xfrm>
        <a:prstGeom prst="rect">
          <a:avLst/>
        </a:prstGeom>
        <a:solidFill>
          <a:schemeClr val="bg1">
            <a:lumMod val="95000"/>
          </a:schemeClr>
        </a:solidFill>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it-IT" sz="1100">
              <a:latin typeface="Century Gothic" panose="020B0502020202020204" pitchFamily="34" charset="0"/>
            </a:rPr>
            <a:t>Se</a:t>
          </a:r>
          <a:r>
            <a:rPr lang="it-IT" sz="1100" baseline="0">
              <a:latin typeface="Century Gothic" panose="020B0502020202020204" pitchFamily="34" charset="0"/>
            </a:rPr>
            <a:t> viene fatta una qualsiasi modifica nel foglio '2023 sintesi' o nel foglio 'AVANZAMENTO' o nei fogli con i budget, CLICCARE SU </a:t>
          </a:r>
          <a:r>
            <a:rPr lang="it-IT" sz="1100" b="1" baseline="0">
              <a:latin typeface="Century Gothic" panose="020B0502020202020204" pitchFamily="34" charset="0"/>
            </a:rPr>
            <a:t>DATI &gt;&gt; AGGIORNA TUTTI  </a:t>
          </a:r>
          <a:r>
            <a:rPr lang="it-IT" sz="1100" u="none" baseline="0">
              <a:latin typeface="Century Gothic" panose="020B0502020202020204" pitchFamily="34" charset="0"/>
            </a:rPr>
            <a:t>per aggiornare le tabelle e i grafici.</a:t>
          </a:r>
          <a:endParaRPr lang="it-IT" sz="1100" u="none">
            <a:latin typeface="Century Gothic" panose="020B0502020202020204" pitchFamily="34" charset="0"/>
          </a:endParaRPr>
        </a:p>
      </xdr:txBody>
    </xdr:sp>
    <xdr:clientData/>
  </xdr:oneCellAnchor>
  <xdr:twoCellAnchor editAs="oneCell">
    <xdr:from>
      <xdr:col>23</xdr:col>
      <xdr:colOff>115359</xdr:colOff>
      <xdr:row>2</xdr:row>
      <xdr:rowOff>11642</xdr:rowOff>
    </xdr:from>
    <xdr:to>
      <xdr:col>23</xdr:col>
      <xdr:colOff>1019628</xdr:colOff>
      <xdr:row>5</xdr:row>
      <xdr:rowOff>157161</xdr:rowOff>
    </xdr:to>
    <xdr:pic>
      <xdr:nvPicPr>
        <xdr:cNvPr id="18" name="Picture 17">
          <a:extLst>
            <a:ext uri="{FF2B5EF4-FFF2-40B4-BE49-F238E27FC236}">
              <a16:creationId xmlns:a16="http://schemas.microsoft.com/office/drawing/2014/main" id="{9382E9E1-162E-4DBB-BE43-F10397A0EBB9}"/>
            </a:ext>
          </a:extLst>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19355859" y="506942"/>
          <a:ext cx="789969" cy="793219"/>
        </a:xfrm>
        <a:prstGeom prst="rect">
          <a:avLst/>
        </a:prstGeom>
      </xdr:spPr>
    </xdr:pic>
    <xdr:clientData/>
  </xdr:twoCellAnchor>
  <xdr:twoCellAnchor>
    <xdr:from>
      <xdr:col>5</xdr:col>
      <xdr:colOff>1121</xdr:colOff>
      <xdr:row>49</xdr:row>
      <xdr:rowOff>49799</xdr:rowOff>
    </xdr:from>
    <xdr:to>
      <xdr:col>21</xdr:col>
      <xdr:colOff>247650</xdr:colOff>
      <xdr:row>69</xdr:row>
      <xdr:rowOff>24405</xdr:rowOff>
    </xdr:to>
    <xdr:grpSp>
      <xdr:nvGrpSpPr>
        <xdr:cNvPr id="19" name="Group 18">
          <a:extLst>
            <a:ext uri="{FF2B5EF4-FFF2-40B4-BE49-F238E27FC236}">
              <a16:creationId xmlns:a16="http://schemas.microsoft.com/office/drawing/2014/main" id="{588CE0F4-8B5C-49A5-A6C0-C4E8C19DF3E8}"/>
            </a:ext>
            <a:ext uri="{147F2762-F138-4A5C-976F-8EAC2B608ADB}">
              <a16:predDERef xmlns:a16="http://schemas.microsoft.com/office/drawing/2014/main" pred="{00000000-0008-0000-0600-000010000000}"/>
            </a:ext>
          </a:extLst>
        </xdr:cNvPr>
        <xdr:cNvGrpSpPr/>
      </xdr:nvGrpSpPr>
      <xdr:grpSpPr>
        <a:xfrm>
          <a:off x="4539503" y="10381623"/>
          <a:ext cx="13525500" cy="3807017"/>
          <a:chOff x="4590464" y="5279891"/>
          <a:chExt cx="6609634" cy="3114675"/>
        </a:xfrm>
      </xdr:grpSpPr>
      <xdr:grpSp>
        <xdr:nvGrpSpPr>
          <xdr:cNvPr id="20" name="Group 19">
            <a:extLst>
              <a:ext uri="{FF2B5EF4-FFF2-40B4-BE49-F238E27FC236}">
                <a16:creationId xmlns:a16="http://schemas.microsoft.com/office/drawing/2014/main" id="{57367D23-D47F-4A3D-AF4C-D512E7D2647E}"/>
              </a:ext>
            </a:extLst>
          </xdr:cNvPr>
          <xdr:cNvGrpSpPr/>
        </xdr:nvGrpSpPr>
        <xdr:grpSpPr>
          <a:xfrm>
            <a:off x="4590464" y="5279891"/>
            <a:ext cx="6609634" cy="3114675"/>
            <a:chOff x="4838114" y="6299066"/>
            <a:chExt cx="6609634" cy="3114675"/>
          </a:xfrm>
        </xdr:grpSpPr>
        <xdr:graphicFrame macro="">
          <xdr:nvGraphicFramePr>
            <xdr:cNvPr id="24" name="Chart 23">
              <a:extLst>
                <a:ext uri="{FF2B5EF4-FFF2-40B4-BE49-F238E27FC236}">
                  <a16:creationId xmlns:a16="http://schemas.microsoft.com/office/drawing/2014/main" id="{85138F0F-0FA3-4DB7-8AFA-24644CC1806B}"/>
                </a:ext>
              </a:extLst>
            </xdr:cNvPr>
            <xdr:cNvGraphicFramePr/>
          </xdr:nvGraphicFramePr>
          <xdr:xfrm>
            <a:off x="4900036" y="6900099"/>
            <a:ext cx="2160000" cy="21600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5" name="Chart 24">
              <a:extLst>
                <a:ext uri="{FF2B5EF4-FFF2-40B4-BE49-F238E27FC236}">
                  <a16:creationId xmlns:a16="http://schemas.microsoft.com/office/drawing/2014/main" id="{6176EDB2-F1D5-46CD-BD01-A85744B42A49}"/>
                </a:ext>
              </a:extLst>
            </xdr:cNvPr>
            <xdr:cNvGraphicFramePr>
              <a:graphicFrameLocks/>
            </xdr:cNvGraphicFramePr>
          </xdr:nvGraphicFramePr>
          <xdr:xfrm>
            <a:off x="6926232" y="6926997"/>
            <a:ext cx="2160000" cy="21600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6" name="TextBox 25">
              <a:extLst>
                <a:ext uri="{FF2B5EF4-FFF2-40B4-BE49-F238E27FC236}">
                  <a16:creationId xmlns:a16="http://schemas.microsoft.com/office/drawing/2014/main" id="{6B2C0FCA-1D2B-478B-B1A8-19729DAA10CC}"/>
                </a:ext>
              </a:extLst>
            </xdr:cNvPr>
            <xdr:cNvSpPr txBox="1"/>
          </xdr:nvSpPr>
          <xdr:spPr>
            <a:xfrm>
              <a:off x="5005572" y="6388551"/>
              <a:ext cx="6442176" cy="3810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it-IT" sz="2000">
                  <a:solidFill>
                    <a:schemeClr val="bg1">
                      <a:lumMod val="50000"/>
                    </a:schemeClr>
                  </a:solidFill>
                  <a:latin typeface="Century Gothic" panose="020B0502020202020204" pitchFamily="34" charset="0"/>
                </a:rPr>
                <a:t>Quanto è stato </a:t>
              </a:r>
              <a:r>
                <a:rPr lang="it-IT" sz="2000" b="1" u="sng">
                  <a:solidFill>
                    <a:schemeClr val="bg1">
                      <a:lumMod val="50000"/>
                    </a:schemeClr>
                  </a:solidFill>
                  <a:latin typeface="Century Gothic" panose="020B0502020202020204" pitchFamily="34" charset="0"/>
                </a:rPr>
                <a:t>allocato</a:t>
              </a:r>
              <a:r>
                <a:rPr lang="it-IT" sz="2000" baseline="0">
                  <a:solidFill>
                    <a:schemeClr val="bg1">
                      <a:lumMod val="50000"/>
                    </a:schemeClr>
                  </a:solidFill>
                  <a:latin typeface="Century Gothic" panose="020B0502020202020204" pitchFamily="34" charset="0"/>
                </a:rPr>
                <a:t> rispetto al BUDGET?</a:t>
              </a:r>
              <a:endParaRPr lang="it-IT" sz="2000">
                <a:solidFill>
                  <a:schemeClr val="bg1">
                    <a:lumMod val="50000"/>
                  </a:schemeClr>
                </a:solidFill>
                <a:latin typeface="Century Gothic" panose="020B0502020202020204" pitchFamily="34" charset="0"/>
              </a:endParaRPr>
            </a:p>
          </xdr:txBody>
        </xdr:sp>
        <xdr:sp macro="" textlink="">
          <xdr:nvSpPr>
            <xdr:cNvPr id="27" name="Rectangle 26">
              <a:extLst>
                <a:ext uri="{FF2B5EF4-FFF2-40B4-BE49-F238E27FC236}">
                  <a16:creationId xmlns:a16="http://schemas.microsoft.com/office/drawing/2014/main" id="{B329681A-8577-444A-B992-CA254C3581C3}"/>
                </a:ext>
              </a:extLst>
            </xdr:cNvPr>
            <xdr:cNvSpPr/>
          </xdr:nvSpPr>
          <xdr:spPr>
            <a:xfrm>
              <a:off x="4838114" y="6299066"/>
              <a:ext cx="6545606" cy="3114675"/>
            </a:xfrm>
            <a:prstGeom prst="rect">
              <a:avLst/>
            </a:prstGeom>
            <a:noFill/>
            <a:ln w="9525">
              <a:solidFill>
                <a:schemeClr val="bg1">
                  <a:lumMod val="75000"/>
                </a:schemeClr>
              </a:solidFill>
              <a:prstDash val="solid"/>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graphicFrame macro="">
          <xdr:nvGraphicFramePr>
            <xdr:cNvPr id="28" name="Chart 27">
              <a:extLst>
                <a:ext uri="{FF2B5EF4-FFF2-40B4-BE49-F238E27FC236}">
                  <a16:creationId xmlns:a16="http://schemas.microsoft.com/office/drawing/2014/main" id="{799FE321-19A0-4EB1-8D91-884E5FC7B34C}"/>
                </a:ext>
              </a:extLst>
            </xdr:cNvPr>
            <xdr:cNvGraphicFramePr>
              <a:graphicFrameLocks/>
            </xdr:cNvGraphicFramePr>
          </xdr:nvGraphicFramePr>
          <xdr:xfrm>
            <a:off x="8952761" y="6902802"/>
            <a:ext cx="2160000" cy="2146719"/>
          </xdr:xfrm>
          <a:graphic>
            <a:graphicData uri="http://schemas.openxmlformats.org/drawingml/2006/chart">
              <c:chart xmlns:c="http://schemas.openxmlformats.org/drawingml/2006/chart" xmlns:r="http://schemas.openxmlformats.org/officeDocument/2006/relationships" r:id="rId6"/>
            </a:graphicData>
          </a:graphic>
        </xdr:graphicFrame>
      </xdr:grpSp>
      <xdr:pic>
        <xdr:nvPicPr>
          <xdr:cNvPr id="21" name="Picture 20">
            <a:extLst>
              <a:ext uri="{FF2B5EF4-FFF2-40B4-BE49-F238E27FC236}">
                <a16:creationId xmlns:a16="http://schemas.microsoft.com/office/drawing/2014/main" id="{A913BF6F-2AA8-4C28-BDB5-C361D3426000}"/>
              </a:ext>
            </a:extLst>
          </xdr:cNvPr>
          <xdr:cNvPicPr>
            <a:picLocks noChangeAspect="1"/>
          </xdr:cNvPicPr>
        </xdr:nvPicPr>
        <xdr:blipFill>
          <a:blip xmlns:r="http://schemas.openxmlformats.org/officeDocument/2006/relationships" r:embed="rId7" cstate="print">
            <a:duotone>
              <a:prstClr val="black"/>
              <a:schemeClr val="accent3">
                <a:tint val="45000"/>
                <a:satMod val="400000"/>
              </a:schemeClr>
            </a:duotone>
            <a:extLst>
              <a:ext uri="{BEBA8EAE-BF5A-486C-A8C5-ECC9F3942E4B}">
                <a14:imgProps xmlns:a14="http://schemas.microsoft.com/office/drawing/2010/main">
                  <a14:imgLayer r:embed="rId8">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5620107" y="7187336"/>
            <a:ext cx="305828" cy="470046"/>
          </a:xfrm>
          <a:prstGeom prst="rect">
            <a:avLst/>
          </a:prstGeom>
        </xdr:spPr>
      </xdr:pic>
      <xdr:pic>
        <xdr:nvPicPr>
          <xdr:cNvPr id="22" name="Picture 21">
            <a:extLst>
              <a:ext uri="{FF2B5EF4-FFF2-40B4-BE49-F238E27FC236}">
                <a16:creationId xmlns:a16="http://schemas.microsoft.com/office/drawing/2014/main" id="{A26552D5-D905-45B0-850A-2DEE88390281}"/>
              </a:ext>
            </a:extLst>
          </xdr:cNvPr>
          <xdr:cNvPicPr>
            <a:picLocks noChangeAspect="1"/>
          </xdr:cNvPicPr>
        </xdr:nvPicPr>
        <xdr:blipFill>
          <a:blip xmlns:r="http://schemas.openxmlformats.org/officeDocument/2006/relationships" r:embed="rId9" cstate="print">
            <a:duotone>
              <a:prstClr val="black"/>
              <a:schemeClr val="accent1">
                <a:tint val="45000"/>
                <a:satMod val="400000"/>
              </a:schemeClr>
            </a:duotone>
            <a:extLst>
              <a:ext uri="{BEBA8EAE-BF5A-486C-A8C5-ECC9F3942E4B}">
                <a14:imgProps xmlns:a14="http://schemas.microsoft.com/office/drawing/2010/main">
                  <a14:imgLayer r:embed="rId10">
                    <a14:imgEffect>
                      <a14:artisticPhotocopy/>
                    </a14:imgEffect>
                  </a14:imgLayer>
                </a14:imgProps>
              </a:ext>
              <a:ext uri="{28A0092B-C50C-407E-A947-70E740481C1C}">
                <a14:useLocalDpi xmlns:a14="http://schemas.microsoft.com/office/drawing/2010/main" val="0"/>
              </a:ext>
            </a:extLst>
          </a:blip>
          <a:stretch>
            <a:fillRect/>
          </a:stretch>
        </xdr:blipFill>
        <xdr:spPr>
          <a:xfrm>
            <a:off x="7619562" y="7229228"/>
            <a:ext cx="295958" cy="396585"/>
          </a:xfrm>
          <a:prstGeom prst="rect">
            <a:avLst/>
          </a:prstGeom>
        </xdr:spPr>
      </xdr:pic>
      <xdr:pic>
        <xdr:nvPicPr>
          <xdr:cNvPr id="23" name="Picture 22">
            <a:extLst>
              <a:ext uri="{FF2B5EF4-FFF2-40B4-BE49-F238E27FC236}">
                <a16:creationId xmlns:a16="http://schemas.microsoft.com/office/drawing/2014/main" id="{E29C6493-B22F-43A8-B9DD-B182F7141D31}"/>
              </a:ext>
            </a:extLst>
          </xdr:cNvPr>
          <xdr:cNvPicPr>
            <a:picLocks noChangeAspect="1"/>
          </xdr:cNvPicPr>
        </xdr:nvPicPr>
        <xdr:blipFill>
          <a:blip xmlns:r="http://schemas.openxmlformats.org/officeDocument/2006/relationships" r:embed="rId9" cstate="print">
            <a:duotone>
              <a:prstClr val="black"/>
              <a:schemeClr val="accent4">
                <a:tint val="45000"/>
                <a:satMod val="400000"/>
              </a:schemeClr>
            </a:duotone>
            <a:extLst>
              <a:ext uri="{BEBA8EAE-BF5A-486C-A8C5-ECC9F3942E4B}">
                <a14:imgProps xmlns:a14="http://schemas.microsoft.com/office/drawing/2010/main">
                  <a14:imgLayer r:embed="rId10">
                    <a14:imgEffect>
                      <a14:artisticPhotocopy/>
                    </a14:imgEffect>
                  </a14:imgLayer>
                </a14:imgProps>
              </a:ext>
              <a:ext uri="{28A0092B-C50C-407E-A947-70E740481C1C}">
                <a14:useLocalDpi xmlns:a14="http://schemas.microsoft.com/office/drawing/2010/main" val="0"/>
              </a:ext>
            </a:extLst>
          </a:blip>
          <a:stretch>
            <a:fillRect/>
          </a:stretch>
        </xdr:blipFill>
        <xdr:spPr>
          <a:xfrm>
            <a:off x="9654598" y="7192969"/>
            <a:ext cx="287348" cy="440643"/>
          </a:xfrm>
          <a:prstGeom prst="rect">
            <a:avLst/>
          </a:prstGeom>
        </xdr:spPr>
      </xdr:pic>
    </xdr:grpSp>
    <xdr:clientData/>
  </xdr:twoCellAnchor>
  <xdr:twoCellAnchor>
    <xdr:from>
      <xdr:col>5</xdr:col>
      <xdr:colOff>1038</xdr:colOff>
      <xdr:row>28</xdr:row>
      <xdr:rowOff>89647</xdr:rowOff>
    </xdr:from>
    <xdr:to>
      <xdr:col>21</xdr:col>
      <xdr:colOff>194575</xdr:colOff>
      <xdr:row>48</xdr:row>
      <xdr:rowOff>50419</xdr:rowOff>
    </xdr:to>
    <xdr:grpSp>
      <xdr:nvGrpSpPr>
        <xdr:cNvPr id="29" name="Group 28">
          <a:extLst>
            <a:ext uri="{FF2B5EF4-FFF2-40B4-BE49-F238E27FC236}">
              <a16:creationId xmlns:a16="http://schemas.microsoft.com/office/drawing/2014/main" id="{B24EA1A3-0B86-445B-BF0B-49CF1F4BD3A0}"/>
            </a:ext>
            <a:ext uri="{147F2762-F138-4A5C-976F-8EAC2B608ADB}">
              <a16:predDERef xmlns:a16="http://schemas.microsoft.com/office/drawing/2014/main" pred="{00000000-0008-0000-0600-00002E000000}"/>
            </a:ext>
          </a:extLst>
        </xdr:cNvPr>
        <xdr:cNvGrpSpPr/>
      </xdr:nvGrpSpPr>
      <xdr:grpSpPr>
        <a:xfrm>
          <a:off x="4539420" y="6420971"/>
          <a:ext cx="13472508" cy="3770772"/>
          <a:chOff x="4733925" y="4810125"/>
          <a:chExt cx="6533634" cy="3114675"/>
        </a:xfrm>
      </xdr:grpSpPr>
      <xdr:grpSp>
        <xdr:nvGrpSpPr>
          <xdr:cNvPr id="30" name="Group 29">
            <a:extLst>
              <a:ext uri="{FF2B5EF4-FFF2-40B4-BE49-F238E27FC236}">
                <a16:creationId xmlns:a16="http://schemas.microsoft.com/office/drawing/2014/main" id="{A165DC51-FC7C-4577-8820-71136F9920A3}"/>
              </a:ext>
            </a:extLst>
          </xdr:cNvPr>
          <xdr:cNvGrpSpPr/>
        </xdr:nvGrpSpPr>
        <xdr:grpSpPr>
          <a:xfrm>
            <a:off x="4733925" y="4810125"/>
            <a:ext cx="6533634" cy="3114675"/>
            <a:chOff x="4981575" y="5829300"/>
            <a:chExt cx="6533634" cy="3114675"/>
          </a:xfrm>
        </xdr:grpSpPr>
        <xdr:graphicFrame macro="">
          <xdr:nvGraphicFramePr>
            <xdr:cNvPr id="33" name="Chart 32">
              <a:extLst>
                <a:ext uri="{FF2B5EF4-FFF2-40B4-BE49-F238E27FC236}">
                  <a16:creationId xmlns:a16="http://schemas.microsoft.com/office/drawing/2014/main" id="{45E40B75-56DD-419F-84A7-B395A51B187D}"/>
                </a:ext>
              </a:extLst>
            </xdr:cNvPr>
            <xdr:cNvGraphicFramePr/>
          </xdr:nvGraphicFramePr>
          <xdr:xfrm>
            <a:off x="5029472" y="6507455"/>
            <a:ext cx="2116736" cy="2261160"/>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34" name="TextBox 33">
              <a:extLst>
                <a:ext uri="{FF2B5EF4-FFF2-40B4-BE49-F238E27FC236}">
                  <a16:creationId xmlns:a16="http://schemas.microsoft.com/office/drawing/2014/main" id="{EB658A27-A19E-4652-80BE-D8199A90D47C}"/>
                </a:ext>
              </a:extLst>
            </xdr:cNvPr>
            <xdr:cNvSpPr txBox="1"/>
          </xdr:nvSpPr>
          <xdr:spPr>
            <a:xfrm>
              <a:off x="5057492" y="5866228"/>
              <a:ext cx="6457717" cy="486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it-IT" sz="2000">
                  <a:solidFill>
                    <a:schemeClr val="bg1">
                      <a:lumMod val="50000"/>
                    </a:schemeClr>
                  </a:solidFill>
                  <a:latin typeface="Century Gothic" panose="020B0502020202020204" pitchFamily="34" charset="0"/>
                </a:rPr>
                <a:t>Quanto è stato </a:t>
              </a:r>
              <a:r>
                <a:rPr lang="it-IT" sz="2000" b="1" u="sng">
                  <a:solidFill>
                    <a:schemeClr val="bg1">
                      <a:lumMod val="50000"/>
                    </a:schemeClr>
                  </a:solidFill>
                  <a:latin typeface="Century Gothic" panose="020B0502020202020204" pitchFamily="34" charset="0"/>
                </a:rPr>
                <a:t>consumato</a:t>
              </a:r>
              <a:r>
                <a:rPr lang="it-IT" sz="2000">
                  <a:solidFill>
                    <a:schemeClr val="bg1">
                      <a:lumMod val="50000"/>
                    </a:schemeClr>
                  </a:solidFill>
                  <a:latin typeface="Century Gothic" panose="020B0502020202020204" pitchFamily="34" charset="0"/>
                </a:rPr>
                <a:t> fino a data                           </a:t>
              </a:r>
              <a:r>
                <a:rPr lang="it-IT" sz="2400" baseline="0">
                  <a:solidFill>
                    <a:schemeClr val="bg1">
                      <a:lumMod val="50000"/>
                    </a:schemeClr>
                  </a:solidFill>
                  <a:latin typeface="Arial" panose="020B0604020202020204" pitchFamily="34" charset="0"/>
                  <a:cs typeface="Arial" panose="020B0604020202020204" pitchFamily="34" charset="0"/>
                </a:rPr>
                <a:t> </a:t>
              </a:r>
              <a:r>
                <a:rPr lang="it-IT" sz="2000">
                  <a:solidFill>
                    <a:schemeClr val="bg1">
                      <a:lumMod val="50000"/>
                    </a:schemeClr>
                  </a:solidFill>
                  <a:latin typeface="Century Gothic" panose="020B0502020202020204" pitchFamily="34" charset="0"/>
                  <a:cs typeface="Arial" panose="020B0604020202020204" pitchFamily="34" charset="0"/>
                </a:rPr>
                <a:t>rispetto all'</a:t>
              </a:r>
              <a:r>
                <a:rPr lang="it-IT" sz="2000" b="0" u="none">
                  <a:solidFill>
                    <a:schemeClr val="bg1">
                      <a:lumMod val="50000"/>
                    </a:schemeClr>
                  </a:solidFill>
                  <a:latin typeface="Century Gothic" panose="020B0502020202020204" pitchFamily="34" charset="0"/>
                  <a:cs typeface="Arial" panose="020B0604020202020204" pitchFamily="34" charset="0"/>
                </a:rPr>
                <a:t>allocato</a:t>
              </a:r>
              <a:r>
                <a:rPr lang="it-IT" sz="2000">
                  <a:solidFill>
                    <a:schemeClr val="bg1">
                      <a:lumMod val="50000"/>
                    </a:schemeClr>
                  </a:solidFill>
                  <a:latin typeface="Century Gothic" panose="020B0502020202020204" pitchFamily="34" charset="0"/>
                  <a:cs typeface="Arial" panose="020B0604020202020204" pitchFamily="34" charset="0"/>
                </a:rPr>
                <a:t>?</a:t>
              </a:r>
            </a:p>
          </xdr:txBody>
        </xdr:sp>
        <xdr:sp macro="" textlink="">
          <xdr:nvSpPr>
            <xdr:cNvPr id="35" name="Rectangle 34">
              <a:extLst>
                <a:ext uri="{FF2B5EF4-FFF2-40B4-BE49-F238E27FC236}">
                  <a16:creationId xmlns:a16="http://schemas.microsoft.com/office/drawing/2014/main" id="{8AF93D0C-819C-47E1-BA1E-E93781635684}"/>
                </a:ext>
              </a:extLst>
            </xdr:cNvPr>
            <xdr:cNvSpPr/>
          </xdr:nvSpPr>
          <xdr:spPr>
            <a:xfrm>
              <a:off x="4981575" y="5829300"/>
              <a:ext cx="6505575" cy="3114675"/>
            </a:xfrm>
            <a:prstGeom prst="rect">
              <a:avLst/>
            </a:prstGeom>
            <a:noFill/>
            <a:ln w="3175">
              <a:solidFill>
                <a:schemeClr val="bg1">
                  <a:lumMod val="75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graphicFrame macro="">
          <xdr:nvGraphicFramePr>
            <xdr:cNvPr id="36" name="Chart 35">
              <a:extLst>
                <a:ext uri="{FF2B5EF4-FFF2-40B4-BE49-F238E27FC236}">
                  <a16:creationId xmlns:a16="http://schemas.microsoft.com/office/drawing/2014/main" id="{E73060F8-4ACA-4A9C-AD90-96DA1A85F512}"/>
                </a:ext>
              </a:extLst>
            </xdr:cNvPr>
            <xdr:cNvGraphicFramePr>
              <a:graphicFrameLocks/>
            </xdr:cNvGraphicFramePr>
          </xdr:nvGraphicFramePr>
          <xdr:xfrm>
            <a:off x="7053574" y="6496058"/>
            <a:ext cx="2115545" cy="2303876"/>
          </xdr:xfrm>
          <a:graphic>
            <a:graphicData uri="http://schemas.openxmlformats.org/drawingml/2006/chart">
              <c:chart xmlns:c="http://schemas.openxmlformats.org/drawingml/2006/chart" xmlns:r="http://schemas.openxmlformats.org/officeDocument/2006/relationships" r:id="rId12"/>
            </a:graphicData>
          </a:graphic>
        </xdr:graphicFrame>
      </xdr:grpSp>
      <xdr:pic>
        <xdr:nvPicPr>
          <xdr:cNvPr id="31" name="Picture 30">
            <a:extLst>
              <a:ext uri="{FF2B5EF4-FFF2-40B4-BE49-F238E27FC236}">
                <a16:creationId xmlns:a16="http://schemas.microsoft.com/office/drawing/2014/main" id="{371FA853-DE8A-445A-903D-00C565AD25CB}"/>
              </a:ext>
            </a:extLst>
          </xdr:cNvPr>
          <xdr:cNvPicPr>
            <a:picLocks noChangeAspect="1"/>
          </xdr:cNvPicPr>
        </xdr:nvPicPr>
        <xdr:blipFill>
          <a:blip xmlns:r="http://schemas.openxmlformats.org/officeDocument/2006/relationships" r:embed="rId13" cstate="print">
            <a:duotone>
              <a:prstClr val="black"/>
              <a:schemeClr val="accent3">
                <a:tint val="45000"/>
                <a:satMod val="400000"/>
              </a:schemeClr>
            </a:duotone>
            <a:extLst>
              <a:ext uri="{BEBA8EAE-BF5A-486C-A8C5-ECC9F3942E4B}">
                <a14:imgProps xmlns:a14="http://schemas.microsoft.com/office/drawing/2010/main">
                  <a14:imgLayer r:embed="rId8">
                    <a14:imgEffect>
                      <a14:artisticPhotocopy/>
                    </a14:imgEffect>
                  </a14:imgLayer>
                </a14:imgProps>
              </a:ext>
              <a:ext uri="{28A0092B-C50C-407E-A947-70E740481C1C}">
                <a14:useLocalDpi xmlns:a14="http://schemas.microsoft.com/office/drawing/2010/main" val="0"/>
              </a:ext>
            </a:extLst>
          </a:blip>
          <a:stretch>
            <a:fillRect/>
          </a:stretch>
        </xdr:blipFill>
        <xdr:spPr>
          <a:xfrm>
            <a:off x="5718170" y="6767841"/>
            <a:ext cx="297361" cy="461617"/>
          </a:xfrm>
          <a:prstGeom prst="rect">
            <a:avLst/>
          </a:prstGeom>
        </xdr:spPr>
      </xdr:pic>
      <xdr:pic>
        <xdr:nvPicPr>
          <xdr:cNvPr id="32" name="Picture 31">
            <a:extLst>
              <a:ext uri="{FF2B5EF4-FFF2-40B4-BE49-F238E27FC236}">
                <a16:creationId xmlns:a16="http://schemas.microsoft.com/office/drawing/2014/main" id="{6BE33BE8-9B64-47BA-AA3F-47224C8C97A4}"/>
              </a:ext>
            </a:extLst>
          </xdr:cNvPr>
          <xdr:cNvPicPr>
            <a:picLocks noChangeAspect="1"/>
          </xdr:cNvPicPr>
        </xdr:nvPicPr>
        <xdr:blipFill>
          <a:blip xmlns:r="http://schemas.openxmlformats.org/officeDocument/2006/relationships" r:embed="rId9" cstate="print">
            <a:duotone>
              <a:prstClr val="black"/>
              <a:schemeClr val="accent1">
                <a:tint val="45000"/>
                <a:satMod val="400000"/>
              </a:schemeClr>
            </a:duotone>
            <a:extLst>
              <a:ext uri="{BEBA8EAE-BF5A-486C-A8C5-ECC9F3942E4B}">
                <a14:imgProps xmlns:a14="http://schemas.microsoft.com/office/drawing/2010/main">
                  <a14:imgLayer r:embed="rId10">
                    <a14:imgEffect>
                      <a14:artisticPhotocopy/>
                    </a14:imgEffect>
                    <a14:imgEffect>
                      <a14:saturation sat="33000"/>
                    </a14:imgEffect>
                  </a14:imgLayer>
                </a14:imgProps>
              </a:ext>
              <a:ext uri="{28A0092B-C50C-407E-A947-70E740481C1C}">
                <a14:useLocalDpi xmlns:a14="http://schemas.microsoft.com/office/drawing/2010/main" val="0"/>
              </a:ext>
            </a:extLst>
          </a:blip>
          <a:stretch>
            <a:fillRect/>
          </a:stretch>
        </xdr:blipFill>
        <xdr:spPr>
          <a:xfrm>
            <a:off x="7734671" y="6822657"/>
            <a:ext cx="271613" cy="417940"/>
          </a:xfrm>
          <a:prstGeom prst="rect">
            <a:avLst/>
          </a:prstGeom>
        </xdr:spPr>
      </xdr:pic>
    </xdr:grpSp>
    <xdr:clientData/>
  </xdr:twoCellAnchor>
  <xdr:twoCellAnchor>
    <xdr:from>
      <xdr:col>13</xdr:col>
      <xdr:colOff>230840</xdr:colOff>
      <xdr:row>29</xdr:row>
      <xdr:rowOff>71427</xdr:rowOff>
    </xdr:from>
    <xdr:to>
      <xdr:col>15</xdr:col>
      <xdr:colOff>600077</xdr:colOff>
      <xdr:row>31</xdr:row>
      <xdr:rowOff>38770</xdr:rowOff>
    </xdr:to>
    <xdr:sp macro="" textlink="AVANZAMENTO!M1">
      <xdr:nvSpPr>
        <xdr:cNvPr id="37" name="TextBox 36">
          <a:extLst>
            <a:ext uri="{FF2B5EF4-FFF2-40B4-BE49-F238E27FC236}">
              <a16:creationId xmlns:a16="http://schemas.microsoft.com/office/drawing/2014/main" id="{7DC095C8-7F5F-46F4-85D5-68A114480E4F}"/>
            </a:ext>
          </a:extLst>
        </xdr:cNvPr>
        <xdr:cNvSpPr txBox="1"/>
      </xdr:nvSpPr>
      <xdr:spPr>
        <a:xfrm>
          <a:off x="11422715" y="6548427"/>
          <a:ext cx="2140887" cy="348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0E18264A-5369-45C9-A9DE-3B44707EF16D}" type="TxLink">
            <a:rPr lang="en-US" sz="2800" b="1" i="0" u="none" strike="noStrike">
              <a:solidFill>
                <a:schemeClr val="bg1">
                  <a:lumMod val="50000"/>
                </a:schemeClr>
              </a:solidFill>
              <a:latin typeface="Calibri"/>
              <a:cs typeface="Calibri"/>
            </a:rPr>
            <a:pPr algn="ctr"/>
            <a:t>05/06/2023</a:t>
          </a:fld>
          <a:endParaRPr lang="it-IT" sz="19900" b="1">
            <a:solidFill>
              <a:schemeClr val="bg1">
                <a:lumMod val="50000"/>
              </a:schemeClr>
            </a:solidFill>
            <a:latin typeface="Century Gothic" panose="020B0502020202020204" pitchFamily="34" charset="0"/>
          </a:endParaRPr>
        </a:p>
      </xdr:txBody>
    </xdr:sp>
    <xdr:clientData/>
  </xdr:twoCellAnchor>
  <xdr:oneCellAnchor>
    <xdr:from>
      <xdr:col>14</xdr:col>
      <xdr:colOff>446635</xdr:colOff>
      <xdr:row>24</xdr:row>
      <xdr:rowOff>56187</xdr:rowOff>
    </xdr:from>
    <xdr:ext cx="5437414" cy="898553"/>
    <xdr:sp macro="" textlink="">
      <xdr:nvSpPr>
        <xdr:cNvPr id="38" name="TextBox 37">
          <a:extLst>
            <a:ext uri="{FF2B5EF4-FFF2-40B4-BE49-F238E27FC236}">
              <a16:creationId xmlns:a16="http://schemas.microsoft.com/office/drawing/2014/main" id="{BCAD38CE-9AAF-42C9-880F-9259F6DF0CBB}"/>
            </a:ext>
            <a:ext uri="{147F2762-F138-4A5C-976F-8EAC2B608ADB}">
              <a16:predDERef xmlns:a16="http://schemas.microsoft.com/office/drawing/2014/main" pred="{00000000-0008-0000-0600-000039000000}"/>
            </a:ext>
          </a:extLst>
        </xdr:cNvPr>
        <xdr:cNvSpPr txBox="1"/>
      </xdr:nvSpPr>
      <xdr:spPr>
        <a:xfrm>
          <a:off x="12533860" y="5571162"/>
          <a:ext cx="5437414" cy="8985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it-IT" sz="1050">
              <a:latin typeface="Century Gothic" panose="020B0502020202020204" pitchFamily="34" charset="0"/>
            </a:rPr>
            <a:t>La</a:t>
          </a:r>
          <a:r>
            <a:rPr lang="it-IT" sz="1050" baseline="0">
              <a:latin typeface="Century Gothic" panose="020B0502020202020204" pitchFamily="34" charset="0"/>
            </a:rPr>
            <a:t> Tabella </a:t>
          </a:r>
          <a:r>
            <a:rPr lang="it-IT" sz="1050" i="1" baseline="0">
              <a:latin typeface="Century Gothic" panose="020B0502020202020204" pitchFamily="34" charset="0"/>
            </a:rPr>
            <a:t>To Finish in alto</a:t>
          </a:r>
          <a:r>
            <a:rPr lang="it-IT" sz="1050" baseline="0">
              <a:latin typeface="Century Gothic" panose="020B0502020202020204" pitchFamily="34" charset="0"/>
            </a:rPr>
            <a:t>, va letta solo per intero reparto (è svincolata dai filtri).</a:t>
          </a:r>
          <a:r>
            <a:rPr lang="it-IT" sz="1050">
              <a:latin typeface="Century Gothic" panose="020B0502020202020204" pitchFamily="34" charset="0"/>
            </a:rPr>
            <a:t>                      </a:t>
          </a:r>
          <a:r>
            <a:rPr lang="it-IT" sz="1050" baseline="0">
              <a:latin typeface="Century Gothic" panose="020B0502020202020204" pitchFamily="34" charset="0"/>
            </a:rPr>
            <a:t> </a:t>
          </a:r>
        </a:p>
        <a:p>
          <a:pPr algn="l"/>
          <a:r>
            <a:rPr lang="it-IT" sz="1050" b="1">
              <a:latin typeface="Century Gothic" panose="020B0502020202020204" pitchFamily="34" charset="0"/>
            </a:rPr>
            <a:t>RESTO</a:t>
          </a:r>
          <a:r>
            <a:rPr lang="it-IT" sz="1050" baseline="0">
              <a:latin typeface="Century Gothic" panose="020B0502020202020204" pitchFamily="34" charset="0"/>
            </a:rPr>
            <a:t> </a:t>
          </a:r>
          <a:r>
            <a:rPr lang="it-IT" sz="1050">
              <a:latin typeface="Century Gothic" panose="020B0502020202020204" pitchFamily="34" charset="0"/>
            </a:rPr>
            <a:t>= BUDGET - ACTUAL dell'intero</a:t>
          </a:r>
          <a:r>
            <a:rPr lang="it-IT" sz="1050" baseline="0">
              <a:latin typeface="Century Gothic" panose="020B0502020202020204" pitchFamily="34" charset="0"/>
            </a:rPr>
            <a:t> reparto per tutti i fornitori</a:t>
          </a:r>
          <a:endParaRPr lang="it-IT" sz="1050">
            <a:latin typeface="Century Gothic" panose="020B0502020202020204" pitchFamily="34" charset="0"/>
          </a:endParaRPr>
        </a:p>
        <a:p>
          <a:pPr algn="l"/>
          <a:r>
            <a:rPr lang="it-IT" sz="1050" b="1">
              <a:latin typeface="Century Gothic" panose="020B0502020202020204" pitchFamily="34" charset="0"/>
            </a:rPr>
            <a:t>A FINIRE </a:t>
          </a:r>
          <a:r>
            <a:rPr lang="it-IT" sz="1050">
              <a:latin typeface="Century Gothic" panose="020B0502020202020204" pitchFamily="34" charset="0"/>
            </a:rPr>
            <a:t>=</a:t>
          </a:r>
          <a:r>
            <a:rPr lang="it-IT" sz="1050" baseline="0">
              <a:latin typeface="Century Gothic" panose="020B0502020202020204" pitchFamily="34" charset="0"/>
            </a:rPr>
            <a:t> Allocato in '2023 sintesi' da </a:t>
          </a:r>
          <a:r>
            <a:rPr lang="it-IT" sz="1050" b="1" u="sng" baseline="0">
              <a:latin typeface="Century Gothic" panose="020B0502020202020204" pitchFamily="34" charset="0"/>
            </a:rPr>
            <a:t>GIUGNO</a:t>
          </a:r>
          <a:r>
            <a:rPr lang="it-IT" sz="1050" baseline="0">
              <a:latin typeface="Century Gothic" panose="020B0502020202020204" pitchFamily="34" charset="0"/>
            </a:rPr>
            <a:t> a </a:t>
          </a:r>
          <a:r>
            <a:rPr lang="it-IT" sz="1050" b="1" u="sng" baseline="0">
              <a:latin typeface="Century Gothic" panose="020B0502020202020204" pitchFamily="34" charset="0"/>
            </a:rPr>
            <a:t>DICEMBRE</a:t>
          </a:r>
          <a:r>
            <a:rPr lang="it-IT" sz="1050" baseline="0">
              <a:latin typeface="Century Gothic" panose="020B0502020202020204" pitchFamily="34" charset="0"/>
            </a:rPr>
            <a:t> </a:t>
          </a:r>
          <a:r>
            <a:rPr lang="it-IT" sz="900" b="0" baseline="0">
              <a:latin typeface="Century Gothic" panose="020B0502020202020204" pitchFamily="34" charset="0"/>
            </a:rPr>
            <a:t>(estremi </a:t>
          </a:r>
          <a:r>
            <a:rPr lang="it-IT" sz="900" b="0" i="0" u="sng" baseline="0">
              <a:latin typeface="Century Gothic" panose="020B0502020202020204" pitchFamily="34" charset="0"/>
            </a:rPr>
            <a:t>inclusi</a:t>
          </a:r>
          <a:r>
            <a:rPr lang="it-IT" sz="900" b="0" baseline="0">
              <a:latin typeface="Century Gothic" panose="020B0502020202020204" pitchFamily="34" charset="0"/>
            </a:rPr>
            <a:t>)</a:t>
          </a:r>
        </a:p>
        <a:p>
          <a:pPr algn="l"/>
          <a:r>
            <a:rPr lang="it-IT" sz="900" b="0" baseline="0">
              <a:latin typeface="Century Gothic" panose="020B0502020202020204" pitchFamily="34" charset="0"/>
            </a:rPr>
            <a:t>Regola colore cella: </a:t>
          </a:r>
          <a:r>
            <a:rPr lang="it-IT" sz="900" b="0" baseline="0">
              <a:solidFill>
                <a:srgbClr val="FF0000"/>
              </a:solidFill>
              <a:latin typeface="Century Gothic" panose="020B0502020202020204" pitchFamily="34" charset="0"/>
            </a:rPr>
            <a:t>Se resto </a:t>
          </a:r>
          <a:r>
            <a:rPr lang="it-IT" sz="1000" b="1" baseline="0">
              <a:solidFill>
                <a:srgbClr val="FF0000"/>
              </a:solidFill>
              <a:latin typeface="Century Gothic" panose="020B0502020202020204" pitchFamily="34" charset="0"/>
            </a:rPr>
            <a:t>&lt;</a:t>
          </a:r>
          <a:r>
            <a:rPr lang="it-IT" sz="900" b="0" baseline="0">
              <a:solidFill>
                <a:srgbClr val="FF0000"/>
              </a:solidFill>
              <a:latin typeface="Century Gothic" panose="020B0502020202020204" pitchFamily="34" charset="0"/>
            </a:rPr>
            <a:t> allocato a finire → </a:t>
          </a:r>
          <a:r>
            <a:rPr lang="it-IT" sz="900" b="1" baseline="0">
              <a:solidFill>
                <a:srgbClr val="FF0000"/>
              </a:solidFill>
              <a:latin typeface="Century Gothic" panose="020B0502020202020204" pitchFamily="34" charset="0"/>
            </a:rPr>
            <a:t>cella rossa</a:t>
          </a:r>
          <a:endParaRPr lang="it-IT" sz="1050" b="1">
            <a:solidFill>
              <a:srgbClr val="FF0000"/>
            </a:solidFill>
            <a:latin typeface="Century Gothic" panose="020B0502020202020204" pitchFamily="34" charset="0"/>
          </a:endParaRPr>
        </a:p>
      </xdr:txBody>
    </xdr:sp>
    <xdr:clientData/>
  </xdr:oneCellAnchor>
  <xdr:twoCellAnchor>
    <xdr:from>
      <xdr:col>15</xdr:col>
      <xdr:colOff>533401</xdr:colOff>
      <xdr:row>32</xdr:row>
      <xdr:rowOff>99732</xdr:rowOff>
    </xdr:from>
    <xdr:to>
      <xdr:col>20</xdr:col>
      <xdr:colOff>83276</xdr:colOff>
      <xdr:row>46</xdr:row>
      <xdr:rowOff>184555</xdr:rowOff>
    </xdr:to>
    <xdr:graphicFrame macro="">
      <xdr:nvGraphicFramePr>
        <xdr:cNvPr id="39" name="Chart 38">
          <a:extLst>
            <a:ext uri="{FF2B5EF4-FFF2-40B4-BE49-F238E27FC236}">
              <a16:creationId xmlns:a16="http://schemas.microsoft.com/office/drawing/2014/main" id="{251DD658-61DB-4092-B51E-C105CCBAAC23}"/>
            </a:ext>
            <a:ext uri="{147F2762-F138-4A5C-976F-8EAC2B608ADB}">
              <a16:predDERef xmlns:a16="http://schemas.microsoft.com/office/drawing/2014/main" pred="{00000000-0008-0000-06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32</xdr:col>
      <xdr:colOff>550334</xdr:colOff>
      <xdr:row>2</xdr:row>
      <xdr:rowOff>10584</xdr:rowOff>
    </xdr:from>
    <xdr:to>
      <xdr:col>33</xdr:col>
      <xdr:colOff>808210</xdr:colOff>
      <xdr:row>5</xdr:row>
      <xdr:rowOff>124399</xdr:rowOff>
    </xdr:to>
    <xdr:pic>
      <xdr:nvPicPr>
        <xdr:cNvPr id="41" name="Picture 40">
          <a:extLst>
            <a:ext uri="{FF2B5EF4-FFF2-40B4-BE49-F238E27FC236}">
              <a16:creationId xmlns:a16="http://schemas.microsoft.com/office/drawing/2014/main" id="{56A8B082-6439-48A4-995E-9CDC980A081A}"/>
            </a:ext>
          </a:extLst>
        </xdr:cNvPr>
        <xdr:cNvPicPr>
          <a:picLocks noChangeAspect="1"/>
        </xdr:cNvPicPr>
      </xdr:nvPicPr>
      <xdr:blipFill>
        <a:blip xmlns:r="http://schemas.openxmlformats.org/officeDocument/2006/relationships" r:embed="rId15" cstate="print">
          <a:duotone>
            <a:prstClr val="black"/>
            <a:schemeClr val="accent3">
              <a:tint val="45000"/>
              <a:satMod val="400000"/>
            </a:schemeClr>
          </a:duotone>
          <a:extLst>
            <a:ext uri="{BEBA8EAE-BF5A-486C-A8C5-ECC9F3942E4B}">
              <a14:imgProps xmlns:a14="http://schemas.microsoft.com/office/drawing/2010/main">
                <a14:imgLayer r:embed="rId16">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29258684" y="505884"/>
          <a:ext cx="753177" cy="761515"/>
        </a:xfrm>
        <a:prstGeom prst="rect">
          <a:avLst/>
        </a:prstGeom>
      </xdr:spPr>
    </xdr:pic>
    <xdr:clientData/>
  </xdr:twoCellAnchor>
  <xdr:twoCellAnchor>
    <xdr:from>
      <xdr:col>33</xdr:col>
      <xdr:colOff>814918</xdr:colOff>
      <xdr:row>2</xdr:row>
      <xdr:rowOff>0</xdr:rowOff>
    </xdr:from>
    <xdr:to>
      <xdr:col>38</xdr:col>
      <xdr:colOff>201081</xdr:colOff>
      <xdr:row>4</xdr:row>
      <xdr:rowOff>187677</xdr:rowOff>
    </xdr:to>
    <xdr:sp macro="" textlink="">
      <xdr:nvSpPr>
        <xdr:cNvPr id="42" name="TextBox 41">
          <a:extLst>
            <a:ext uri="{FF2B5EF4-FFF2-40B4-BE49-F238E27FC236}">
              <a16:creationId xmlns:a16="http://schemas.microsoft.com/office/drawing/2014/main" id="{1F5DF1E9-3340-4C65-BCB2-5184A0B93841}"/>
            </a:ext>
          </a:extLst>
        </xdr:cNvPr>
        <xdr:cNvSpPr txBox="1"/>
      </xdr:nvSpPr>
      <xdr:spPr>
        <a:xfrm>
          <a:off x="30247168" y="495300"/>
          <a:ext cx="4310588" cy="56867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it-IT" sz="2000">
              <a:latin typeface="Century Gothic" panose="020B0502020202020204" pitchFamily="34" charset="0"/>
            </a:rPr>
            <a:t>Scenari</a:t>
          </a:r>
          <a:r>
            <a:rPr lang="it-IT" sz="2000" baseline="0">
              <a:latin typeface="Century Gothic" panose="020B0502020202020204" pitchFamily="34" charset="0"/>
            </a:rPr>
            <a:t> </a:t>
          </a:r>
          <a:r>
            <a:rPr lang="it-IT" sz="2000" b="1" u="none" baseline="0">
              <a:latin typeface="Century Gothic" panose="020B0502020202020204" pitchFamily="34" charset="0"/>
            </a:rPr>
            <a:t>ORE</a:t>
          </a:r>
          <a:r>
            <a:rPr lang="it-IT" sz="2000" baseline="0">
              <a:latin typeface="Century Gothic" panose="020B0502020202020204" pitchFamily="34" charset="0"/>
            </a:rPr>
            <a:t> Fornitori + </a:t>
          </a:r>
          <a:r>
            <a:rPr lang="it-IT" sz="2000" b="1" baseline="0">
              <a:latin typeface="Century Gothic" panose="020B0502020202020204" pitchFamily="34" charset="0"/>
            </a:rPr>
            <a:t>Actual [NO LUMP*]</a:t>
          </a:r>
        </a:p>
        <a:p>
          <a:pPr algn="ctr"/>
          <a:r>
            <a:rPr lang="it-IT" sz="1050" b="0" i="1" baseline="0">
              <a:latin typeface="Century Gothic" panose="020B0502020202020204" pitchFamily="34" charset="0"/>
            </a:rPr>
            <a:t>*Per i LUMP non si ragiona a ore, quindi i LUMP sono assenti in questa tabella</a:t>
          </a:r>
          <a:endParaRPr lang="it-IT" sz="1050" b="0" i="1">
            <a:latin typeface="Century Gothic" panose="020B0502020202020204" pitchFamily="34" charset="0"/>
          </a:endParaRPr>
        </a:p>
      </xdr:txBody>
    </xdr:sp>
    <xdr:clientData/>
  </xdr:twoCellAnchor>
  <xdr:twoCellAnchor>
    <xdr:from>
      <xdr:col>31</xdr:col>
      <xdr:colOff>402772</xdr:colOff>
      <xdr:row>1</xdr:row>
      <xdr:rowOff>108854</xdr:rowOff>
    </xdr:from>
    <xdr:to>
      <xdr:col>39</xdr:col>
      <xdr:colOff>185057</xdr:colOff>
      <xdr:row>99</xdr:row>
      <xdr:rowOff>163286</xdr:rowOff>
    </xdr:to>
    <xdr:sp macro="" textlink="">
      <xdr:nvSpPr>
        <xdr:cNvPr id="43" name="Rectangle 42">
          <a:extLst>
            <a:ext uri="{FF2B5EF4-FFF2-40B4-BE49-F238E27FC236}">
              <a16:creationId xmlns:a16="http://schemas.microsoft.com/office/drawing/2014/main" id="{6B64891F-A0D7-4064-996E-FE37981291A9}"/>
            </a:ext>
          </a:extLst>
        </xdr:cNvPr>
        <xdr:cNvSpPr/>
      </xdr:nvSpPr>
      <xdr:spPr>
        <a:xfrm>
          <a:off x="28387222" y="470804"/>
          <a:ext cx="6878410" cy="19790232"/>
        </a:xfrm>
        <a:prstGeom prst="rect">
          <a:avLst/>
        </a:prstGeom>
        <a:noFill/>
        <a:ln w="9525">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224852</xdr:colOff>
      <xdr:row>48</xdr:row>
      <xdr:rowOff>132182</xdr:rowOff>
    </xdr:from>
    <xdr:to>
      <xdr:col>3</xdr:col>
      <xdr:colOff>863957</xdr:colOff>
      <xdr:row>62</xdr:row>
      <xdr:rowOff>35021</xdr:rowOff>
    </xdr:to>
    <xdr:sp macro="" textlink="">
      <xdr:nvSpPr>
        <xdr:cNvPr id="44" name="Rectangle 43">
          <a:extLst>
            <a:ext uri="{FF2B5EF4-FFF2-40B4-BE49-F238E27FC236}">
              <a16:creationId xmlns:a16="http://schemas.microsoft.com/office/drawing/2014/main" id="{3B46D674-C123-4A3F-844B-D3B7CFB287E9}"/>
            </a:ext>
          </a:extLst>
        </xdr:cNvPr>
        <xdr:cNvSpPr/>
      </xdr:nvSpPr>
      <xdr:spPr>
        <a:xfrm>
          <a:off x="224852" y="10228682"/>
          <a:ext cx="3429930" cy="258888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24</xdr:col>
      <xdr:colOff>58271</xdr:colOff>
      <xdr:row>97</xdr:row>
      <xdr:rowOff>88181</xdr:rowOff>
    </xdr:from>
    <xdr:to>
      <xdr:col>24</xdr:col>
      <xdr:colOff>236728</xdr:colOff>
      <xdr:row>98</xdr:row>
      <xdr:rowOff>58642</xdr:rowOff>
    </xdr:to>
    <xdr:sp macro="" textlink="">
      <xdr:nvSpPr>
        <xdr:cNvPr id="45" name="Oval 44">
          <a:extLst>
            <a:ext uri="{FF2B5EF4-FFF2-40B4-BE49-F238E27FC236}">
              <a16:creationId xmlns:a16="http://schemas.microsoft.com/office/drawing/2014/main" id="{F02D28CB-9A18-4846-A320-449F88E5EB81}"/>
            </a:ext>
          </a:extLst>
        </xdr:cNvPr>
        <xdr:cNvSpPr/>
      </xdr:nvSpPr>
      <xdr:spPr>
        <a:xfrm>
          <a:off x="21908621" y="19643006"/>
          <a:ext cx="178457" cy="160961"/>
        </a:xfrm>
        <a:prstGeom prst="ellipse">
          <a:avLst/>
        </a:prstGeom>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it-IT" sz="1100"/>
        </a:p>
      </xdr:txBody>
    </xdr:sp>
    <xdr:clientData/>
  </xdr:twoCellAnchor>
  <xdr:oneCellAnchor>
    <xdr:from>
      <xdr:col>24</xdr:col>
      <xdr:colOff>386047</xdr:colOff>
      <xdr:row>95</xdr:row>
      <xdr:rowOff>106402</xdr:rowOff>
    </xdr:from>
    <xdr:ext cx="4381328" cy="781240"/>
    <xdr:sp macro="" textlink="">
      <xdr:nvSpPr>
        <xdr:cNvPr id="46" name="TextBox 45">
          <a:extLst>
            <a:ext uri="{FF2B5EF4-FFF2-40B4-BE49-F238E27FC236}">
              <a16:creationId xmlns:a16="http://schemas.microsoft.com/office/drawing/2014/main" id="{7A533F47-574E-457F-B009-538703C2C3E6}"/>
            </a:ext>
          </a:extLst>
        </xdr:cNvPr>
        <xdr:cNvSpPr txBox="1"/>
      </xdr:nvSpPr>
      <xdr:spPr>
        <a:xfrm>
          <a:off x="22236397" y="19280227"/>
          <a:ext cx="4381328"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100"/>
            <a:t>Se la</a:t>
          </a:r>
          <a:r>
            <a:rPr lang="it-IT" sz="1100" baseline="0"/>
            <a:t> riga ha un pallino rosso significa che si verifica </a:t>
          </a:r>
          <a:r>
            <a:rPr lang="it-IT" sz="1100" b="0" baseline="0"/>
            <a:t>uno</a:t>
          </a:r>
          <a:r>
            <a:rPr lang="it-IT" sz="1100" baseline="0"/>
            <a:t> dei seguenti casi:</a:t>
          </a:r>
        </a:p>
        <a:p>
          <a:r>
            <a:rPr lang="it-IT" sz="1100" baseline="0"/>
            <a:t>- Actual EURO ORE &gt; Allocato EURO ORE</a:t>
          </a:r>
        </a:p>
        <a:p>
          <a:r>
            <a:rPr lang="it-IT" sz="1100" baseline="0"/>
            <a:t>- Actual EURO LUMP &gt; Allocato EURO LUMP</a:t>
          </a:r>
        </a:p>
        <a:p>
          <a:r>
            <a:rPr lang="it-IT" sz="1100" baseline="0"/>
            <a:t>- Oppure entrambe le condizioni precedenti</a:t>
          </a:r>
          <a:endParaRPr lang="it-IT" sz="1100"/>
        </a:p>
      </xdr:txBody>
    </xdr:sp>
    <xdr:clientData/>
  </xdr:oneCellAnchor>
  <xdr:twoCellAnchor>
    <xdr:from>
      <xdr:col>33</xdr:col>
      <xdr:colOff>171896</xdr:colOff>
      <xdr:row>96</xdr:row>
      <xdr:rowOff>133350</xdr:rowOff>
    </xdr:from>
    <xdr:to>
      <xdr:col>33</xdr:col>
      <xdr:colOff>333376</xdr:colOff>
      <xdr:row>97</xdr:row>
      <xdr:rowOff>103786</xdr:rowOff>
    </xdr:to>
    <xdr:sp macro="" textlink="">
      <xdr:nvSpPr>
        <xdr:cNvPr id="47" name="Oval 46">
          <a:extLst>
            <a:ext uri="{FF2B5EF4-FFF2-40B4-BE49-F238E27FC236}">
              <a16:creationId xmlns:a16="http://schemas.microsoft.com/office/drawing/2014/main" id="{91F8C845-41CD-4E84-A5A2-DF2DAC42F058}"/>
            </a:ext>
          </a:extLst>
        </xdr:cNvPr>
        <xdr:cNvSpPr/>
      </xdr:nvSpPr>
      <xdr:spPr>
        <a:xfrm>
          <a:off x="28384946" y="19497675"/>
          <a:ext cx="161480" cy="160936"/>
        </a:xfrm>
        <a:prstGeom prst="ellipse">
          <a:avLst/>
        </a:prstGeom>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it-IT" sz="1100"/>
        </a:p>
      </xdr:txBody>
    </xdr:sp>
    <xdr:clientData/>
  </xdr:twoCellAnchor>
  <xdr:oneCellAnchor>
    <xdr:from>
      <xdr:col>33</xdr:col>
      <xdr:colOff>380443</xdr:colOff>
      <xdr:row>95</xdr:row>
      <xdr:rowOff>163086</xdr:rowOff>
    </xdr:from>
    <xdr:ext cx="4494628" cy="436786"/>
    <xdr:sp macro="" textlink="">
      <xdr:nvSpPr>
        <xdr:cNvPr id="48" name="TextBox 47">
          <a:extLst>
            <a:ext uri="{FF2B5EF4-FFF2-40B4-BE49-F238E27FC236}">
              <a16:creationId xmlns:a16="http://schemas.microsoft.com/office/drawing/2014/main" id="{4DB2B1CC-AAF7-41F5-8659-F93F1349B126}"/>
            </a:ext>
          </a:extLst>
        </xdr:cNvPr>
        <xdr:cNvSpPr txBox="1"/>
      </xdr:nvSpPr>
      <xdr:spPr>
        <a:xfrm>
          <a:off x="28593493" y="19336911"/>
          <a:ext cx="449462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100"/>
            <a:t>Se la</a:t>
          </a:r>
          <a:r>
            <a:rPr lang="it-IT" sz="1100" baseline="0"/>
            <a:t> riga ha un pallino rosso significa che si verifica la seguente condizione:</a:t>
          </a:r>
        </a:p>
        <a:p>
          <a:r>
            <a:rPr lang="it-IT" sz="1100" baseline="0"/>
            <a:t>- Actual ORE &gt; Allocato ORE</a:t>
          </a:r>
        </a:p>
      </xdr:txBody>
    </xdr:sp>
    <xdr:clientData/>
  </xdr:oneCellAnchor>
  <xdr:twoCellAnchor>
    <xdr:from>
      <xdr:col>9</xdr:col>
      <xdr:colOff>465045</xdr:colOff>
      <xdr:row>5</xdr:row>
      <xdr:rowOff>130674</xdr:rowOff>
    </xdr:from>
    <xdr:to>
      <xdr:col>15</xdr:col>
      <xdr:colOff>172892</xdr:colOff>
      <xdr:row>8</xdr:row>
      <xdr:rowOff>2899</xdr:rowOff>
    </xdr:to>
    <xdr:grpSp>
      <xdr:nvGrpSpPr>
        <xdr:cNvPr id="50" name="Group 49">
          <a:extLst>
            <a:ext uri="{FF2B5EF4-FFF2-40B4-BE49-F238E27FC236}">
              <a16:creationId xmlns:a16="http://schemas.microsoft.com/office/drawing/2014/main" id="{B5491E57-EAF8-4839-86FD-010E29812CC6}"/>
            </a:ext>
          </a:extLst>
        </xdr:cNvPr>
        <xdr:cNvGrpSpPr/>
      </xdr:nvGrpSpPr>
      <xdr:grpSpPr>
        <a:xfrm>
          <a:off x="8208310" y="1273674"/>
          <a:ext cx="4940994" cy="757490"/>
          <a:chOff x="8226561" y="1189981"/>
          <a:chExt cx="4596643" cy="632028"/>
        </a:xfrm>
      </xdr:grpSpPr>
      <xdr:sp macro="" textlink="">
        <xdr:nvSpPr>
          <xdr:cNvPr id="51" name="Right Bracket 50">
            <a:extLst>
              <a:ext uri="{FF2B5EF4-FFF2-40B4-BE49-F238E27FC236}">
                <a16:creationId xmlns:a16="http://schemas.microsoft.com/office/drawing/2014/main" id="{FF98AFC0-1D57-47BE-92FD-A5391A655A16}"/>
              </a:ext>
            </a:extLst>
          </xdr:cNvPr>
          <xdr:cNvSpPr/>
        </xdr:nvSpPr>
        <xdr:spPr>
          <a:xfrm rot="16200000">
            <a:off x="9268273" y="666196"/>
            <a:ext cx="114101" cy="2197526"/>
          </a:xfrm>
          <a:prstGeom prst="rightBracket">
            <a:avLst/>
          </a:prstGeom>
          <a:ln>
            <a:headEnd type="diamond" w="med" len="med"/>
            <a:tailEnd type="diamond" w="med" len="med"/>
          </a:ln>
        </xdr:spPr>
        <xdr:style>
          <a:lnRef idx="1">
            <a:schemeClr val="accent6"/>
          </a:lnRef>
          <a:fillRef idx="0">
            <a:schemeClr val="accent6"/>
          </a:fillRef>
          <a:effectRef idx="0">
            <a:schemeClr val="accent6"/>
          </a:effectRef>
          <a:fontRef idx="minor">
            <a:schemeClr val="tx1"/>
          </a:fontRef>
        </xdr:style>
        <xdr:txBody>
          <a:bodyPr vertOverflow="clip" horzOverflow="clip" vert="wordArtVert" rtlCol="0" anchor="t"/>
          <a:lstStyle/>
          <a:p>
            <a:pPr algn="l"/>
            <a:endParaRPr lang="it-IT" sz="1100"/>
          </a:p>
        </xdr:txBody>
      </xdr:sp>
      <xdr:cxnSp macro="">
        <xdr:nvCxnSpPr>
          <xdr:cNvPr id="52" name="Straight Connector 51">
            <a:extLst>
              <a:ext uri="{FF2B5EF4-FFF2-40B4-BE49-F238E27FC236}">
                <a16:creationId xmlns:a16="http://schemas.microsoft.com/office/drawing/2014/main" id="{0FB9C169-4349-4485-92D8-8E0CE20F1BC7}"/>
              </a:ext>
            </a:extLst>
          </xdr:cNvPr>
          <xdr:cNvCxnSpPr>
            <a:stCxn id="51" idx="2"/>
          </xdr:cNvCxnSpPr>
        </xdr:nvCxnSpPr>
        <xdr:spPr>
          <a:xfrm flipV="1">
            <a:off x="9325325" y="1450710"/>
            <a:ext cx="62214" cy="257199"/>
          </a:xfrm>
          <a:prstGeom prst="line">
            <a:avLst/>
          </a:prstGeom>
          <a:ln>
            <a:headEnd type="oval"/>
          </a:ln>
        </xdr:spPr>
        <xdr:style>
          <a:lnRef idx="1">
            <a:schemeClr val="accent6"/>
          </a:lnRef>
          <a:fillRef idx="0">
            <a:schemeClr val="accent6"/>
          </a:fillRef>
          <a:effectRef idx="0">
            <a:schemeClr val="accent6"/>
          </a:effectRef>
          <a:fontRef idx="minor">
            <a:schemeClr val="tx1"/>
          </a:fontRef>
        </xdr:style>
      </xdr:cxnSp>
      <xdr:cxnSp macro="">
        <xdr:nvCxnSpPr>
          <xdr:cNvPr id="53" name="Straight Connector 52">
            <a:extLst>
              <a:ext uri="{FF2B5EF4-FFF2-40B4-BE49-F238E27FC236}">
                <a16:creationId xmlns:a16="http://schemas.microsoft.com/office/drawing/2014/main" id="{E5FFAAA0-8690-459D-9AA3-F7A3B1BF27B2}"/>
              </a:ext>
            </a:extLst>
          </xdr:cNvPr>
          <xdr:cNvCxnSpPr/>
        </xdr:nvCxnSpPr>
        <xdr:spPr>
          <a:xfrm flipH="1">
            <a:off x="9385841" y="1456048"/>
            <a:ext cx="3108042" cy="0"/>
          </a:xfrm>
          <a:prstGeom prst="line">
            <a:avLst/>
          </a:prstGeom>
        </xdr:spPr>
        <xdr:style>
          <a:lnRef idx="1">
            <a:schemeClr val="accent6"/>
          </a:lnRef>
          <a:fillRef idx="0">
            <a:schemeClr val="accent6"/>
          </a:fillRef>
          <a:effectRef idx="0">
            <a:schemeClr val="accent6"/>
          </a:effectRef>
          <a:fontRef idx="minor">
            <a:schemeClr val="tx1"/>
          </a:fontRef>
        </xdr:style>
      </xdr:cxnSp>
      <xdr:cxnSp macro="">
        <xdr:nvCxnSpPr>
          <xdr:cNvPr id="54" name="Straight Connector 53">
            <a:extLst>
              <a:ext uri="{FF2B5EF4-FFF2-40B4-BE49-F238E27FC236}">
                <a16:creationId xmlns:a16="http://schemas.microsoft.com/office/drawing/2014/main" id="{F6BDE259-D73F-418B-A2D1-9812883DC86C}"/>
              </a:ext>
            </a:extLst>
          </xdr:cNvPr>
          <xdr:cNvCxnSpPr/>
        </xdr:nvCxnSpPr>
        <xdr:spPr>
          <a:xfrm flipH="1" flipV="1">
            <a:off x="12497070" y="1452830"/>
            <a:ext cx="326134" cy="268136"/>
          </a:xfrm>
          <a:prstGeom prst="line">
            <a:avLst/>
          </a:prstGeom>
          <a:ln>
            <a:headEnd type="triangle" w="med" len="med"/>
            <a:tailEnd type="none" w="med" len="med"/>
          </a:ln>
        </xdr:spPr>
        <xdr:style>
          <a:lnRef idx="1">
            <a:schemeClr val="accent6"/>
          </a:lnRef>
          <a:fillRef idx="0">
            <a:schemeClr val="accent6"/>
          </a:fillRef>
          <a:effectRef idx="0">
            <a:schemeClr val="accent6"/>
          </a:effectRef>
          <a:fontRef idx="minor">
            <a:schemeClr val="tx1"/>
          </a:fontRef>
        </xdr:style>
      </xdr:cxnSp>
      <xdr:sp macro="" textlink="">
        <xdr:nvSpPr>
          <xdr:cNvPr id="55" name="TextBox 54">
            <a:extLst>
              <a:ext uri="{FF2B5EF4-FFF2-40B4-BE49-F238E27FC236}">
                <a16:creationId xmlns:a16="http://schemas.microsoft.com/office/drawing/2014/main" id="{B651681C-E45B-415D-BD74-26D660F28E9C}"/>
              </a:ext>
            </a:extLst>
          </xdr:cNvPr>
          <xdr:cNvSpPr txBox="1"/>
        </xdr:nvSpPr>
        <xdr:spPr>
          <a:xfrm>
            <a:off x="8825715" y="1189981"/>
            <a:ext cx="533095" cy="228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it-IT" sz="1100">
                <a:solidFill>
                  <a:schemeClr val="accent6"/>
                </a:solidFill>
              </a:rPr>
              <a:t>minus</a:t>
            </a:r>
          </a:p>
        </xdr:txBody>
      </xdr:sp>
    </xdr:grpSp>
    <xdr:clientData/>
  </xdr:twoCellAnchor>
  <xdr:twoCellAnchor>
    <xdr:from>
      <xdr:col>15</xdr:col>
      <xdr:colOff>0</xdr:colOff>
      <xdr:row>3</xdr:row>
      <xdr:rowOff>38100</xdr:rowOff>
    </xdr:from>
    <xdr:to>
      <xdr:col>21</xdr:col>
      <xdr:colOff>0</xdr:colOff>
      <xdr:row>6</xdr:row>
      <xdr:rowOff>123824</xdr:rowOff>
    </xdr:to>
    <xdr:sp macro="" textlink="">
      <xdr:nvSpPr>
        <xdr:cNvPr id="56" name="TextBox 55">
          <a:extLst>
            <a:ext uri="{FF2B5EF4-FFF2-40B4-BE49-F238E27FC236}">
              <a16:creationId xmlns:a16="http://schemas.microsoft.com/office/drawing/2014/main" id="{6B664499-3CD2-4A42-82E5-26037C7BA602}"/>
            </a:ext>
          </a:extLst>
        </xdr:cNvPr>
        <xdr:cNvSpPr txBox="1"/>
      </xdr:nvSpPr>
      <xdr:spPr>
        <a:xfrm>
          <a:off x="12963525" y="723900"/>
          <a:ext cx="4829175" cy="809624"/>
        </a:xfrm>
        <a:prstGeom prst="rect">
          <a:avLst/>
        </a:prstGeom>
        <a:noFill/>
        <a:ln>
          <a:prstDash val="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it-IT" sz="2000" b="1" baseline="0">
              <a:latin typeface="Century Gothic" panose="020B0502020202020204" pitchFamily="34" charset="0"/>
            </a:rPr>
            <a:t>TO FINISH </a:t>
          </a:r>
          <a:r>
            <a:rPr lang="it-IT" sz="2000" b="0" baseline="0">
              <a:latin typeface="Century Gothic" panose="020B0502020202020204" pitchFamily="34" charset="0"/>
            </a:rPr>
            <a:t>per</a:t>
          </a:r>
          <a:r>
            <a:rPr lang="it-IT" sz="2000" b="1" baseline="0">
              <a:latin typeface="Century Gothic" panose="020B0502020202020204" pitchFamily="34" charset="0"/>
            </a:rPr>
            <a:t> INTERE </a:t>
          </a:r>
          <a:r>
            <a:rPr lang="it-IT" sz="2000" b="0" u="sng" baseline="0">
              <a:latin typeface="Century Gothic" panose="020B0502020202020204" pitchFamily="34" charset="0"/>
            </a:rPr>
            <a:t>Ingegnerie</a:t>
          </a:r>
          <a:endParaRPr lang="it-IT" sz="2000" b="0" u="sng">
            <a:solidFill>
              <a:srgbClr val="FF0000"/>
            </a:solidFill>
            <a:latin typeface="Century Gothic" panose="020B0502020202020204" pitchFamily="34" charset="0"/>
          </a:endParaRPr>
        </a:p>
      </xdr:txBody>
    </xdr:sp>
    <xdr:clientData/>
  </xdr:twoCellAnchor>
  <xdr:twoCellAnchor>
    <xdr:from>
      <xdr:col>15</xdr:col>
      <xdr:colOff>0</xdr:colOff>
      <xdr:row>5</xdr:row>
      <xdr:rowOff>5440</xdr:rowOff>
    </xdr:from>
    <xdr:to>
      <xdr:col>21</xdr:col>
      <xdr:colOff>2</xdr:colOff>
      <xdr:row>6</xdr:row>
      <xdr:rowOff>185056</xdr:rowOff>
    </xdr:to>
    <xdr:sp macro="" textlink="">
      <xdr:nvSpPr>
        <xdr:cNvPr id="57" name="Right Brace 56">
          <a:extLst>
            <a:ext uri="{FF2B5EF4-FFF2-40B4-BE49-F238E27FC236}">
              <a16:creationId xmlns:a16="http://schemas.microsoft.com/office/drawing/2014/main" id="{53816141-5B56-44B9-9B41-8F4F103C1DB0}"/>
            </a:ext>
          </a:extLst>
        </xdr:cNvPr>
        <xdr:cNvSpPr/>
      </xdr:nvSpPr>
      <xdr:spPr>
        <a:xfrm rot="16200000">
          <a:off x="15154956" y="-1042991"/>
          <a:ext cx="446316" cy="4829177"/>
        </a:xfrm>
        <a:prstGeom prst="rightBrace">
          <a:avLst>
            <a:gd name="adj1" fmla="val 60964"/>
            <a:gd name="adj2" fmla="val 49124"/>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it-IT" sz="1100"/>
        </a:p>
      </xdr:txBody>
    </xdr:sp>
    <xdr:clientData/>
  </xdr:twoCellAnchor>
  <xdr:twoCellAnchor>
    <xdr:from>
      <xdr:col>5</xdr:col>
      <xdr:colOff>87087</xdr:colOff>
      <xdr:row>67</xdr:row>
      <xdr:rowOff>43541</xdr:rowOff>
    </xdr:from>
    <xdr:to>
      <xdr:col>20</xdr:col>
      <xdr:colOff>598714</xdr:colOff>
      <xdr:row>68</xdr:row>
      <xdr:rowOff>179173</xdr:rowOff>
    </xdr:to>
    <xdr:sp macro="" textlink="">
      <xdr:nvSpPr>
        <xdr:cNvPr id="58" name="TextBox 57">
          <a:extLst>
            <a:ext uri="{FF2B5EF4-FFF2-40B4-BE49-F238E27FC236}">
              <a16:creationId xmlns:a16="http://schemas.microsoft.com/office/drawing/2014/main" id="{93CD0D92-CD9E-4412-9F53-5CC5CA767DA1}"/>
            </a:ext>
          </a:extLst>
        </xdr:cNvPr>
        <xdr:cNvSpPr txBox="1"/>
      </xdr:nvSpPr>
      <xdr:spPr>
        <a:xfrm>
          <a:off x="4611462" y="13778591"/>
          <a:ext cx="12951277" cy="326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1200" i="0">
              <a:solidFill>
                <a:schemeClr val="bg1">
                  <a:lumMod val="50000"/>
                </a:schemeClr>
              </a:solidFill>
              <a:latin typeface="Century Gothic" panose="020B0502020202020204" pitchFamily="34" charset="0"/>
            </a:rPr>
            <a:t>*include il</a:t>
          </a:r>
          <a:r>
            <a:rPr lang="it-IT" sz="1200" i="0" baseline="0">
              <a:solidFill>
                <a:schemeClr val="bg1">
                  <a:lumMod val="50000"/>
                </a:schemeClr>
              </a:solidFill>
              <a:latin typeface="Century Gothic" panose="020B0502020202020204" pitchFamily="34" charset="0"/>
            </a:rPr>
            <a:t> bgt della direzione tecnica (riga Gamberini)</a:t>
          </a:r>
          <a:endParaRPr lang="it-IT" sz="1200" i="0">
            <a:solidFill>
              <a:schemeClr val="bg1">
                <a:lumMod val="50000"/>
              </a:schemeClr>
            </a:solidFill>
            <a:latin typeface="Century Gothic" panose="020B0502020202020204" pitchFamily="34" charset="0"/>
          </a:endParaRPr>
        </a:p>
      </xdr:txBody>
    </xdr:sp>
    <xdr:clientData/>
  </xdr:twoCellAnchor>
  <xdr:twoCellAnchor editAs="oneCell">
    <xdr:from>
      <xdr:col>13</xdr:col>
      <xdr:colOff>871258</xdr:colOff>
      <xdr:row>25</xdr:row>
      <xdr:rowOff>27789</xdr:rowOff>
    </xdr:from>
    <xdr:to>
      <xdr:col>14</xdr:col>
      <xdr:colOff>462520</xdr:colOff>
      <xdr:row>27</xdr:row>
      <xdr:rowOff>57150</xdr:rowOff>
    </xdr:to>
    <xdr:pic>
      <xdr:nvPicPr>
        <xdr:cNvPr id="60" name="Picture 59">
          <a:extLst>
            <a:ext uri="{FF2B5EF4-FFF2-40B4-BE49-F238E27FC236}">
              <a16:creationId xmlns:a16="http://schemas.microsoft.com/office/drawing/2014/main" id="{280EE59B-20D1-45D5-8F11-BD336D6C5C7E}"/>
            </a:ext>
          </a:extLst>
        </xdr:cNvPr>
        <xdr:cNvPicPr>
          <a:picLocks noChangeAspect="1"/>
        </xdr:cNvPicPr>
      </xdr:nvPicPr>
      <xdr:blipFill>
        <a:blip xmlns:r="http://schemas.openxmlformats.org/officeDocument/2006/relationships" r:embed="rId17">
          <a:extLst>
            <a:ext uri="{BEBA8EAE-BF5A-486C-A8C5-ECC9F3942E4B}">
              <a14:imgProps xmlns:a14="http://schemas.microsoft.com/office/drawing/2010/main">
                <a14:imgLayer r:embed="rId18">
                  <a14:imgEffect>
                    <a14:saturation sat="0"/>
                  </a14:imgEffect>
                </a14:imgLayer>
              </a14:imgProps>
            </a:ext>
          </a:extLst>
        </a:blip>
        <a:stretch>
          <a:fillRect/>
        </a:stretch>
      </xdr:blipFill>
      <xdr:spPr>
        <a:xfrm>
          <a:off x="12063133" y="5742789"/>
          <a:ext cx="486612" cy="410361"/>
        </a:xfrm>
        <a:prstGeom prst="rect">
          <a:avLst/>
        </a:prstGeom>
      </xdr:spPr>
    </xdr:pic>
    <xdr:clientData/>
  </xdr:twoCellAnchor>
  <xdr:twoCellAnchor editAs="oneCell">
    <xdr:from>
      <xdr:col>10</xdr:col>
      <xdr:colOff>390526</xdr:colOff>
      <xdr:row>6</xdr:row>
      <xdr:rowOff>76201</xdr:rowOff>
    </xdr:from>
    <xdr:to>
      <xdr:col>11</xdr:col>
      <xdr:colOff>21249</xdr:colOff>
      <xdr:row>7</xdr:row>
      <xdr:rowOff>161926</xdr:rowOff>
    </xdr:to>
    <xdr:pic>
      <xdr:nvPicPr>
        <xdr:cNvPr id="61" name="Graphic 60" descr="Badge Unfollow outline">
          <a:extLst>
            <a:ext uri="{FF2B5EF4-FFF2-40B4-BE49-F238E27FC236}">
              <a16:creationId xmlns:a16="http://schemas.microsoft.com/office/drawing/2014/main" id="{1BBAE8D1-BC88-4F17-AA74-A291C0653994}"/>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9010651" y="1485901"/>
          <a:ext cx="285750" cy="285750"/>
        </a:xfrm>
        <a:prstGeom prst="rect">
          <a:avLst/>
        </a:prstGeom>
      </xdr:spPr>
    </xdr:pic>
    <xdr:clientData/>
  </xdr:twoCellAnchor>
  <xdr:twoCellAnchor editAs="oneCell">
    <xdr:from>
      <xdr:col>0</xdr:col>
      <xdr:colOff>411618</xdr:colOff>
      <xdr:row>34</xdr:row>
      <xdr:rowOff>2721</xdr:rowOff>
    </xdr:from>
    <xdr:to>
      <xdr:col>3</xdr:col>
      <xdr:colOff>659269</xdr:colOff>
      <xdr:row>47</xdr:row>
      <xdr:rowOff>50346</xdr:rowOff>
    </xdr:to>
    <mc:AlternateContent xmlns:mc="http://schemas.openxmlformats.org/markup-compatibility/2006" xmlns:a14="http://schemas.microsoft.com/office/drawing/2010/main">
      <mc:Choice Requires="a14">
        <xdr:graphicFrame macro="">
          <xdr:nvGraphicFramePr>
            <xdr:cNvPr id="65" name="Fornitore . 1">
              <a:extLst>
                <a:ext uri="{FF2B5EF4-FFF2-40B4-BE49-F238E27FC236}">
                  <a16:creationId xmlns:a16="http://schemas.microsoft.com/office/drawing/2014/main" id="{9807F036-CD23-4106-AB80-4FC608D9EE70}"/>
                </a:ext>
              </a:extLst>
            </xdr:cNvPr>
            <xdr:cNvGraphicFramePr/>
          </xdr:nvGraphicFramePr>
          <xdr:xfrm>
            <a:off x="0" y="0"/>
            <a:ext cx="0" cy="0"/>
          </xdr:xfrm>
          <a:graphic>
            <a:graphicData uri="http://schemas.microsoft.com/office/drawing/2010/slicer">
              <sle:slicer xmlns:sle="http://schemas.microsoft.com/office/drawing/2010/slicer" name="Fornitore . 1"/>
            </a:graphicData>
          </a:graphic>
        </xdr:graphicFrame>
      </mc:Choice>
      <mc:Fallback xmlns="">
        <xdr:sp macro="" textlink="">
          <xdr:nvSpPr>
            <xdr:cNvPr id="0" name=""/>
            <xdr:cNvSpPr>
              <a:spLocks noTextEdit="1"/>
            </xdr:cNvSpPr>
          </xdr:nvSpPr>
          <xdr:spPr>
            <a:xfrm>
              <a:off x="411618" y="7556046"/>
              <a:ext cx="3038476" cy="252412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411618</xdr:colOff>
      <xdr:row>18</xdr:row>
      <xdr:rowOff>107496</xdr:rowOff>
    </xdr:from>
    <xdr:to>
      <xdr:col>3</xdr:col>
      <xdr:colOff>716418</xdr:colOff>
      <xdr:row>27</xdr:row>
      <xdr:rowOff>21771</xdr:rowOff>
    </xdr:to>
    <mc:AlternateContent xmlns:mc="http://schemas.openxmlformats.org/markup-compatibility/2006" xmlns:a14="http://schemas.microsoft.com/office/drawing/2010/main">
      <mc:Choice Requires="a14">
        <xdr:graphicFrame macro="">
          <xdr:nvGraphicFramePr>
            <xdr:cNvPr id="66" name="Tipologia 1">
              <a:extLst>
                <a:ext uri="{FF2B5EF4-FFF2-40B4-BE49-F238E27FC236}">
                  <a16:creationId xmlns:a16="http://schemas.microsoft.com/office/drawing/2014/main" id="{9F3DF513-3242-4912-986D-E41374E780B8}"/>
                </a:ext>
              </a:extLst>
            </xdr:cNvPr>
            <xdr:cNvGraphicFramePr/>
          </xdr:nvGraphicFramePr>
          <xdr:xfrm>
            <a:off x="0" y="0"/>
            <a:ext cx="0" cy="0"/>
          </xdr:xfrm>
          <a:graphic>
            <a:graphicData uri="http://schemas.microsoft.com/office/drawing/2010/slicer">
              <sle:slicer xmlns:sle="http://schemas.microsoft.com/office/drawing/2010/slicer" name="Tipologia 1"/>
            </a:graphicData>
          </a:graphic>
        </xdr:graphicFrame>
      </mc:Choice>
      <mc:Fallback xmlns="">
        <xdr:sp macro="" textlink="">
          <xdr:nvSpPr>
            <xdr:cNvPr id="0" name=""/>
            <xdr:cNvSpPr>
              <a:spLocks noTextEdit="1"/>
            </xdr:cNvSpPr>
          </xdr:nvSpPr>
          <xdr:spPr>
            <a:xfrm>
              <a:off x="411618" y="4336596"/>
              <a:ext cx="3095625" cy="178117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402094</xdr:colOff>
      <xdr:row>9</xdr:row>
      <xdr:rowOff>307522</xdr:rowOff>
    </xdr:from>
    <xdr:to>
      <xdr:col>3</xdr:col>
      <xdr:colOff>716419</xdr:colOff>
      <xdr:row>18</xdr:row>
      <xdr:rowOff>59872</xdr:rowOff>
    </xdr:to>
    <mc:AlternateContent xmlns:mc="http://schemas.openxmlformats.org/markup-compatibility/2006" xmlns:a14="http://schemas.microsoft.com/office/drawing/2010/main">
      <mc:Choice Requires="a14">
        <xdr:graphicFrame macro="">
          <xdr:nvGraphicFramePr>
            <xdr:cNvPr id="67" name="Ingegneria di competenza 1">
              <a:extLst>
                <a:ext uri="{FF2B5EF4-FFF2-40B4-BE49-F238E27FC236}">
                  <a16:creationId xmlns:a16="http://schemas.microsoft.com/office/drawing/2014/main" id="{778926F4-1EE1-4CB4-97D9-369D343F8907}"/>
                </a:ext>
              </a:extLst>
            </xdr:cNvPr>
            <xdr:cNvGraphicFramePr/>
          </xdr:nvGraphicFramePr>
          <xdr:xfrm>
            <a:off x="0" y="0"/>
            <a:ext cx="0" cy="0"/>
          </xdr:xfrm>
          <a:graphic>
            <a:graphicData uri="http://schemas.microsoft.com/office/drawing/2010/slicer">
              <sle:slicer xmlns:sle="http://schemas.microsoft.com/office/drawing/2010/slicer" name="Ingegneria di competenza 1"/>
            </a:graphicData>
          </a:graphic>
        </xdr:graphicFrame>
      </mc:Choice>
      <mc:Fallback xmlns="">
        <xdr:sp macro="" textlink="">
          <xdr:nvSpPr>
            <xdr:cNvPr id="0" name=""/>
            <xdr:cNvSpPr>
              <a:spLocks noTextEdit="1"/>
            </xdr:cNvSpPr>
          </xdr:nvSpPr>
          <xdr:spPr>
            <a:xfrm>
              <a:off x="402094" y="2517322"/>
              <a:ext cx="3105150" cy="1771650"/>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411618</xdr:colOff>
      <xdr:row>26</xdr:row>
      <xdr:rowOff>164646</xdr:rowOff>
    </xdr:from>
    <xdr:to>
      <xdr:col>3</xdr:col>
      <xdr:colOff>687844</xdr:colOff>
      <xdr:row>33</xdr:row>
      <xdr:rowOff>136071</xdr:rowOff>
    </xdr:to>
    <mc:AlternateContent xmlns:mc="http://schemas.openxmlformats.org/markup-compatibility/2006" xmlns:a14="http://schemas.microsoft.com/office/drawing/2010/main">
      <mc:Choice Requires="a14">
        <xdr:graphicFrame macro="">
          <xdr:nvGraphicFramePr>
            <xdr:cNvPr id="68" name="Categoria Fornitore 1">
              <a:extLst>
                <a:ext uri="{FF2B5EF4-FFF2-40B4-BE49-F238E27FC236}">
                  <a16:creationId xmlns:a16="http://schemas.microsoft.com/office/drawing/2014/main" id="{8342E494-DFCC-4278-BE6F-0F9EC90993B3}"/>
                </a:ext>
              </a:extLst>
            </xdr:cNvPr>
            <xdr:cNvGraphicFramePr/>
          </xdr:nvGraphicFramePr>
          <xdr:xfrm>
            <a:off x="0" y="0"/>
            <a:ext cx="0" cy="0"/>
          </xdr:xfrm>
          <a:graphic>
            <a:graphicData uri="http://schemas.microsoft.com/office/drawing/2010/slicer">
              <sle:slicer xmlns:sle="http://schemas.microsoft.com/office/drawing/2010/slicer" name="Categoria Fornitore 1"/>
            </a:graphicData>
          </a:graphic>
        </xdr:graphicFrame>
      </mc:Choice>
      <mc:Fallback xmlns="">
        <xdr:sp macro="" textlink="">
          <xdr:nvSpPr>
            <xdr:cNvPr id="0" name=""/>
            <xdr:cNvSpPr>
              <a:spLocks noTextEdit="1"/>
            </xdr:cNvSpPr>
          </xdr:nvSpPr>
          <xdr:spPr>
            <a:xfrm>
              <a:off x="411618" y="6193971"/>
              <a:ext cx="3067051" cy="130492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0.31489</cdr:x>
      <cdr:y>0.38748</cdr:y>
    </cdr:from>
    <cdr:to>
      <cdr:x>0.7184</cdr:x>
      <cdr:y>0.68847</cdr:y>
    </cdr:to>
    <cdr:sp macro="" textlink="REPORTISTICA!$B$50">
      <cdr:nvSpPr>
        <cdr:cNvPr id="2" name="TextBox 1"/>
        <cdr:cNvSpPr txBox="1"/>
      </cdr:nvSpPr>
      <cdr:spPr>
        <a:xfrm xmlns:a="http://schemas.openxmlformats.org/drawingml/2006/main">
          <a:off x="680159" y="836950"/>
          <a:ext cx="871579" cy="65013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5B5C8316-07F5-43C9-BF67-9265E8B8E0C3}" type="TxLink">
            <a:rPr lang="en-US" sz="2400" b="0" i="0" u="none" strike="noStrike">
              <a:solidFill>
                <a:schemeClr val="accent3">
                  <a:lumMod val="75000"/>
                </a:schemeClr>
              </a:solidFill>
              <a:latin typeface="Calibri"/>
              <a:cs typeface="Calibri"/>
            </a:rPr>
            <a:pPr algn="ctr"/>
            <a:t>70%</a:t>
          </a:fld>
          <a:endParaRPr lang="it-IT" sz="2400">
            <a:solidFill>
              <a:schemeClr val="accent3">
                <a:lumMod val="75000"/>
              </a:schemeClr>
            </a:solidFill>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0.32359</cdr:x>
      <cdr:y>0.37768</cdr:y>
    </cdr:from>
    <cdr:to>
      <cdr:x>0.7271</cdr:x>
      <cdr:y>0.67867</cdr:y>
    </cdr:to>
    <cdr:sp macro="" textlink="REPORTISTICA!$C$50">
      <cdr:nvSpPr>
        <cdr:cNvPr id="2" name="TextBox 1"/>
        <cdr:cNvSpPr txBox="1"/>
      </cdr:nvSpPr>
      <cdr:spPr>
        <a:xfrm xmlns:a="http://schemas.openxmlformats.org/drawingml/2006/main">
          <a:off x="698958" y="815793"/>
          <a:ext cx="871582" cy="65013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F98A5CCB-C3A3-451D-A8AC-6282A72E3880}" type="TxLink">
            <a:rPr lang="en-US" sz="2400" b="0" i="0" u="none" strike="noStrike">
              <a:solidFill>
                <a:schemeClr val="tx2">
                  <a:lumMod val="60000"/>
                  <a:lumOff val="40000"/>
                </a:schemeClr>
              </a:solidFill>
              <a:latin typeface="Calibri"/>
              <a:cs typeface="Calibri"/>
            </a:rPr>
            <a:pPr algn="ctr"/>
            <a:t>110%</a:t>
          </a:fld>
          <a:endParaRPr lang="it-IT" sz="4800">
            <a:solidFill>
              <a:schemeClr val="tx2">
                <a:lumMod val="60000"/>
                <a:lumOff val="40000"/>
              </a:schemeClr>
            </a:solidFill>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0.328</cdr:x>
      <cdr:y>0.36004</cdr:y>
    </cdr:from>
    <cdr:to>
      <cdr:x>0.73151</cdr:x>
      <cdr:y>0.66103</cdr:y>
    </cdr:to>
    <cdr:sp macro="" textlink="REPORTISTICA!$D$50">
      <cdr:nvSpPr>
        <cdr:cNvPr id="2" name="TextBox 1"/>
        <cdr:cNvSpPr txBox="1"/>
      </cdr:nvSpPr>
      <cdr:spPr>
        <a:xfrm xmlns:a="http://schemas.openxmlformats.org/drawingml/2006/main">
          <a:off x="822578" y="742013"/>
          <a:ext cx="1011947" cy="62031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7B195CC6-B2A3-4F81-8011-1F9A147E3D5A}" type="TxLink">
            <a:rPr lang="en-US" sz="2400" b="0" i="0" u="none" strike="noStrike">
              <a:solidFill>
                <a:schemeClr val="accent4">
                  <a:lumMod val="75000"/>
                </a:schemeClr>
              </a:solidFill>
              <a:latin typeface="Calibri"/>
              <a:cs typeface="Calibri"/>
            </a:rPr>
            <a:pPr algn="ctr"/>
            <a:t>746%</a:t>
          </a:fld>
          <a:endParaRPr lang="it-IT" sz="8800">
            <a:solidFill>
              <a:schemeClr val="accent4">
                <a:lumMod val="75000"/>
              </a:schemeClr>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0.32451</cdr:x>
      <cdr:y>0.34493</cdr:y>
    </cdr:from>
    <cdr:to>
      <cdr:x>0.72802</cdr:x>
      <cdr:y>0.64592</cdr:y>
    </cdr:to>
    <cdr:sp macro="" textlink="REPORTISTICA!$B$54">
      <cdr:nvSpPr>
        <cdr:cNvPr id="2" name="TextBox 1"/>
        <cdr:cNvSpPr txBox="1"/>
      </cdr:nvSpPr>
      <cdr:spPr>
        <a:xfrm xmlns:a="http://schemas.openxmlformats.org/drawingml/2006/main">
          <a:off x="803311" y="754034"/>
          <a:ext cx="998875" cy="6579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EFEF5FDE-4033-417E-8973-A4F0F9E83C5F}" type="TxLink">
            <a:rPr lang="en-US" sz="2000" b="0" i="0" u="none" strike="noStrike">
              <a:solidFill>
                <a:schemeClr val="accent3">
                  <a:lumMod val="75000"/>
                </a:schemeClr>
              </a:solidFill>
              <a:latin typeface="Calibri"/>
              <a:cs typeface="Calibri"/>
            </a:rPr>
            <a:pPr algn="ctr"/>
            <a:t>3%</a:t>
          </a:fld>
          <a:endParaRPr lang="it-IT" sz="4400">
            <a:solidFill>
              <a:schemeClr val="accent3">
                <a:lumMod val="75000"/>
              </a:schemeClr>
            </a:solidFill>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0.31397</cdr:x>
      <cdr:y>0.35589</cdr:y>
    </cdr:from>
    <cdr:to>
      <cdr:x>0.71748</cdr:x>
      <cdr:y>0.65688</cdr:y>
    </cdr:to>
    <cdr:sp macro="" textlink="REPORTISTICA!$C$54">
      <cdr:nvSpPr>
        <cdr:cNvPr id="3" name="TextBox 1"/>
        <cdr:cNvSpPr txBox="1"/>
      </cdr:nvSpPr>
      <cdr:spPr>
        <a:xfrm xmlns:a="http://schemas.openxmlformats.org/drawingml/2006/main">
          <a:off x="776773" y="778001"/>
          <a:ext cx="998313" cy="65797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1A0A5F8C-F597-4971-8F0E-50A4EFABDD52}" type="TxLink">
            <a:rPr lang="en-US" sz="2000" b="0" i="0" u="none" strike="noStrike">
              <a:solidFill>
                <a:schemeClr val="tx2">
                  <a:lumMod val="60000"/>
                  <a:lumOff val="40000"/>
                </a:schemeClr>
              </a:solidFill>
              <a:latin typeface="Calibri"/>
              <a:cs typeface="Calibri"/>
            </a:rPr>
            <a:pPr algn="ctr"/>
            <a:t>5%</a:t>
          </a:fld>
          <a:endParaRPr lang="it-IT" sz="8000">
            <a:solidFill>
              <a:schemeClr val="tx2">
                <a:lumMod val="60000"/>
                <a:lumOff val="40000"/>
              </a:schemeClr>
            </a:solidFill>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0.31976</cdr:x>
      <cdr:y>0.39011</cdr:y>
    </cdr:from>
    <cdr:to>
      <cdr:x>0.70737</cdr:x>
      <cdr:y>0.64425</cdr:y>
    </cdr:to>
    <cdr:sp macro="" textlink="REPORTISTICA!$D$54">
      <cdr:nvSpPr>
        <cdr:cNvPr id="3" name="TextBox 1"/>
        <cdr:cNvSpPr txBox="1"/>
      </cdr:nvSpPr>
      <cdr:spPr>
        <a:xfrm xmlns:a="http://schemas.openxmlformats.org/drawingml/2006/main">
          <a:off x="1135259" y="1073514"/>
          <a:ext cx="1376161" cy="699348"/>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C6F5B959-B5BD-45A3-B3CF-30FF4D2FBB4E}" type="TxLink">
            <a:rPr lang="en-US" sz="2000" b="0" i="0" u="none" strike="noStrike">
              <a:solidFill>
                <a:srgbClr val="7030A0"/>
              </a:solidFill>
              <a:latin typeface="Calibri"/>
              <a:cs typeface="Calibri"/>
            </a:rPr>
            <a:pPr algn="ctr"/>
            <a:t>0%</a:t>
          </a:fld>
          <a:endParaRPr lang="it-IT" sz="49600">
            <a:solidFill>
              <a:srgbClr val="7030A0"/>
            </a:solidFill>
          </a:endParaRPr>
        </a:p>
      </cdr:txBody>
    </cdr:sp>
  </cdr:relSizeAnchor>
  <cdr:relSizeAnchor xmlns:cdr="http://schemas.openxmlformats.org/drawingml/2006/chartDrawing">
    <cdr:from>
      <cdr:x>0.42781</cdr:x>
      <cdr:y>0.59298</cdr:y>
    </cdr:from>
    <cdr:to>
      <cdr:x>0.58089</cdr:x>
      <cdr:y>0.7898</cdr:y>
    </cdr:to>
    <cdr:pic>
      <cdr:nvPicPr>
        <cdr:cNvPr id="4" name="Picture 3">
          <a:extLst xmlns:a="http://schemas.openxmlformats.org/drawingml/2006/main">
            <a:ext uri="{FF2B5EF4-FFF2-40B4-BE49-F238E27FC236}">
              <a16:creationId xmlns:a16="http://schemas.microsoft.com/office/drawing/2014/main" id="{120711A4-F5F2-4227-8664-2579C367BF3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duotone>
            <a:prstClr val="black"/>
            <a:schemeClr val="accent4">
              <a:tint val="45000"/>
              <a:satMod val="400000"/>
            </a:schemeClr>
          </a:duotone>
          <a:extLst>
            <a:ext uri="{BEBA8EAE-BF5A-486C-A8C5-ECC9F3942E4B}">
              <a14:imgProps xmlns:a14="http://schemas.microsoft.com/office/drawing/2010/main">
                <a14:imgLayer r:embed="rId2">
                  <a14:imgEffect>
                    <a14:artisticPhotocopy/>
                  </a14:imgEffect>
                  <a14:imgEffect>
                    <a14:saturation sat="33000"/>
                  </a14:imgEffect>
                </a14:imgLayer>
              </a14:imgProps>
            </a:ex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518877" y="1631776"/>
          <a:ext cx="543491" cy="541614"/>
        </a:xfrm>
        <a:prstGeom xmlns:a="http://schemas.openxmlformats.org/drawingml/2006/main" prst="rect">
          <a:avLst/>
        </a:prstGeom>
      </cdr:spPr>
    </cdr:pic>
  </cdr:relSizeAnchor>
</c:userShapes>
</file>

<file path=xl/drawings/drawing14.xml><?xml version="1.0" encoding="utf-8"?>
<xdr:wsDr xmlns:xdr="http://schemas.openxmlformats.org/drawingml/2006/spreadsheetDrawing" xmlns:a="http://schemas.openxmlformats.org/drawingml/2006/main">
  <xdr:twoCellAnchor>
    <xdr:from>
      <xdr:col>0</xdr:col>
      <xdr:colOff>68892</xdr:colOff>
      <xdr:row>9</xdr:row>
      <xdr:rowOff>79076</xdr:rowOff>
    </xdr:from>
    <xdr:to>
      <xdr:col>0</xdr:col>
      <xdr:colOff>324706</xdr:colOff>
      <xdr:row>10</xdr:row>
      <xdr:rowOff>96725</xdr:rowOff>
    </xdr:to>
    <xdr:pic>
      <xdr:nvPicPr>
        <xdr:cNvPr id="2" name="Picture 1">
          <a:extLst>
            <a:ext uri="{FF2B5EF4-FFF2-40B4-BE49-F238E27FC236}">
              <a16:creationId xmlns:a16="http://schemas.microsoft.com/office/drawing/2014/main" id="{CC887FB0-C08B-4E48-B99C-03B74D6091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92" y="1974551"/>
          <a:ext cx="255814" cy="236724"/>
        </a:xfrm>
        <a:prstGeom prst="rect">
          <a:avLst/>
        </a:prstGeom>
      </xdr:spPr>
    </xdr:pic>
    <xdr:clientData/>
  </xdr:twoCellAnchor>
  <xdr:twoCellAnchor>
    <xdr:from>
      <xdr:col>8</xdr:col>
      <xdr:colOff>128306</xdr:colOff>
      <xdr:row>0</xdr:row>
      <xdr:rowOff>14307</xdr:rowOff>
    </xdr:from>
    <xdr:to>
      <xdr:col>16</xdr:col>
      <xdr:colOff>765277</xdr:colOff>
      <xdr:row>1</xdr:row>
      <xdr:rowOff>14307</xdr:rowOff>
    </xdr:to>
    <xdr:sp macro="" textlink="">
      <xdr:nvSpPr>
        <xdr:cNvPr id="3" name="TextBox 2">
          <a:extLst>
            <a:ext uri="{FF2B5EF4-FFF2-40B4-BE49-F238E27FC236}">
              <a16:creationId xmlns:a16="http://schemas.microsoft.com/office/drawing/2014/main" id="{45ACBD1D-BECF-4DF1-ABB9-5C686CACAFB8}"/>
            </a:ext>
          </a:extLst>
        </xdr:cNvPr>
        <xdr:cNvSpPr txBox="1"/>
      </xdr:nvSpPr>
      <xdr:spPr>
        <a:xfrm>
          <a:off x="6348131" y="14307"/>
          <a:ext cx="7933121" cy="304800"/>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it-IT" sz="1400" b="1" cap="none" spc="5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REPORT AGGREGATO</a:t>
          </a:r>
          <a:r>
            <a:rPr lang="it-IT" sz="1400" b="1" cap="none" spc="50" baseline="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 DEI FORNITORI</a:t>
          </a:r>
          <a:endParaRPr lang="it-IT" sz="1400" b="1" cap="none" spc="5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endParaRPr>
        </a:p>
      </xdr:txBody>
    </xdr:sp>
    <xdr:clientData/>
  </xdr:twoCellAnchor>
  <xdr:twoCellAnchor>
    <xdr:from>
      <xdr:col>0</xdr:col>
      <xdr:colOff>35981</xdr:colOff>
      <xdr:row>0</xdr:row>
      <xdr:rowOff>76202</xdr:rowOff>
    </xdr:from>
    <xdr:to>
      <xdr:col>0</xdr:col>
      <xdr:colOff>323981</xdr:colOff>
      <xdr:row>9</xdr:row>
      <xdr:rowOff>103297</xdr:rowOff>
    </xdr:to>
    <xdr:sp macro="" textlink="">
      <xdr:nvSpPr>
        <xdr:cNvPr id="4" name="TextBox 3">
          <a:extLst>
            <a:ext uri="{FF2B5EF4-FFF2-40B4-BE49-F238E27FC236}">
              <a16:creationId xmlns:a16="http://schemas.microsoft.com/office/drawing/2014/main" id="{8FAC77B0-B1CC-4D4A-96C8-87CC66EFB827}"/>
            </a:ext>
          </a:extLst>
        </xdr:cNvPr>
        <xdr:cNvSpPr txBox="1"/>
      </xdr:nvSpPr>
      <xdr:spPr>
        <a:xfrm rot="16200000">
          <a:off x="-781304" y="893487"/>
          <a:ext cx="1922570" cy="288000"/>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it-IT" sz="1400" b="1" cap="none" spc="5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FILTRA IL</a:t>
          </a:r>
          <a:r>
            <a:rPr lang="it-IT" sz="1400" b="1" cap="none" spc="50" baseline="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 REPORT</a:t>
          </a:r>
          <a:endParaRPr lang="it-IT" sz="1400" b="1" cap="none" spc="5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endParaRPr>
        </a:p>
      </xdr:txBody>
    </xdr:sp>
    <xdr:clientData/>
  </xdr:twoCellAnchor>
  <xdr:twoCellAnchor>
    <xdr:from>
      <xdr:col>0</xdr:col>
      <xdr:colOff>381001</xdr:colOff>
      <xdr:row>31</xdr:row>
      <xdr:rowOff>181636</xdr:rowOff>
    </xdr:from>
    <xdr:to>
      <xdr:col>16</xdr:col>
      <xdr:colOff>91441</xdr:colOff>
      <xdr:row>33</xdr:row>
      <xdr:rowOff>152400</xdr:rowOff>
    </xdr:to>
    <xdr:sp macro="" textlink="">
      <xdr:nvSpPr>
        <xdr:cNvPr id="5" name="TextBox 4">
          <a:extLst>
            <a:ext uri="{FF2B5EF4-FFF2-40B4-BE49-F238E27FC236}">
              <a16:creationId xmlns:a16="http://schemas.microsoft.com/office/drawing/2014/main" id="{0DB0E007-F5A8-433C-81A0-F5549846D1ED}"/>
            </a:ext>
          </a:extLst>
        </xdr:cNvPr>
        <xdr:cNvSpPr txBox="1"/>
      </xdr:nvSpPr>
      <xdr:spPr>
        <a:xfrm>
          <a:off x="381001" y="6277636"/>
          <a:ext cx="13226415" cy="351764"/>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1000" b="1" i="1" cap="none" spc="5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Se vuoi maggiori dettagli su una parte</a:t>
          </a:r>
          <a:r>
            <a:rPr lang="it-IT" sz="1000" b="1" i="1" cap="none" spc="50" baseline="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 di grafico</a:t>
          </a:r>
          <a:r>
            <a:rPr lang="it-IT" sz="1000" b="1" i="1" cap="none" spc="5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a:t>
          </a:r>
          <a:r>
            <a:rPr lang="it-IT" sz="1000" b="1" i="1" cap="none" spc="50" baseline="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 posiziona il mouse su una zona della torta e attendi un secondo: </a:t>
          </a:r>
          <a:r>
            <a:rPr lang="it-IT" sz="1000" b="1" i="1" u="sng" cap="none" spc="50" baseline="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latin typeface="Century Gothic" panose="020B0502020202020204" pitchFamily="34" charset="0"/>
            </a:rPr>
            <a:t>apparirà un etichetta con tutti i dettagli.</a:t>
          </a:r>
        </a:p>
      </xdr:txBody>
    </xdr:sp>
    <xdr:clientData/>
  </xdr:twoCellAnchor>
  <xdr:twoCellAnchor editAs="oneCell">
    <xdr:from>
      <xdr:col>8</xdr:col>
      <xdr:colOff>2029404</xdr:colOff>
      <xdr:row>0</xdr:row>
      <xdr:rowOff>54429</xdr:rowOff>
    </xdr:from>
    <xdr:to>
      <xdr:col>9</xdr:col>
      <xdr:colOff>108659</xdr:colOff>
      <xdr:row>2</xdr:row>
      <xdr:rowOff>3694</xdr:rowOff>
    </xdr:to>
    <xdr:pic>
      <xdr:nvPicPr>
        <xdr:cNvPr id="6" name="Picture 5">
          <a:extLst>
            <a:ext uri="{FF2B5EF4-FFF2-40B4-BE49-F238E27FC236}">
              <a16:creationId xmlns:a16="http://schemas.microsoft.com/office/drawing/2014/main" id="{6FB6DB65-B88F-452F-84CA-AE6D3FEE1D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20654" y="54429"/>
          <a:ext cx="193805" cy="225490"/>
        </a:xfrm>
        <a:prstGeom prst="rect">
          <a:avLst/>
        </a:prstGeom>
      </xdr:spPr>
    </xdr:pic>
    <xdr:clientData/>
  </xdr:twoCellAnchor>
  <xdr:oneCellAnchor>
    <xdr:from>
      <xdr:col>6</xdr:col>
      <xdr:colOff>401955</xdr:colOff>
      <xdr:row>43</xdr:row>
      <xdr:rowOff>85725</xdr:rowOff>
    </xdr:from>
    <xdr:ext cx="3261360" cy="594360"/>
    <xdr:sp macro="" textlink="$A$82">
      <xdr:nvSpPr>
        <xdr:cNvPr id="7" name="TextBox 6">
          <a:extLst>
            <a:ext uri="{FF2B5EF4-FFF2-40B4-BE49-F238E27FC236}">
              <a16:creationId xmlns:a16="http://schemas.microsoft.com/office/drawing/2014/main" id="{FDA57DA2-A91F-40FD-9728-C3A064B05677}"/>
            </a:ext>
          </a:extLst>
        </xdr:cNvPr>
        <xdr:cNvSpPr txBox="1"/>
      </xdr:nvSpPr>
      <xdr:spPr>
        <a:xfrm>
          <a:off x="5231130" y="8467725"/>
          <a:ext cx="3261360" cy="59436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noAutofit/>
        </a:bodyPr>
        <a:lstStyle/>
        <a:p>
          <a:pPr algn="l"/>
          <a:fld id="{1742E6D5-A271-4259-A813-53D5EEAEC908}" type="TxLink">
            <a:rPr lang="en-US" sz="1000" b="0" i="0" u="none" strike="noStrike">
              <a:solidFill>
                <a:srgbClr val="FFFFFF"/>
              </a:solidFill>
              <a:latin typeface="Calibri"/>
              <a:cs typeface="Calibri"/>
            </a:rPr>
            <a:pPr algn="l"/>
            <a:t>Per le ingegnerie e i fornitori filtrati, sono stati spesi 802 € Euro di tipo ORE. Questo corrisponde al 3.6% di quanto è stato allocato nel foglio 2023sintesi.</a:t>
          </a:fld>
          <a:endParaRPr lang="it-IT" sz="1000">
            <a:latin typeface="Century Gothic" panose="020B0502020202020204" pitchFamily="34" charset="0"/>
          </a:endParaRPr>
        </a:p>
      </xdr:txBody>
    </xdr:sp>
    <xdr:clientData/>
  </xdr:oneCellAnchor>
  <xdr:oneCellAnchor>
    <xdr:from>
      <xdr:col>6</xdr:col>
      <xdr:colOff>394335</xdr:colOff>
      <xdr:row>47</xdr:row>
      <xdr:rowOff>100963</xdr:rowOff>
    </xdr:from>
    <xdr:ext cx="3268980" cy="1509627"/>
    <xdr:sp macro="" textlink="$A$83">
      <xdr:nvSpPr>
        <xdr:cNvPr id="8" name="TextBox 7">
          <a:extLst>
            <a:ext uri="{FF2B5EF4-FFF2-40B4-BE49-F238E27FC236}">
              <a16:creationId xmlns:a16="http://schemas.microsoft.com/office/drawing/2014/main" id="{5DFAFAEA-673B-4B4B-B008-B4613FD81C42}"/>
            </a:ext>
          </a:extLst>
        </xdr:cNvPr>
        <xdr:cNvSpPr txBox="1"/>
      </xdr:nvSpPr>
      <xdr:spPr>
        <a:xfrm>
          <a:off x="5217449" y="9227645"/>
          <a:ext cx="3268980" cy="150962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noAutofit/>
        </a:bodyPr>
        <a:lstStyle/>
        <a:p>
          <a:pPr algn="l"/>
          <a:fld id="{11D54A25-9B06-4F95-9E7A-8BFA16560839}" type="TxLink">
            <a:rPr lang="en-US" sz="1000" b="0" i="0" u="none" strike="noStrike">
              <a:solidFill>
                <a:schemeClr val="bg1"/>
              </a:solidFill>
              <a:latin typeface="+mn-lt"/>
              <a:cs typeface="Calibri"/>
            </a:rPr>
            <a:pPr algn="l"/>
            <a:t>La suddivisione di spesa (actual) aggiornata al 05 giu 2023 è la seguente:
- Esterni veri: 802 €;
- Consociate: 0 €;
- Filiali GD: 0 €;
- Aziende Tob.: 0 €;
- Altro: 0 €.</a:t>
          </a:fld>
          <a:endParaRPr lang="it-IT" sz="1000">
            <a:solidFill>
              <a:schemeClr val="bg1"/>
            </a:solidFill>
            <a:latin typeface="+mn-lt"/>
          </a:endParaRPr>
        </a:p>
      </xdr:txBody>
    </xdr:sp>
    <xdr:clientData/>
  </xdr:oneCellAnchor>
  <xdr:oneCellAnchor>
    <xdr:from>
      <xdr:col>0</xdr:col>
      <xdr:colOff>1668780</xdr:colOff>
      <xdr:row>34</xdr:row>
      <xdr:rowOff>167640</xdr:rowOff>
    </xdr:from>
    <xdr:ext cx="11148060" cy="746760"/>
    <xdr:sp macro="" textlink="">
      <xdr:nvSpPr>
        <xdr:cNvPr id="9" name="TextBox 8">
          <a:extLst>
            <a:ext uri="{FF2B5EF4-FFF2-40B4-BE49-F238E27FC236}">
              <a16:creationId xmlns:a16="http://schemas.microsoft.com/office/drawing/2014/main" id="{A8FE1696-515C-44B0-8D7B-01A27F816FF5}"/>
            </a:ext>
          </a:extLst>
        </xdr:cNvPr>
        <xdr:cNvSpPr txBox="1"/>
      </xdr:nvSpPr>
      <xdr:spPr>
        <a:xfrm>
          <a:off x="1668780" y="6835140"/>
          <a:ext cx="11148060" cy="746760"/>
        </a:xfrm>
        <a:prstGeom prst="rect">
          <a:avLst/>
        </a:prstGeom>
        <a:solidFill>
          <a:schemeClr val="tx2">
            <a:lumMod val="50000"/>
          </a:schemeClr>
        </a:solidFill>
        <a:effectLst/>
        <a:scene3d>
          <a:camera prst="perspectiveAbove"/>
          <a:lightRig rig="threePt" dir="t"/>
        </a:scene3d>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2000" b="1" cap="none" spc="5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rPr>
            <a:t>SPIEGAZIONE TESTUALE</a:t>
          </a:r>
          <a:r>
            <a:rPr lang="it-IT" sz="2000" b="1" cap="none" spc="50" baseline="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rPr>
            <a:t> DEI GRAFICI</a:t>
          </a:r>
        </a:p>
        <a:p>
          <a:pPr algn="ctr"/>
          <a:r>
            <a:rPr lang="it-IT" sz="2000" b="1" cap="none" spc="50" baseline="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rPr>
            <a:t>NB. </a:t>
          </a:r>
          <a:r>
            <a:rPr lang="it-IT" sz="2000" b="1" u="sng" cap="none" spc="50" baseline="0">
              <a:ln w="13500">
                <a:solidFill>
                  <a:schemeClr val="accent1">
                    <a:shade val="2500"/>
                    <a:alpha val="6500"/>
                  </a:schemeClr>
                </a:solidFill>
                <a:prstDash val="solid"/>
              </a:ln>
              <a:solidFill>
                <a:schemeClr val="accent1">
                  <a:tint val="3000"/>
                  <a:alpha val="95000"/>
                </a:schemeClr>
              </a:solidFill>
              <a:effectLst>
                <a:innerShdw blurRad="50900" dist="38500" dir="13500000">
                  <a:srgbClr val="000000">
                    <a:alpha val="60000"/>
                  </a:srgbClr>
                </a:innerShdw>
              </a:effectLst>
            </a:rPr>
            <a:t>il testo di spiegazione è </a:t>
          </a:r>
          <a:r>
            <a:rPr lang="it-IT" sz="2000" b="1" u="sng" cap="none" spc="50" baseline="0">
              <a:ln w="13500">
                <a:solidFill>
                  <a:schemeClr val="accent1">
                    <a:shade val="2500"/>
                    <a:alpha val="6500"/>
                  </a:schemeClr>
                </a:solidFill>
                <a:prstDash val="solid"/>
              </a:ln>
              <a:solidFill>
                <a:schemeClr val="bg1">
                  <a:alpha val="95000"/>
                </a:schemeClr>
              </a:solidFill>
              <a:effectLst>
                <a:innerShdw blurRad="50900" dist="38500" dir="13500000">
                  <a:srgbClr val="000000">
                    <a:alpha val="60000"/>
                  </a:srgbClr>
                </a:innerShdw>
              </a:effectLst>
            </a:rPr>
            <a:t>dinamico </a:t>
          </a:r>
          <a:r>
            <a:rPr lang="it-IT" sz="2000" b="1" u="sng" cap="none" spc="50" baseline="0">
              <a:ln w="13500">
                <a:solidFill>
                  <a:schemeClr val="accent1">
                    <a:shade val="2500"/>
                    <a:alpha val="6500"/>
                  </a:schemeClr>
                </a:solidFill>
                <a:prstDash val="solid"/>
              </a:ln>
              <a:solidFill>
                <a:schemeClr val="accent2"/>
              </a:solidFill>
              <a:effectLst>
                <a:innerShdw blurRad="50900" dist="38500" dir="13500000">
                  <a:srgbClr val="000000">
                    <a:alpha val="60000"/>
                  </a:srgbClr>
                </a:innerShdw>
              </a:effectLst>
            </a:rPr>
            <a:t>(si aggiorna in base ai filtri imposti</a:t>
          </a:r>
          <a:r>
            <a:rPr lang="it-IT" sz="2000" b="1" u="none" cap="none" spc="50" baseline="0">
              <a:ln w="13500">
                <a:solidFill>
                  <a:schemeClr val="accent1">
                    <a:shade val="2500"/>
                    <a:alpha val="6500"/>
                  </a:schemeClr>
                </a:solidFill>
                <a:prstDash val="solid"/>
              </a:ln>
              <a:solidFill>
                <a:schemeClr val="accent2"/>
              </a:solidFill>
              <a:effectLst>
                <a:innerShdw blurRad="50900" dist="38500" dir="13500000">
                  <a:srgbClr val="000000">
                    <a:alpha val="60000"/>
                  </a:srgbClr>
                </a:innerShdw>
              </a:effectLst>
            </a:rPr>
            <a:t>)</a:t>
          </a:r>
          <a:endParaRPr lang="it-IT" sz="2000" b="1" cap="none" spc="50">
            <a:ln w="13500">
              <a:solidFill>
                <a:schemeClr val="accent1">
                  <a:shade val="2500"/>
                  <a:alpha val="6500"/>
                </a:schemeClr>
              </a:solidFill>
              <a:prstDash val="solid"/>
            </a:ln>
            <a:solidFill>
              <a:schemeClr val="accent2"/>
            </a:solidFill>
            <a:effectLst>
              <a:innerShdw blurRad="50900" dist="38500" dir="13500000">
                <a:srgbClr val="000000">
                  <a:alpha val="60000"/>
                </a:srgbClr>
              </a:innerShdw>
            </a:effectLst>
          </a:endParaRPr>
        </a:p>
      </xdr:txBody>
    </xdr:sp>
    <xdr:clientData/>
  </xdr:oneCellAnchor>
  <xdr:oneCellAnchor>
    <xdr:from>
      <xdr:col>6</xdr:col>
      <xdr:colOff>363855</xdr:colOff>
      <xdr:row>39</xdr:row>
      <xdr:rowOff>139065</xdr:rowOff>
    </xdr:from>
    <xdr:ext cx="3329940" cy="403860"/>
    <xdr:sp macro="" textlink="">
      <xdr:nvSpPr>
        <xdr:cNvPr id="10" name="TextBox 9">
          <a:extLst>
            <a:ext uri="{FF2B5EF4-FFF2-40B4-BE49-F238E27FC236}">
              <a16:creationId xmlns:a16="http://schemas.microsoft.com/office/drawing/2014/main" id="{79A446D8-3DE8-4D9A-B160-09A5B42D0922}"/>
            </a:ext>
          </a:extLst>
        </xdr:cNvPr>
        <xdr:cNvSpPr txBox="1"/>
      </xdr:nvSpPr>
      <xdr:spPr>
        <a:xfrm>
          <a:off x="5193030" y="7759065"/>
          <a:ext cx="332994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2000" b="0" cap="none" spc="0">
              <a:ln w="10160">
                <a:solidFill>
                  <a:schemeClr val="accent1"/>
                </a:solidFill>
                <a:prstDash val="solid"/>
              </a:ln>
              <a:solidFill>
                <a:srgbClr val="FFFFFF"/>
              </a:solidFill>
              <a:effectLst>
                <a:outerShdw blurRad="38100" dist="32000" dir="5400000" algn="tl">
                  <a:srgbClr val="000000">
                    <a:alpha val="30000"/>
                  </a:srgbClr>
                </a:outerShdw>
              </a:effectLst>
            </a:rPr>
            <a:t>€ EURO ORE</a:t>
          </a:r>
        </a:p>
      </xdr:txBody>
    </xdr:sp>
    <xdr:clientData/>
  </xdr:oneCellAnchor>
  <xdr:oneCellAnchor>
    <xdr:from>
      <xdr:col>11</xdr:col>
      <xdr:colOff>240030</xdr:colOff>
      <xdr:row>43</xdr:row>
      <xdr:rowOff>85725</xdr:rowOff>
    </xdr:from>
    <xdr:ext cx="3261360" cy="594360"/>
    <xdr:sp macro="" textlink="$A$85">
      <xdr:nvSpPr>
        <xdr:cNvPr id="11" name="TextBox 10">
          <a:extLst>
            <a:ext uri="{FF2B5EF4-FFF2-40B4-BE49-F238E27FC236}">
              <a16:creationId xmlns:a16="http://schemas.microsoft.com/office/drawing/2014/main" id="{C8D6C68B-7268-4F32-9771-4BA4BFCBBED6}"/>
            </a:ext>
          </a:extLst>
        </xdr:cNvPr>
        <xdr:cNvSpPr txBox="1"/>
      </xdr:nvSpPr>
      <xdr:spPr>
        <a:xfrm>
          <a:off x="9860280" y="8467725"/>
          <a:ext cx="3261360" cy="59436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noAutofit/>
        </a:bodyPr>
        <a:lstStyle/>
        <a:p>
          <a:pPr algn="l"/>
          <a:fld id="{FB4FF116-AB0E-445A-8B46-6B9A7C28D31A}" type="TxLink">
            <a:rPr lang="en-US" sz="1050" b="0" i="0" u="none" strike="noStrike">
              <a:solidFill>
                <a:srgbClr val="FFFFFF"/>
              </a:solidFill>
              <a:latin typeface="Calibri"/>
              <a:cs typeface="Calibri"/>
            </a:rPr>
            <a:pPr algn="l"/>
            <a:t>Per le ingegnerie e i fornitori filtrati, sono stati spesi 13 € Euro di tipo LUMP. Questo corrisponde al 0% di quanto è stato allocato nel foglio 2023sintesi.</a:t>
          </a:fld>
          <a:endParaRPr lang="it-IT" sz="900">
            <a:latin typeface="Century Gothic" panose="020B0502020202020204" pitchFamily="34" charset="0"/>
          </a:endParaRPr>
        </a:p>
      </xdr:txBody>
    </xdr:sp>
    <xdr:clientData/>
  </xdr:oneCellAnchor>
  <xdr:oneCellAnchor>
    <xdr:from>
      <xdr:col>11</xdr:col>
      <xdr:colOff>232410</xdr:colOff>
      <xdr:row>47</xdr:row>
      <xdr:rowOff>100964</xdr:rowOff>
    </xdr:from>
    <xdr:ext cx="3268980" cy="1552922"/>
    <xdr:sp macro="" textlink="$A$86">
      <xdr:nvSpPr>
        <xdr:cNvPr id="12" name="TextBox 11">
          <a:extLst>
            <a:ext uri="{FF2B5EF4-FFF2-40B4-BE49-F238E27FC236}">
              <a16:creationId xmlns:a16="http://schemas.microsoft.com/office/drawing/2014/main" id="{B7C1B9C2-7165-4C4F-A1BD-4DF1B36FBA57}"/>
            </a:ext>
          </a:extLst>
        </xdr:cNvPr>
        <xdr:cNvSpPr txBox="1"/>
      </xdr:nvSpPr>
      <xdr:spPr>
        <a:xfrm>
          <a:off x="9947910" y="9227646"/>
          <a:ext cx="3268980" cy="1552922"/>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noAutofit/>
        </a:bodyPr>
        <a:lstStyle/>
        <a:p>
          <a:pPr algn="l"/>
          <a:fld id="{CC02E3A9-F0E6-4BA2-A030-262A186AC7A2}" type="TxLink">
            <a:rPr lang="en-US" sz="1050" b="0" i="0" u="none" strike="noStrike">
              <a:solidFill>
                <a:schemeClr val="bg1"/>
              </a:solidFill>
              <a:latin typeface="Calibri"/>
              <a:cs typeface="Calibri"/>
            </a:rPr>
            <a:pPr algn="l"/>
            <a:t>La suddivisione di spesa (actual) aggiornata al 05 giu 2023 è la seguente:
- Esterni veri: 11 €;
- Consociate: 1 €;
- Filiali GD: 1 €;
- Aziende Tob: 0 €;
- Altro: 0 €.</a:t>
          </a:fld>
          <a:endParaRPr lang="it-IT" sz="900">
            <a:solidFill>
              <a:schemeClr val="bg1"/>
            </a:solidFill>
            <a:latin typeface="+mn-lt"/>
          </a:endParaRPr>
        </a:p>
      </xdr:txBody>
    </xdr:sp>
    <xdr:clientData/>
  </xdr:oneCellAnchor>
  <xdr:oneCellAnchor>
    <xdr:from>
      <xdr:col>11</xdr:col>
      <xdr:colOff>201930</xdr:colOff>
      <xdr:row>39</xdr:row>
      <xdr:rowOff>139065</xdr:rowOff>
    </xdr:from>
    <xdr:ext cx="3329940" cy="403860"/>
    <xdr:sp macro="" textlink="">
      <xdr:nvSpPr>
        <xdr:cNvPr id="13" name="TextBox 12">
          <a:extLst>
            <a:ext uri="{FF2B5EF4-FFF2-40B4-BE49-F238E27FC236}">
              <a16:creationId xmlns:a16="http://schemas.microsoft.com/office/drawing/2014/main" id="{36E50AA6-6D29-417E-8B8E-229CD3505AAC}"/>
            </a:ext>
          </a:extLst>
        </xdr:cNvPr>
        <xdr:cNvSpPr txBox="1"/>
      </xdr:nvSpPr>
      <xdr:spPr>
        <a:xfrm>
          <a:off x="9822180" y="7759065"/>
          <a:ext cx="332994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2000" b="0" cap="none" spc="0">
              <a:ln w="10160">
                <a:solidFill>
                  <a:schemeClr val="accent1"/>
                </a:solidFill>
                <a:prstDash val="solid"/>
              </a:ln>
              <a:solidFill>
                <a:srgbClr val="FFFFFF"/>
              </a:solidFill>
              <a:effectLst>
                <a:outerShdw blurRad="38100" dist="32000" dir="5400000" algn="tl">
                  <a:srgbClr val="000000">
                    <a:alpha val="30000"/>
                  </a:srgbClr>
                </a:outerShdw>
              </a:effectLst>
            </a:rPr>
            <a:t>€ EURO LUMP</a:t>
          </a:r>
        </a:p>
      </xdr:txBody>
    </xdr:sp>
    <xdr:clientData/>
  </xdr:oneCellAnchor>
  <xdr:oneCellAnchor>
    <xdr:from>
      <xdr:col>0</xdr:col>
      <xdr:colOff>803910</xdr:colOff>
      <xdr:row>43</xdr:row>
      <xdr:rowOff>85725</xdr:rowOff>
    </xdr:from>
    <xdr:ext cx="3318510" cy="594360"/>
    <xdr:sp macro="" textlink="$A$88">
      <xdr:nvSpPr>
        <xdr:cNvPr id="14" name="TextBox 13">
          <a:extLst>
            <a:ext uri="{FF2B5EF4-FFF2-40B4-BE49-F238E27FC236}">
              <a16:creationId xmlns:a16="http://schemas.microsoft.com/office/drawing/2014/main" id="{1F186EA8-77AA-4A74-A05C-958A436A526E}"/>
            </a:ext>
          </a:extLst>
        </xdr:cNvPr>
        <xdr:cNvSpPr txBox="1"/>
      </xdr:nvSpPr>
      <xdr:spPr>
        <a:xfrm>
          <a:off x="803910" y="8467725"/>
          <a:ext cx="3318510" cy="594360"/>
        </a:xfrm>
        <a:prstGeom prst="rect">
          <a:avLst/>
        </a:prstGeom>
        <a:solidFill>
          <a:schemeClr val="accent3">
            <a:lumMod val="50000"/>
          </a:schemeClr>
        </a:solidFill>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noAutofit/>
        </a:bodyPr>
        <a:lstStyle/>
        <a:p>
          <a:pPr algn="l"/>
          <a:fld id="{4C16E07F-1E78-4F2A-AE88-B66900D1E67D}" type="TxLink">
            <a:rPr lang="en-US" sz="1050" b="0" i="0" u="none" strike="noStrike">
              <a:solidFill>
                <a:srgbClr val="FFFFFF"/>
              </a:solidFill>
              <a:latin typeface="Calibri"/>
              <a:cs typeface="Calibri"/>
            </a:rPr>
            <a:pPr algn="l"/>
            <a:t>Per le ingegnerie e i fornitori filtrati, sono stati spesi 447 ORE. Questo corrisponde al 3,2% di quanto è stato allocato nel foglio 2023sintesi.</a:t>
          </a:fld>
          <a:endParaRPr lang="it-IT" sz="900">
            <a:latin typeface="Century Gothic" panose="020B0502020202020204" pitchFamily="34" charset="0"/>
          </a:endParaRPr>
        </a:p>
      </xdr:txBody>
    </xdr:sp>
    <xdr:clientData/>
  </xdr:oneCellAnchor>
  <xdr:oneCellAnchor>
    <xdr:from>
      <xdr:col>0</xdr:col>
      <xdr:colOff>811529</xdr:colOff>
      <xdr:row>47</xdr:row>
      <xdr:rowOff>100964</xdr:rowOff>
    </xdr:from>
    <xdr:ext cx="3326263" cy="1526945"/>
    <xdr:sp macro="" textlink="$A$89">
      <xdr:nvSpPr>
        <xdr:cNvPr id="15" name="TextBox 14">
          <a:extLst>
            <a:ext uri="{FF2B5EF4-FFF2-40B4-BE49-F238E27FC236}">
              <a16:creationId xmlns:a16="http://schemas.microsoft.com/office/drawing/2014/main" id="{5B9E8027-D45B-4473-87AD-FE293B5FB9A2}"/>
            </a:ext>
          </a:extLst>
        </xdr:cNvPr>
        <xdr:cNvSpPr txBox="1"/>
      </xdr:nvSpPr>
      <xdr:spPr>
        <a:xfrm>
          <a:off x="811529" y="9227646"/>
          <a:ext cx="3326263" cy="1526945"/>
        </a:xfrm>
        <a:prstGeom prst="rect">
          <a:avLst/>
        </a:prstGeom>
        <a:solidFill>
          <a:schemeClr val="accent3">
            <a:lumMod val="50000"/>
          </a:schemeClr>
        </a:solidFill>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noAutofit/>
        </a:bodyPr>
        <a:lstStyle/>
        <a:p>
          <a:pPr algn="l"/>
          <a:fld id="{BCBBC70C-48E8-425B-B21C-537C97235BB9}" type="TxLink">
            <a:rPr lang="en-US" sz="1100" b="0" i="0" u="none" strike="noStrike">
              <a:solidFill>
                <a:srgbClr val="FFFFFF"/>
              </a:solidFill>
              <a:latin typeface="Calibri"/>
              <a:cs typeface="Calibri"/>
            </a:rPr>
            <a:pPr algn="l"/>
            <a:t>La suddivisione di spesa (actual) aggiornata al 05 giu 2023 è la seguente:
- Esterni veri: 446,628571428571 ore;
- Consociate: 0 ore;
- Filiali GD: 0 ore;
- Aziende Tob: 0 ore;
- Altro: 0 ore.</a:t>
          </a:fld>
          <a:endParaRPr lang="it-IT" sz="800">
            <a:solidFill>
              <a:schemeClr val="bg1"/>
            </a:solidFill>
            <a:latin typeface="+mn-lt"/>
          </a:endParaRPr>
        </a:p>
      </xdr:txBody>
    </xdr:sp>
    <xdr:clientData/>
  </xdr:oneCellAnchor>
  <xdr:oneCellAnchor>
    <xdr:from>
      <xdr:col>0</xdr:col>
      <xdr:colOff>765810</xdr:colOff>
      <xdr:row>39</xdr:row>
      <xdr:rowOff>139065</xdr:rowOff>
    </xdr:from>
    <xdr:ext cx="3329940" cy="403860"/>
    <xdr:sp macro="" textlink="">
      <xdr:nvSpPr>
        <xdr:cNvPr id="16" name="TextBox 15">
          <a:extLst>
            <a:ext uri="{FF2B5EF4-FFF2-40B4-BE49-F238E27FC236}">
              <a16:creationId xmlns:a16="http://schemas.microsoft.com/office/drawing/2014/main" id="{B8D81D21-1830-452B-BD41-7F8650105384}"/>
            </a:ext>
          </a:extLst>
        </xdr:cNvPr>
        <xdr:cNvSpPr txBox="1"/>
      </xdr:nvSpPr>
      <xdr:spPr>
        <a:xfrm>
          <a:off x="765810" y="7759065"/>
          <a:ext cx="332994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2000" b="0" cap="none" spc="0">
              <a:ln w="10160">
                <a:solidFill>
                  <a:schemeClr val="accent3">
                    <a:lumMod val="50000"/>
                  </a:schemeClr>
                </a:solidFill>
                <a:prstDash val="solid"/>
              </a:ln>
              <a:solidFill>
                <a:srgbClr val="FFFFFF"/>
              </a:solidFill>
              <a:effectLst>
                <a:outerShdw blurRad="38100" dist="32000" dir="5400000" algn="tl">
                  <a:srgbClr val="000000">
                    <a:alpha val="30000"/>
                  </a:srgbClr>
                </a:outerShdw>
              </a:effectLst>
            </a:rPr>
            <a:t>ORE</a:t>
          </a:r>
        </a:p>
      </xdr:txBody>
    </xdr:sp>
    <xdr:clientData/>
  </xdr:oneCellAnchor>
  <xdr:twoCellAnchor>
    <xdr:from>
      <xdr:col>0</xdr:col>
      <xdr:colOff>0</xdr:colOff>
      <xdr:row>77</xdr:row>
      <xdr:rowOff>111846</xdr:rowOff>
    </xdr:from>
    <xdr:to>
      <xdr:col>22</xdr:col>
      <xdr:colOff>304800</xdr:colOff>
      <xdr:row>92</xdr:row>
      <xdr:rowOff>88986</xdr:rowOff>
    </xdr:to>
    <xdr:sp macro="" textlink="">
      <xdr:nvSpPr>
        <xdr:cNvPr id="17" name="Rectangle 16">
          <a:extLst>
            <a:ext uri="{FF2B5EF4-FFF2-40B4-BE49-F238E27FC236}">
              <a16:creationId xmlns:a16="http://schemas.microsoft.com/office/drawing/2014/main" id="{15C1553B-B1B1-428B-B686-F8601C111A72}"/>
            </a:ext>
          </a:extLst>
        </xdr:cNvPr>
        <xdr:cNvSpPr/>
      </xdr:nvSpPr>
      <xdr:spPr>
        <a:xfrm>
          <a:off x="0" y="14953528"/>
          <a:ext cx="17770186" cy="2834640"/>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editAs="oneCell">
    <xdr:from>
      <xdr:col>6</xdr:col>
      <xdr:colOff>510541</xdr:colOff>
      <xdr:row>13</xdr:row>
      <xdr:rowOff>180392</xdr:rowOff>
    </xdr:from>
    <xdr:to>
      <xdr:col>7</xdr:col>
      <xdr:colOff>492019</xdr:colOff>
      <xdr:row>17</xdr:row>
      <xdr:rowOff>58472</xdr:rowOff>
    </xdr:to>
    <xdr:pic>
      <xdr:nvPicPr>
        <xdr:cNvPr id="19" name="Picture 18">
          <a:extLst>
            <a:ext uri="{FF2B5EF4-FFF2-40B4-BE49-F238E27FC236}">
              <a16:creationId xmlns:a16="http://schemas.microsoft.com/office/drawing/2014/main" id="{A92623BB-C6F2-4EAA-BC12-D1942CD441C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5339716" y="2847392"/>
          <a:ext cx="591078" cy="640080"/>
        </a:xfrm>
        <a:prstGeom prst="rect">
          <a:avLst/>
        </a:prstGeom>
      </xdr:spPr>
    </xdr:pic>
    <xdr:clientData/>
  </xdr:twoCellAnchor>
  <xdr:twoCellAnchor editAs="oneCell">
    <xdr:from>
      <xdr:col>10</xdr:col>
      <xdr:colOff>617188</xdr:colOff>
      <xdr:row>14</xdr:row>
      <xdr:rowOff>12751</xdr:rowOff>
    </xdr:from>
    <xdr:to>
      <xdr:col>11</xdr:col>
      <xdr:colOff>411333</xdr:colOff>
      <xdr:row>17</xdr:row>
      <xdr:rowOff>88444</xdr:rowOff>
    </xdr:to>
    <xdr:pic>
      <xdr:nvPicPr>
        <xdr:cNvPr id="20" name="Picture 19">
          <a:extLst>
            <a:ext uri="{FF2B5EF4-FFF2-40B4-BE49-F238E27FC236}">
              <a16:creationId xmlns:a16="http://schemas.microsoft.com/office/drawing/2014/main" id="{405B8C55-702F-42F8-B4CF-8D31C9504D1E}"/>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artisticPhotocopy/>
                  </a14:imgEffect>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9437338" y="2870251"/>
          <a:ext cx="603770" cy="647193"/>
        </a:xfrm>
        <a:prstGeom prst="rect">
          <a:avLst/>
        </a:prstGeom>
      </xdr:spPr>
    </xdr:pic>
    <xdr:clientData/>
  </xdr:twoCellAnchor>
  <xdr:twoCellAnchor editAs="absolute">
    <xdr:from>
      <xdr:col>6</xdr:col>
      <xdr:colOff>477268</xdr:colOff>
      <xdr:row>10</xdr:row>
      <xdr:rowOff>9525</xdr:rowOff>
    </xdr:from>
    <xdr:to>
      <xdr:col>9</xdr:col>
      <xdr:colOff>594360</xdr:colOff>
      <xdr:row>12</xdr:row>
      <xdr:rowOff>138507</xdr:rowOff>
    </xdr:to>
    <xdr:sp macro="" textlink="">
      <xdr:nvSpPr>
        <xdr:cNvPr id="30" name="TextBox 29">
          <a:extLst>
            <a:ext uri="{FF2B5EF4-FFF2-40B4-BE49-F238E27FC236}">
              <a16:creationId xmlns:a16="http://schemas.microsoft.com/office/drawing/2014/main" id="{3FCC56C3-931B-4F9A-979C-CADDB4294BD6}"/>
            </a:ext>
          </a:extLst>
        </xdr:cNvPr>
        <xdr:cNvSpPr txBox="1"/>
      </xdr:nvSpPr>
      <xdr:spPr>
        <a:xfrm>
          <a:off x="5306443" y="2124075"/>
          <a:ext cx="3622292" cy="4909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1400" b="1" cap="none" spc="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EURO</a:t>
          </a:r>
          <a:r>
            <a:rPr lang="it-IT" sz="1800" b="1" cap="none" spc="0" baseline="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 </a:t>
          </a:r>
          <a:r>
            <a:rPr lang="it-IT" sz="2000" b="1" cap="none" spc="0" baseline="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ORE </a:t>
          </a:r>
          <a:r>
            <a:rPr lang="it-IT" sz="1800" b="1" cap="none" spc="0" baseline="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(Actual)</a:t>
          </a:r>
          <a:endParaRPr lang="it-IT" sz="1800" b="1" cap="none" spc="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endParaRPr>
        </a:p>
      </xdr:txBody>
    </xdr:sp>
    <xdr:clientData/>
  </xdr:twoCellAnchor>
  <xdr:twoCellAnchor editAs="absolute">
    <xdr:from>
      <xdr:col>10</xdr:col>
      <xdr:colOff>395035</xdr:colOff>
      <xdr:row>10</xdr:row>
      <xdr:rowOff>9525</xdr:rowOff>
    </xdr:from>
    <xdr:to>
      <xdr:col>15</xdr:col>
      <xdr:colOff>346654</xdr:colOff>
      <xdr:row>12</xdr:row>
      <xdr:rowOff>108026</xdr:rowOff>
    </xdr:to>
    <xdr:sp macro="" textlink="">
      <xdr:nvSpPr>
        <xdr:cNvPr id="31" name="TextBox 30">
          <a:extLst>
            <a:ext uri="{FF2B5EF4-FFF2-40B4-BE49-F238E27FC236}">
              <a16:creationId xmlns:a16="http://schemas.microsoft.com/office/drawing/2014/main" id="{46888268-B3C0-45D8-8C25-F9CAD836EF79}"/>
            </a:ext>
          </a:extLst>
        </xdr:cNvPr>
        <xdr:cNvSpPr txBox="1"/>
      </xdr:nvSpPr>
      <xdr:spPr>
        <a:xfrm>
          <a:off x="9329485" y="2124075"/>
          <a:ext cx="3847344" cy="460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1400" b="1" cap="none" spc="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EURO</a:t>
          </a:r>
          <a:r>
            <a:rPr lang="it-IT" sz="1800" b="1" cap="none" spc="0" baseline="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 </a:t>
          </a:r>
          <a:r>
            <a:rPr lang="it-IT" sz="2000" b="1" cap="none" spc="0" baseline="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LUMP </a:t>
          </a:r>
          <a:r>
            <a:rPr lang="it-IT" sz="1800" b="1" cap="none" spc="0" baseline="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(Actual)</a:t>
          </a:r>
          <a:endParaRPr lang="it-IT" sz="1800" b="1" cap="none" spc="0">
            <a:ln w="12700">
              <a:solidFill>
                <a:schemeClr val="accent1">
                  <a:lumMod val="75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endParaRPr>
        </a:p>
      </xdr:txBody>
    </xdr:sp>
    <xdr:clientData/>
  </xdr:twoCellAnchor>
  <xdr:twoCellAnchor editAs="absolute">
    <xdr:from>
      <xdr:col>0</xdr:col>
      <xdr:colOff>626747</xdr:colOff>
      <xdr:row>10</xdr:row>
      <xdr:rowOff>32541</xdr:rowOff>
    </xdr:from>
    <xdr:to>
      <xdr:col>4</xdr:col>
      <xdr:colOff>563162</xdr:colOff>
      <xdr:row>12</xdr:row>
      <xdr:rowOff>85322</xdr:rowOff>
    </xdr:to>
    <xdr:sp macro="" textlink="">
      <xdr:nvSpPr>
        <xdr:cNvPr id="32" name="TextBox 31">
          <a:extLst>
            <a:ext uri="{FF2B5EF4-FFF2-40B4-BE49-F238E27FC236}">
              <a16:creationId xmlns:a16="http://schemas.microsoft.com/office/drawing/2014/main" id="{37D590E0-547E-4615-9E59-AABB1043DB7C}"/>
            </a:ext>
          </a:extLst>
        </xdr:cNvPr>
        <xdr:cNvSpPr txBox="1"/>
      </xdr:nvSpPr>
      <xdr:spPr>
        <a:xfrm>
          <a:off x="626747" y="2147091"/>
          <a:ext cx="3584490" cy="4147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it-IT" sz="2000" b="1" cap="none" spc="0">
              <a:ln w="12700">
                <a:solidFill>
                  <a:schemeClr val="accent3">
                    <a:lumMod val="50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ORE </a:t>
          </a:r>
          <a:r>
            <a:rPr lang="it-IT" sz="1800" b="1" cap="none" spc="0">
              <a:ln w="12700">
                <a:solidFill>
                  <a:schemeClr val="accent3">
                    <a:lumMod val="50000"/>
                  </a:schemeClr>
                </a:solidFill>
                <a:prstDash val="solid"/>
              </a:ln>
              <a:solidFill>
                <a:schemeClr val="bg2">
                  <a:tint val="85000"/>
                  <a:satMod val="155000"/>
                </a:schemeClr>
              </a:solidFill>
              <a:effectLst>
                <a:outerShdw blurRad="41275" dist="20320" dir="1800000" algn="tl" rotWithShape="0">
                  <a:srgbClr val="000000">
                    <a:alpha val="40000"/>
                  </a:srgbClr>
                </a:outerShdw>
              </a:effectLst>
              <a:latin typeface="Century Gothic" panose="020B0502020202020204" pitchFamily="34" charset="0"/>
            </a:rPr>
            <a:t>(Actual)</a:t>
          </a:r>
        </a:p>
      </xdr:txBody>
    </xdr:sp>
    <xdr:clientData/>
  </xdr:twoCellAnchor>
  <xdr:twoCellAnchor editAs="absolute">
    <xdr:from>
      <xdr:col>6</xdr:col>
      <xdr:colOff>256288</xdr:colOff>
      <xdr:row>12</xdr:row>
      <xdr:rowOff>40574</xdr:rowOff>
    </xdr:from>
    <xdr:to>
      <xdr:col>16</xdr:col>
      <xdr:colOff>7776</xdr:colOff>
      <xdr:row>30</xdr:row>
      <xdr:rowOff>128627</xdr:rowOff>
    </xdr:to>
    <xdr:sp macro="" textlink="">
      <xdr:nvSpPr>
        <xdr:cNvPr id="33" name="Rectangle 32">
          <a:extLst>
            <a:ext uri="{FF2B5EF4-FFF2-40B4-BE49-F238E27FC236}">
              <a16:creationId xmlns:a16="http://schemas.microsoft.com/office/drawing/2014/main" id="{FB53866A-AA64-4C71-B061-A5CEECD3E2C2}"/>
            </a:ext>
          </a:extLst>
        </xdr:cNvPr>
        <xdr:cNvSpPr/>
      </xdr:nvSpPr>
      <xdr:spPr>
        <a:xfrm>
          <a:off x="5085463" y="2517074"/>
          <a:ext cx="8552588" cy="3517053"/>
        </a:xfrm>
        <a:prstGeom prst="rect">
          <a:avLst/>
        </a:prstGeom>
        <a:noFill/>
        <a:ln w="19050">
          <a:prstDash val="solid"/>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editAs="absolute">
    <xdr:from>
      <xdr:col>0</xdr:col>
      <xdr:colOff>495300</xdr:colOff>
      <xdr:row>12</xdr:row>
      <xdr:rowOff>45978</xdr:rowOff>
    </xdr:from>
    <xdr:to>
      <xdr:col>5</xdr:col>
      <xdr:colOff>141664</xdr:colOff>
      <xdr:row>30</xdr:row>
      <xdr:rowOff>152659</xdr:rowOff>
    </xdr:to>
    <xdr:sp macro="" textlink="">
      <xdr:nvSpPr>
        <xdr:cNvPr id="34" name="Rectangle 33">
          <a:extLst>
            <a:ext uri="{FF2B5EF4-FFF2-40B4-BE49-F238E27FC236}">
              <a16:creationId xmlns:a16="http://schemas.microsoft.com/office/drawing/2014/main" id="{9A0AEDB5-4476-4611-8E7B-1D8FF9BDD06B}"/>
            </a:ext>
          </a:extLst>
        </xdr:cNvPr>
        <xdr:cNvSpPr/>
      </xdr:nvSpPr>
      <xdr:spPr>
        <a:xfrm>
          <a:off x="495300" y="2522478"/>
          <a:ext cx="3884989" cy="3535681"/>
        </a:xfrm>
        <a:prstGeom prst="rect">
          <a:avLst/>
        </a:prstGeom>
        <a:noFill/>
        <a:ln w="19050">
          <a:solidFill>
            <a:schemeClr val="accent3"/>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editAs="absolute">
    <xdr:from>
      <xdr:col>6</xdr:col>
      <xdr:colOff>524893</xdr:colOff>
      <xdr:row>25</xdr:row>
      <xdr:rowOff>119458</xdr:rowOff>
    </xdr:from>
    <xdr:to>
      <xdr:col>8</xdr:col>
      <xdr:colOff>492825</xdr:colOff>
      <xdr:row>26</xdr:row>
      <xdr:rowOff>152578</xdr:rowOff>
    </xdr:to>
    <xdr:sp macro="" textlink="">
      <xdr:nvSpPr>
        <xdr:cNvPr id="35" name="Rectangle 34">
          <a:extLst>
            <a:ext uri="{FF2B5EF4-FFF2-40B4-BE49-F238E27FC236}">
              <a16:creationId xmlns:a16="http://schemas.microsoft.com/office/drawing/2014/main" id="{656FDAA3-E712-47C1-8B39-1E3597044CD6}"/>
            </a:ext>
          </a:extLst>
        </xdr:cNvPr>
        <xdr:cNvSpPr/>
      </xdr:nvSpPr>
      <xdr:spPr>
        <a:xfrm>
          <a:off x="5354068" y="5072458"/>
          <a:ext cx="1358582" cy="223620"/>
        </a:xfrm>
        <a:prstGeom prst="rect">
          <a:avLst/>
        </a:prstGeom>
        <a:solidFill>
          <a:schemeClr val="accent1">
            <a:lumMod val="20000"/>
            <a:lumOff val="80000"/>
          </a:schemeClr>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sz="900" b="1">
              <a:solidFill>
                <a:schemeClr val="tx2">
                  <a:lumMod val="50000"/>
                </a:schemeClr>
              </a:solidFill>
              <a:latin typeface="Corbel" panose="020B0503020204020204" pitchFamily="34" charset="0"/>
            </a:rPr>
            <a:t>EURO ORE Consumate</a:t>
          </a:r>
        </a:p>
      </xdr:txBody>
    </xdr:sp>
    <xdr:clientData/>
  </xdr:twoCellAnchor>
  <xdr:twoCellAnchor editAs="absolute">
    <xdr:from>
      <xdr:col>8</xdr:col>
      <xdr:colOff>490921</xdr:colOff>
      <xdr:row>25</xdr:row>
      <xdr:rowOff>119458</xdr:rowOff>
    </xdr:from>
    <xdr:to>
      <xdr:col>10</xdr:col>
      <xdr:colOff>27409</xdr:colOff>
      <xdr:row>26</xdr:row>
      <xdr:rowOff>152578</xdr:rowOff>
    </xdr:to>
    <xdr:sp macro="" textlink="">
      <xdr:nvSpPr>
        <xdr:cNvPr id="36" name="Rectangle 35">
          <a:extLst>
            <a:ext uri="{FF2B5EF4-FFF2-40B4-BE49-F238E27FC236}">
              <a16:creationId xmlns:a16="http://schemas.microsoft.com/office/drawing/2014/main" id="{FFD2ADA0-2B57-4ACA-BA43-65749ADF70C5}"/>
            </a:ext>
          </a:extLst>
        </xdr:cNvPr>
        <xdr:cNvSpPr/>
      </xdr:nvSpPr>
      <xdr:spPr>
        <a:xfrm>
          <a:off x="6710746" y="5072458"/>
          <a:ext cx="2251113" cy="223620"/>
        </a:xfrm>
        <a:prstGeom prst="rect">
          <a:avLst/>
        </a:prstGeom>
        <a:solidFill>
          <a:sysClr val="window" lastClr="FFFFFF"/>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sz="1000" b="1">
              <a:solidFill>
                <a:schemeClr val="tx2">
                  <a:lumMod val="50000"/>
                </a:schemeClr>
              </a:solidFill>
              <a:latin typeface="Corbel" panose="020B0503020204020204" pitchFamily="34" charset="0"/>
            </a:rPr>
            <a:t>Rispetto all'allocato </a:t>
          </a:r>
          <a:r>
            <a:rPr lang="it-IT" sz="1000" b="1" baseline="0">
              <a:solidFill>
                <a:schemeClr val="tx2">
                  <a:lumMod val="50000"/>
                </a:schemeClr>
              </a:solidFill>
              <a:latin typeface="Corbel" panose="020B0503020204020204" pitchFamily="34" charset="0"/>
            </a:rPr>
            <a:t>hai speso il:</a:t>
          </a:r>
          <a:endParaRPr lang="it-IT" sz="1000" b="1">
            <a:solidFill>
              <a:schemeClr val="tx2">
                <a:lumMod val="50000"/>
              </a:schemeClr>
            </a:solidFill>
            <a:latin typeface="Corbel" panose="020B0503020204020204" pitchFamily="34" charset="0"/>
          </a:endParaRPr>
        </a:p>
      </xdr:txBody>
    </xdr:sp>
    <xdr:clientData/>
  </xdr:twoCellAnchor>
  <xdr:twoCellAnchor editAs="absolute">
    <xdr:from>
      <xdr:col>0</xdr:col>
      <xdr:colOff>685801</xdr:colOff>
      <xdr:row>25</xdr:row>
      <xdr:rowOff>89134</xdr:rowOff>
    </xdr:from>
    <xdr:to>
      <xdr:col>1</xdr:col>
      <xdr:colOff>62095</xdr:colOff>
      <xdr:row>26</xdr:row>
      <xdr:rowOff>122254</xdr:rowOff>
    </xdr:to>
    <xdr:sp macro="" textlink="">
      <xdr:nvSpPr>
        <xdr:cNvPr id="37" name="Rectangle 36">
          <a:extLst>
            <a:ext uri="{FF2B5EF4-FFF2-40B4-BE49-F238E27FC236}">
              <a16:creationId xmlns:a16="http://schemas.microsoft.com/office/drawing/2014/main" id="{FAD2436D-EB9D-4279-AF3A-FF40015AF83A}"/>
            </a:ext>
          </a:extLst>
        </xdr:cNvPr>
        <xdr:cNvSpPr/>
      </xdr:nvSpPr>
      <xdr:spPr>
        <a:xfrm>
          <a:off x="685801" y="5042134"/>
          <a:ext cx="1386069" cy="223620"/>
        </a:xfrm>
        <a:prstGeom prst="rect">
          <a:avLst/>
        </a:prstGeom>
        <a:solidFill>
          <a:schemeClr val="accent3">
            <a:lumMod val="20000"/>
            <a:lumOff val="80000"/>
          </a:schemeClr>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sz="900" b="1">
              <a:solidFill>
                <a:schemeClr val="tx1"/>
              </a:solidFill>
              <a:latin typeface="Corbel" panose="020B0503020204020204" pitchFamily="34" charset="0"/>
            </a:rPr>
            <a:t>OREConsumate</a:t>
          </a:r>
        </a:p>
      </xdr:txBody>
    </xdr:sp>
    <xdr:clientData/>
  </xdr:twoCellAnchor>
  <xdr:twoCellAnchor editAs="absolute">
    <xdr:from>
      <xdr:col>1</xdr:col>
      <xdr:colOff>64000</xdr:colOff>
      <xdr:row>25</xdr:row>
      <xdr:rowOff>89134</xdr:rowOff>
    </xdr:from>
    <xdr:to>
      <xdr:col>5</xdr:col>
      <xdr:colOff>3090</xdr:colOff>
      <xdr:row>26</xdr:row>
      <xdr:rowOff>122254</xdr:rowOff>
    </xdr:to>
    <xdr:sp macro="" textlink="">
      <xdr:nvSpPr>
        <xdr:cNvPr id="38" name="Rectangle 37">
          <a:extLst>
            <a:ext uri="{FF2B5EF4-FFF2-40B4-BE49-F238E27FC236}">
              <a16:creationId xmlns:a16="http://schemas.microsoft.com/office/drawing/2014/main" id="{AA941666-FA7A-4BF7-A734-864DFD62C7C9}"/>
            </a:ext>
          </a:extLst>
        </xdr:cNvPr>
        <xdr:cNvSpPr/>
      </xdr:nvSpPr>
      <xdr:spPr>
        <a:xfrm>
          <a:off x="2073775" y="5042134"/>
          <a:ext cx="2167940" cy="223620"/>
        </a:xfrm>
        <a:prstGeom prst="rect">
          <a:avLst/>
        </a:prstGeom>
        <a:solidFill>
          <a:sysClr val="window" lastClr="FFFFFF"/>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sz="1000" b="1">
              <a:solidFill>
                <a:sysClr val="windowText" lastClr="000000"/>
              </a:solidFill>
              <a:latin typeface="Corbel" panose="020B0503020204020204" pitchFamily="34" charset="0"/>
            </a:rPr>
            <a:t>Rispetto all'allocato</a:t>
          </a:r>
          <a:r>
            <a:rPr lang="it-IT" sz="1000" b="1" baseline="0">
              <a:solidFill>
                <a:sysClr val="windowText" lastClr="000000"/>
              </a:solidFill>
              <a:latin typeface="Corbel" panose="020B0503020204020204" pitchFamily="34" charset="0"/>
            </a:rPr>
            <a:t> hai speso il:</a:t>
          </a:r>
          <a:endParaRPr lang="it-IT" sz="1000" b="1">
            <a:solidFill>
              <a:sysClr val="windowText" lastClr="000000"/>
            </a:solidFill>
            <a:latin typeface="Corbel" panose="020B0503020204020204" pitchFamily="34" charset="0"/>
          </a:endParaRPr>
        </a:p>
      </xdr:txBody>
    </xdr:sp>
    <xdr:clientData/>
  </xdr:twoCellAnchor>
  <xdr:twoCellAnchor editAs="absolute">
    <xdr:from>
      <xdr:col>6</xdr:col>
      <xdr:colOff>515368</xdr:colOff>
      <xdr:row>27</xdr:row>
      <xdr:rowOff>12856</xdr:rowOff>
    </xdr:from>
    <xdr:to>
      <xdr:col>8</xdr:col>
      <xdr:colOff>492824</xdr:colOff>
      <xdr:row>29</xdr:row>
      <xdr:rowOff>56353</xdr:rowOff>
    </xdr:to>
    <xdr:sp macro="" textlink="$K$10">
      <xdr:nvSpPr>
        <xdr:cNvPr id="39" name="Rectangle 38">
          <a:extLst>
            <a:ext uri="{FF2B5EF4-FFF2-40B4-BE49-F238E27FC236}">
              <a16:creationId xmlns:a16="http://schemas.microsoft.com/office/drawing/2014/main" id="{AE951A2F-285C-4729-8742-0CFCDACAB2A9}"/>
            </a:ext>
          </a:extLst>
        </xdr:cNvPr>
        <xdr:cNvSpPr/>
      </xdr:nvSpPr>
      <xdr:spPr>
        <a:xfrm>
          <a:off x="5344543" y="5346856"/>
          <a:ext cx="1368106" cy="424497"/>
        </a:xfrm>
        <a:prstGeom prst="rect">
          <a:avLst/>
        </a:prstGeom>
        <a:solidFill>
          <a:schemeClr val="accent1">
            <a:lumMod val="20000"/>
            <a:lumOff val="80000"/>
          </a:schemeClr>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FE6A20D-BAFE-4C69-8E0E-E1F719848E02}" type="TxLink">
            <a:rPr lang="en-US" sz="1800" b="1" i="0" u="none" strike="noStrike">
              <a:solidFill>
                <a:srgbClr val="1F497D"/>
              </a:solidFill>
              <a:latin typeface="Calibri"/>
              <a:cs typeface="Calibri"/>
            </a:rPr>
            <a:pPr algn="ctr"/>
            <a:t>€ 802</a:t>
          </a:fld>
          <a:endParaRPr lang="it-IT" sz="4000" b="1">
            <a:solidFill>
              <a:schemeClr val="tx2">
                <a:lumMod val="50000"/>
              </a:schemeClr>
            </a:solidFill>
          </a:endParaRPr>
        </a:p>
      </xdr:txBody>
    </xdr:sp>
    <xdr:clientData/>
  </xdr:twoCellAnchor>
  <xdr:twoCellAnchor editAs="absolute">
    <xdr:from>
      <xdr:col>8</xdr:col>
      <xdr:colOff>492824</xdr:colOff>
      <xdr:row>27</xdr:row>
      <xdr:rowOff>12856</xdr:rowOff>
    </xdr:from>
    <xdr:to>
      <xdr:col>10</xdr:col>
      <xdr:colOff>19633</xdr:colOff>
      <xdr:row>29</xdr:row>
      <xdr:rowOff>56353</xdr:rowOff>
    </xdr:to>
    <xdr:sp macro="" textlink="$B$81">
      <xdr:nvSpPr>
        <xdr:cNvPr id="40" name="Rectangle 39">
          <a:extLst>
            <a:ext uri="{FF2B5EF4-FFF2-40B4-BE49-F238E27FC236}">
              <a16:creationId xmlns:a16="http://schemas.microsoft.com/office/drawing/2014/main" id="{0A0E5468-CFFB-478A-ABB7-CADFA91E5FF0}"/>
            </a:ext>
          </a:extLst>
        </xdr:cNvPr>
        <xdr:cNvSpPr/>
      </xdr:nvSpPr>
      <xdr:spPr>
        <a:xfrm>
          <a:off x="6712649" y="5346856"/>
          <a:ext cx="2241434" cy="424497"/>
        </a:xfrm>
        <a:prstGeom prst="rect">
          <a:avLst/>
        </a:prstGeom>
        <a:solidFill>
          <a:sysClr val="window" lastClr="FFFFFF"/>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193031-792E-481A-B3D0-E3B7A6F81A48}" type="TxLink">
            <a:rPr lang="en-US" sz="2000" b="0" i="0" u="none" strike="noStrike">
              <a:solidFill>
                <a:srgbClr val="000000"/>
              </a:solidFill>
              <a:latin typeface="Century Gothic" panose="020B0502020202020204" pitchFamily="34" charset="0"/>
              <a:cs typeface="Calibri"/>
            </a:rPr>
            <a:pPr algn="ctr"/>
            <a:t>3,6%</a:t>
          </a:fld>
          <a:endParaRPr lang="it-IT" sz="4000">
            <a:solidFill>
              <a:schemeClr val="tx2">
                <a:lumMod val="50000"/>
              </a:schemeClr>
            </a:solidFill>
            <a:latin typeface="Century Gothic" panose="020B0502020202020204" pitchFamily="34" charset="0"/>
          </a:endParaRPr>
        </a:p>
      </xdr:txBody>
    </xdr:sp>
    <xdr:clientData/>
  </xdr:twoCellAnchor>
  <xdr:twoCellAnchor editAs="absolute">
    <xdr:from>
      <xdr:col>10</xdr:col>
      <xdr:colOff>490434</xdr:colOff>
      <xdr:row>27</xdr:row>
      <xdr:rowOff>12856</xdr:rowOff>
    </xdr:from>
    <xdr:to>
      <xdr:col>12</xdr:col>
      <xdr:colOff>312560</xdr:colOff>
      <xdr:row>29</xdr:row>
      <xdr:rowOff>56353</xdr:rowOff>
    </xdr:to>
    <xdr:sp macro="" textlink="$L$10">
      <xdr:nvSpPr>
        <xdr:cNvPr id="41" name="Rectangle 40">
          <a:extLst>
            <a:ext uri="{FF2B5EF4-FFF2-40B4-BE49-F238E27FC236}">
              <a16:creationId xmlns:a16="http://schemas.microsoft.com/office/drawing/2014/main" id="{59CF39B4-738D-4AFE-BDD1-F99452687DC6}"/>
            </a:ext>
          </a:extLst>
        </xdr:cNvPr>
        <xdr:cNvSpPr/>
      </xdr:nvSpPr>
      <xdr:spPr>
        <a:xfrm>
          <a:off x="9424884" y="5346856"/>
          <a:ext cx="1403276" cy="424497"/>
        </a:xfrm>
        <a:prstGeom prst="rect">
          <a:avLst/>
        </a:prstGeom>
        <a:solidFill>
          <a:schemeClr val="accent1">
            <a:lumMod val="20000"/>
            <a:lumOff val="80000"/>
          </a:schemeClr>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48D81E6-8BA8-4F1C-93AE-2726CC55A6D7}" type="TxLink">
            <a:rPr lang="en-US" sz="1800" b="1" i="0" u="none" strike="noStrike">
              <a:solidFill>
                <a:srgbClr val="1F497D"/>
              </a:solidFill>
              <a:latin typeface="Calibri"/>
              <a:cs typeface="Calibri"/>
            </a:rPr>
            <a:pPr algn="ctr"/>
            <a:t>€ 13</a:t>
          </a:fld>
          <a:endParaRPr lang="it-IT" sz="6600" b="1">
            <a:solidFill>
              <a:schemeClr val="tx2">
                <a:lumMod val="50000"/>
              </a:schemeClr>
            </a:solidFill>
            <a:latin typeface="+mn-lt"/>
          </a:endParaRPr>
        </a:p>
      </xdr:txBody>
    </xdr:sp>
    <xdr:clientData/>
  </xdr:twoCellAnchor>
  <xdr:twoCellAnchor editAs="absolute">
    <xdr:from>
      <xdr:col>12</xdr:col>
      <xdr:colOff>312589</xdr:colOff>
      <xdr:row>27</xdr:row>
      <xdr:rowOff>12856</xdr:rowOff>
    </xdr:from>
    <xdr:to>
      <xdr:col>15</xdr:col>
      <xdr:colOff>345409</xdr:colOff>
      <xdr:row>29</xdr:row>
      <xdr:rowOff>56353</xdr:rowOff>
    </xdr:to>
    <xdr:sp macro="" textlink="$C$81">
      <xdr:nvSpPr>
        <xdr:cNvPr id="42" name="Rectangle 41">
          <a:extLst>
            <a:ext uri="{FF2B5EF4-FFF2-40B4-BE49-F238E27FC236}">
              <a16:creationId xmlns:a16="http://schemas.microsoft.com/office/drawing/2014/main" id="{B3CA407E-1EC1-4A8E-ADDB-AF67A731384F}"/>
            </a:ext>
          </a:extLst>
        </xdr:cNvPr>
        <xdr:cNvSpPr/>
      </xdr:nvSpPr>
      <xdr:spPr>
        <a:xfrm>
          <a:off x="10828189" y="5346856"/>
          <a:ext cx="2347395" cy="424497"/>
        </a:xfrm>
        <a:prstGeom prst="rect">
          <a:avLst/>
        </a:prstGeom>
        <a:solidFill>
          <a:sysClr val="window" lastClr="FFFFFF"/>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A5405D7-C8C5-4A28-80E6-2A6B8C46DA72}" type="TxLink">
            <a:rPr lang="en-US" sz="2000" b="0" i="0" u="none" strike="noStrike">
              <a:solidFill>
                <a:srgbClr val="000000"/>
              </a:solidFill>
              <a:latin typeface="Century Gothic" panose="020B0502020202020204" pitchFamily="34" charset="0"/>
              <a:cs typeface="Calibri"/>
            </a:rPr>
            <a:pPr algn="ctr"/>
            <a:t>0,0%</a:t>
          </a:fld>
          <a:endParaRPr lang="it-IT" sz="8800">
            <a:solidFill>
              <a:schemeClr val="tx2">
                <a:lumMod val="50000"/>
              </a:schemeClr>
            </a:solidFill>
            <a:latin typeface="Century Gothic" panose="020B0502020202020204" pitchFamily="34" charset="0"/>
          </a:endParaRPr>
        </a:p>
      </xdr:txBody>
    </xdr:sp>
    <xdr:clientData/>
  </xdr:twoCellAnchor>
  <xdr:twoCellAnchor editAs="absolute">
    <xdr:from>
      <xdr:col>0</xdr:col>
      <xdr:colOff>691515</xdr:colOff>
      <xdr:row>26</xdr:row>
      <xdr:rowOff>173032</xdr:rowOff>
    </xdr:from>
    <xdr:to>
      <xdr:col>1</xdr:col>
      <xdr:colOff>65904</xdr:colOff>
      <xdr:row>29</xdr:row>
      <xdr:rowOff>26029</xdr:rowOff>
    </xdr:to>
    <xdr:sp macro="" textlink="$J$10">
      <xdr:nvSpPr>
        <xdr:cNvPr id="43" name="Rectangle 42">
          <a:extLst>
            <a:ext uri="{FF2B5EF4-FFF2-40B4-BE49-F238E27FC236}">
              <a16:creationId xmlns:a16="http://schemas.microsoft.com/office/drawing/2014/main" id="{845724AF-1F0B-4196-AF74-BC13D9FDD87E}"/>
            </a:ext>
          </a:extLst>
        </xdr:cNvPr>
        <xdr:cNvSpPr/>
      </xdr:nvSpPr>
      <xdr:spPr>
        <a:xfrm>
          <a:off x="691515" y="5316532"/>
          <a:ext cx="1384164" cy="424497"/>
        </a:xfrm>
        <a:prstGeom prst="rect">
          <a:avLst/>
        </a:prstGeom>
        <a:solidFill>
          <a:schemeClr val="accent3">
            <a:lumMod val="20000"/>
            <a:lumOff val="80000"/>
          </a:schemeClr>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BACD8AF-865C-4D4D-8356-937EBC8E67E8}" type="TxLink">
            <a:rPr lang="en-US" sz="1800" b="1" i="0" u="none" strike="noStrike">
              <a:solidFill>
                <a:srgbClr val="4F6228"/>
              </a:solidFill>
              <a:latin typeface="Calibri"/>
              <a:cs typeface="Calibri"/>
            </a:rPr>
            <a:pPr algn="ctr"/>
            <a:t>447</a:t>
          </a:fld>
          <a:endParaRPr lang="it-IT" sz="11500" i="0">
            <a:latin typeface="+mn-lt"/>
          </a:endParaRPr>
        </a:p>
      </xdr:txBody>
    </xdr:sp>
    <xdr:clientData/>
  </xdr:twoCellAnchor>
  <xdr:twoCellAnchor editAs="absolute">
    <xdr:from>
      <xdr:col>1</xdr:col>
      <xdr:colOff>65905</xdr:colOff>
      <xdr:row>26</xdr:row>
      <xdr:rowOff>173032</xdr:rowOff>
    </xdr:from>
    <xdr:to>
      <xdr:col>5</xdr:col>
      <xdr:colOff>10709</xdr:colOff>
      <xdr:row>29</xdr:row>
      <xdr:rowOff>26029</xdr:rowOff>
    </xdr:to>
    <xdr:sp macro="" textlink="$A$81">
      <xdr:nvSpPr>
        <xdr:cNvPr id="44" name="Rectangle 43">
          <a:extLst>
            <a:ext uri="{FF2B5EF4-FFF2-40B4-BE49-F238E27FC236}">
              <a16:creationId xmlns:a16="http://schemas.microsoft.com/office/drawing/2014/main" id="{432EB3EB-260F-474B-9FCA-678EFB48B44A}"/>
            </a:ext>
          </a:extLst>
        </xdr:cNvPr>
        <xdr:cNvSpPr/>
      </xdr:nvSpPr>
      <xdr:spPr>
        <a:xfrm>
          <a:off x="2075680" y="5316532"/>
          <a:ext cx="2173654" cy="424497"/>
        </a:xfrm>
        <a:prstGeom prst="rect">
          <a:avLst/>
        </a:prstGeom>
        <a:solidFill>
          <a:sysClr val="window" lastClr="FFFFFF"/>
        </a:solidFill>
        <a:ln w="3175">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CD9D887-269A-4156-A65E-58F49F8AD0B1}" type="TxLink">
            <a:rPr lang="en-US" sz="2000" b="0" i="0" u="none" strike="noStrike">
              <a:solidFill>
                <a:srgbClr val="000000"/>
              </a:solidFill>
              <a:latin typeface="Century Gothic" panose="020B0502020202020204" pitchFamily="34" charset="0"/>
              <a:cs typeface="Calibri"/>
            </a:rPr>
            <a:pPr algn="ctr"/>
            <a:t>3,2%</a:t>
          </a:fld>
          <a:endParaRPr lang="it-IT" sz="28700">
            <a:solidFill>
              <a:schemeClr val="accent3">
                <a:lumMod val="50000"/>
              </a:schemeClr>
            </a:solidFill>
            <a:latin typeface="Century Gothic" panose="020B0502020202020204" pitchFamily="34" charset="0"/>
          </a:endParaRPr>
        </a:p>
      </xdr:txBody>
    </xdr:sp>
    <xdr:clientData/>
  </xdr:twoCellAnchor>
  <xdr:twoCellAnchor editAs="absolute">
    <xdr:from>
      <xdr:col>0</xdr:col>
      <xdr:colOff>675108</xdr:colOff>
      <xdr:row>12</xdr:row>
      <xdr:rowOff>173031</xdr:rowOff>
    </xdr:from>
    <xdr:to>
      <xdr:col>4</xdr:col>
      <xdr:colOff>575602</xdr:colOff>
      <xdr:row>25</xdr:row>
      <xdr:rowOff>9123</xdr:rowOff>
    </xdr:to>
    <xdr:graphicFrame macro="">
      <xdr:nvGraphicFramePr>
        <xdr:cNvPr id="45" name="Chart 44">
          <a:extLst>
            <a:ext uri="{FF2B5EF4-FFF2-40B4-BE49-F238E27FC236}">
              <a16:creationId xmlns:a16="http://schemas.microsoft.com/office/drawing/2014/main" id="{F421E831-306D-4263-B538-406759537088}"/>
            </a:ext>
            <a:ext uri="{147F2762-F138-4A5C-976F-8EAC2B608ADB}">
              <a16:predDERef xmlns:a16="http://schemas.microsoft.com/office/drawing/2014/main" pred="{00000000-0008-0000-0A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6</xdr:col>
      <xdr:colOff>500128</xdr:colOff>
      <xdr:row>12</xdr:row>
      <xdr:rowOff>180495</xdr:rowOff>
    </xdr:from>
    <xdr:to>
      <xdr:col>10</xdr:col>
      <xdr:colOff>9525</xdr:colOff>
      <xdr:row>25</xdr:row>
      <xdr:rowOff>29948</xdr:rowOff>
    </xdr:to>
    <xdr:graphicFrame macro="">
      <xdr:nvGraphicFramePr>
        <xdr:cNvPr id="46" name="Chart 45">
          <a:extLst>
            <a:ext uri="{FF2B5EF4-FFF2-40B4-BE49-F238E27FC236}">
              <a16:creationId xmlns:a16="http://schemas.microsoft.com/office/drawing/2014/main" id="{EF0BE813-7E43-4D99-83D2-30E759A88C14}"/>
            </a:ext>
            <a:ext uri="{147F2762-F138-4A5C-976F-8EAC2B608ADB}">
              <a16:predDERef xmlns:a16="http://schemas.microsoft.com/office/drawing/2014/main" pred="{00000000-0008-0000-0A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10</xdr:col>
      <xdr:colOff>478233</xdr:colOff>
      <xdr:row>13</xdr:row>
      <xdr:rowOff>5235</xdr:rowOff>
    </xdr:from>
    <xdr:to>
      <xdr:col>15</xdr:col>
      <xdr:colOff>333319</xdr:colOff>
      <xdr:row>25</xdr:row>
      <xdr:rowOff>45188</xdr:rowOff>
    </xdr:to>
    <xdr:graphicFrame macro="">
      <xdr:nvGraphicFramePr>
        <xdr:cNvPr id="47" name="Chart 46">
          <a:extLst>
            <a:ext uri="{FF2B5EF4-FFF2-40B4-BE49-F238E27FC236}">
              <a16:creationId xmlns:a16="http://schemas.microsoft.com/office/drawing/2014/main" id="{05D8671E-6CAE-4E73-8751-E56C63F28A1A}"/>
            </a:ext>
            <a:ext uri="{147F2762-F138-4A5C-976F-8EAC2B608ADB}">
              <a16:predDERef xmlns:a16="http://schemas.microsoft.com/office/drawing/2014/main" pred="{00000000-0008-0000-0A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xdr:col>
      <xdr:colOff>154997</xdr:colOff>
      <xdr:row>5</xdr:row>
      <xdr:rowOff>155863</xdr:rowOff>
    </xdr:from>
    <xdr:to>
      <xdr:col>7</xdr:col>
      <xdr:colOff>602673</xdr:colOff>
      <xdr:row>10</xdr:row>
      <xdr:rowOff>112569</xdr:rowOff>
    </xdr:to>
    <mc:AlternateContent xmlns:mc="http://schemas.openxmlformats.org/markup-compatibility/2006" xmlns:a14="http://schemas.microsoft.com/office/drawing/2010/main">
      <mc:Choice Requires="a14">
        <xdr:graphicFrame macro="">
          <xdr:nvGraphicFramePr>
            <xdr:cNvPr id="49" name="Fornitore . 3">
              <a:extLst>
                <a:ext uri="{FF2B5EF4-FFF2-40B4-BE49-F238E27FC236}">
                  <a16:creationId xmlns:a16="http://schemas.microsoft.com/office/drawing/2014/main" id="{74028E05-FFCF-4C1A-9C48-86E8E08B1B7D}"/>
                </a:ext>
              </a:extLst>
            </xdr:cNvPr>
            <xdr:cNvGraphicFramePr/>
          </xdr:nvGraphicFramePr>
          <xdr:xfrm>
            <a:off x="0" y="0"/>
            <a:ext cx="0" cy="0"/>
          </xdr:xfrm>
          <a:graphic>
            <a:graphicData uri="http://schemas.microsoft.com/office/drawing/2010/slicer">
              <sle:slicer xmlns:sle="http://schemas.microsoft.com/office/drawing/2010/slicer" name="Fornitore . 3"/>
            </a:graphicData>
          </a:graphic>
        </xdr:graphicFrame>
      </mc:Choice>
      <mc:Fallback xmlns="">
        <xdr:sp macro="" textlink="">
          <xdr:nvSpPr>
            <xdr:cNvPr id="0" name=""/>
            <xdr:cNvSpPr>
              <a:spLocks noTextEdit="1"/>
            </xdr:cNvSpPr>
          </xdr:nvSpPr>
          <xdr:spPr>
            <a:xfrm>
              <a:off x="3800474" y="1168977"/>
              <a:ext cx="2214131" cy="1039092"/>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641637</xdr:colOff>
      <xdr:row>5</xdr:row>
      <xdr:rowOff>154997</xdr:rowOff>
    </xdr:from>
    <xdr:to>
      <xdr:col>4</xdr:col>
      <xdr:colOff>103909</xdr:colOff>
      <xdr:row>10</xdr:row>
      <xdr:rowOff>93853</xdr:rowOff>
    </xdr:to>
    <mc:AlternateContent xmlns:mc="http://schemas.openxmlformats.org/markup-compatibility/2006" xmlns:a14="http://schemas.microsoft.com/office/drawing/2010/main">
      <mc:Choice Requires="a14">
        <xdr:graphicFrame macro="">
          <xdr:nvGraphicFramePr>
            <xdr:cNvPr id="50" name="Tipologia 3">
              <a:extLst>
                <a:ext uri="{FF2B5EF4-FFF2-40B4-BE49-F238E27FC236}">
                  <a16:creationId xmlns:a16="http://schemas.microsoft.com/office/drawing/2014/main" id="{74D55741-2054-4B60-9530-BF40B27C7F2E}"/>
                </a:ext>
              </a:extLst>
            </xdr:cNvPr>
            <xdr:cNvGraphicFramePr/>
          </xdr:nvGraphicFramePr>
          <xdr:xfrm>
            <a:off x="0" y="0"/>
            <a:ext cx="0" cy="0"/>
          </xdr:xfrm>
          <a:graphic>
            <a:graphicData uri="http://schemas.microsoft.com/office/drawing/2010/slicer">
              <sle:slicer xmlns:sle="http://schemas.microsoft.com/office/drawing/2010/slicer" name="Tipologia 3"/>
            </a:graphicData>
          </a:graphic>
        </xdr:graphicFrame>
      </mc:Choice>
      <mc:Fallback xmlns="">
        <xdr:sp macro="" textlink="">
          <xdr:nvSpPr>
            <xdr:cNvPr id="0" name=""/>
            <xdr:cNvSpPr>
              <a:spLocks noTextEdit="1"/>
            </xdr:cNvSpPr>
          </xdr:nvSpPr>
          <xdr:spPr>
            <a:xfrm>
              <a:off x="641637" y="1168111"/>
              <a:ext cx="3107749" cy="1021242"/>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647700</xdr:colOff>
      <xdr:row>0</xdr:row>
      <xdr:rowOff>114300</xdr:rowOff>
    </xdr:from>
    <xdr:to>
      <xdr:col>4</xdr:col>
      <xdr:colOff>104775</xdr:colOff>
      <xdr:row>5</xdr:row>
      <xdr:rowOff>123825</xdr:rowOff>
    </xdr:to>
    <mc:AlternateContent xmlns:mc="http://schemas.openxmlformats.org/markup-compatibility/2006" xmlns:a14="http://schemas.microsoft.com/office/drawing/2010/main">
      <mc:Choice Requires="a14">
        <xdr:graphicFrame macro="">
          <xdr:nvGraphicFramePr>
            <xdr:cNvPr id="51" name="Ingegneria di competenza 3">
              <a:extLst>
                <a:ext uri="{FF2B5EF4-FFF2-40B4-BE49-F238E27FC236}">
                  <a16:creationId xmlns:a16="http://schemas.microsoft.com/office/drawing/2014/main" id="{3DB4F3E7-2E60-4879-936D-9DE4B7519024}"/>
                </a:ext>
              </a:extLst>
            </xdr:cNvPr>
            <xdr:cNvGraphicFramePr/>
          </xdr:nvGraphicFramePr>
          <xdr:xfrm>
            <a:off x="0" y="0"/>
            <a:ext cx="0" cy="0"/>
          </xdr:xfrm>
          <a:graphic>
            <a:graphicData uri="http://schemas.microsoft.com/office/drawing/2010/slicer">
              <sle:slicer xmlns:sle="http://schemas.microsoft.com/office/drawing/2010/slicer" name="Ingegneria di competenza 3"/>
            </a:graphicData>
          </a:graphic>
        </xdr:graphicFrame>
      </mc:Choice>
      <mc:Fallback xmlns="">
        <xdr:sp macro="" textlink="">
          <xdr:nvSpPr>
            <xdr:cNvPr id="0" name=""/>
            <xdr:cNvSpPr>
              <a:spLocks noTextEdit="1"/>
            </xdr:cNvSpPr>
          </xdr:nvSpPr>
          <xdr:spPr>
            <a:xfrm>
              <a:off x="647700" y="114300"/>
              <a:ext cx="3102552" cy="1022639"/>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161926</xdr:colOff>
      <xdr:row>0</xdr:row>
      <xdr:rowOff>112568</xdr:rowOff>
    </xdr:from>
    <xdr:to>
      <xdr:col>7</xdr:col>
      <xdr:colOff>588819</xdr:colOff>
      <xdr:row>5</xdr:row>
      <xdr:rowOff>123824</xdr:rowOff>
    </xdr:to>
    <mc:AlternateContent xmlns:mc="http://schemas.openxmlformats.org/markup-compatibility/2006" xmlns:a14="http://schemas.microsoft.com/office/drawing/2010/main">
      <mc:Choice Requires="a14">
        <xdr:graphicFrame macro="">
          <xdr:nvGraphicFramePr>
            <xdr:cNvPr id="52" name="Categoria Fornitore 3">
              <a:extLst>
                <a:ext uri="{FF2B5EF4-FFF2-40B4-BE49-F238E27FC236}">
                  <a16:creationId xmlns:a16="http://schemas.microsoft.com/office/drawing/2014/main" id="{47E854A3-B1CB-4C38-BB5B-A89324F4DAF9}"/>
                </a:ext>
              </a:extLst>
            </xdr:cNvPr>
            <xdr:cNvGraphicFramePr/>
          </xdr:nvGraphicFramePr>
          <xdr:xfrm>
            <a:off x="0" y="0"/>
            <a:ext cx="0" cy="0"/>
          </xdr:xfrm>
          <a:graphic>
            <a:graphicData uri="http://schemas.microsoft.com/office/drawing/2010/slicer">
              <sle:slicer xmlns:sle="http://schemas.microsoft.com/office/drawing/2010/slicer" name="Categoria Fornitore 3"/>
            </a:graphicData>
          </a:graphic>
        </xdr:graphicFrame>
      </mc:Choice>
      <mc:Fallback xmlns="">
        <xdr:sp macro="" textlink="">
          <xdr:nvSpPr>
            <xdr:cNvPr id="0" name=""/>
            <xdr:cNvSpPr>
              <a:spLocks noTextEdit="1"/>
            </xdr:cNvSpPr>
          </xdr:nvSpPr>
          <xdr:spPr>
            <a:xfrm>
              <a:off x="3807403" y="112568"/>
              <a:ext cx="2193348" cy="1024370"/>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c:userShapes xmlns:c="http://schemas.openxmlformats.org/drawingml/2006/chart">
  <cdr:relSizeAnchor xmlns:cdr="http://schemas.openxmlformats.org/drawingml/2006/chartDrawing">
    <cdr:from>
      <cdr:x>0.01399</cdr:x>
      <cdr:y>0.0229</cdr:y>
    </cdr:from>
    <cdr:to>
      <cdr:x>0.18452</cdr:x>
      <cdr:y>0.27758</cdr:y>
    </cdr:to>
    <cdr:pic>
      <cdr:nvPicPr>
        <cdr:cNvPr id="2" name="Picture 1">
          <a:extLst xmlns:a="http://schemas.openxmlformats.org/drawingml/2006/main">
            <a:ext uri="{FF2B5EF4-FFF2-40B4-BE49-F238E27FC236}">
              <a16:creationId xmlns:a16="http://schemas.microsoft.com/office/drawing/2014/main" id="{00000000-0008-0000-0900-00004E0000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duotone>
            <a:prstClr val="black"/>
            <a:schemeClr val="accent3">
              <a:tint val="45000"/>
              <a:satMod val="400000"/>
            </a:schemeClr>
          </a:duotone>
          <a:extLst>
            <a:ext uri="{BEBA8EAE-BF5A-486C-A8C5-ECC9F3942E4B}">
              <a14:imgProps xmlns:a14="http://schemas.microsoft.com/office/drawing/2010/main">
                <a14:imgLayer r:embed="rId2">
                  <a14:imgEffect>
                    <a14:artisticPhotocopy/>
                  </a14:imgEffect>
                  <a14:imgEffect>
                    <a14:colorTemperature colorTemp="4700"/>
                  </a14:imgEffect>
                </a14:imgLayer>
              </a14:imgProps>
            </a:ex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1233" y="50865"/>
          <a:ext cx="624460" cy="565687"/>
        </a:xfrm>
        <a:prstGeom xmlns:a="http://schemas.openxmlformats.org/drawingml/2006/main" prst="rect">
          <a:avLst/>
        </a:prstGeom>
        <a:ln xmlns:a="http://schemas.openxmlformats.org/drawingml/2006/main">
          <a:noFill/>
        </a:ln>
        <a:effectLst xmlns:a="http://schemas.openxmlformats.org/drawingml/2006/main">
          <a:outerShdw blurRad="292100" dist="139700" dir="2700000" algn="tl" rotWithShape="0">
            <a:srgbClr val="333333">
              <a:alpha val="65000"/>
            </a:srgbClr>
          </a:outerShdw>
        </a:effectLst>
      </cdr:spPr>
    </cdr:pic>
  </cdr:relSizeAnchor>
</c:userShapes>
</file>

<file path=xl/drawings/drawing16.xml><?xml version="1.0" encoding="utf-8"?>
<xdr:wsDr xmlns:xdr="http://schemas.openxmlformats.org/drawingml/2006/spreadsheetDrawing" xmlns:a="http://schemas.openxmlformats.org/drawingml/2006/main">
  <xdr:oneCellAnchor>
    <xdr:from>
      <xdr:col>3</xdr:col>
      <xdr:colOff>342900</xdr:colOff>
      <xdr:row>3</xdr:row>
      <xdr:rowOff>114300</xdr:rowOff>
    </xdr:from>
    <xdr:ext cx="5098768" cy="1094274"/>
    <xdr:sp macro="" textlink="">
      <xdr:nvSpPr>
        <xdr:cNvPr id="2" name="TextBox 1">
          <a:extLst>
            <a:ext uri="{FF2B5EF4-FFF2-40B4-BE49-F238E27FC236}">
              <a16:creationId xmlns:a16="http://schemas.microsoft.com/office/drawing/2014/main" id="{8530C376-2237-42DE-BE9E-304FF497EA5B}"/>
            </a:ext>
          </a:extLst>
        </xdr:cNvPr>
        <xdr:cNvSpPr txBox="1"/>
      </xdr:nvSpPr>
      <xdr:spPr>
        <a:xfrm>
          <a:off x="3171825" y="685800"/>
          <a:ext cx="5098768" cy="109427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200" b="1"/>
            <a:t>Questo foglio contiene</a:t>
          </a:r>
          <a:r>
            <a:rPr lang="it-IT" sz="1200" b="1" baseline="0"/>
            <a:t> la tabella di correlazione </a:t>
          </a:r>
          <a:r>
            <a:rPr lang="it-IT" sz="1200" b="1" i="1" baseline="0"/>
            <a:t>Nome / Sigla Fornitore.</a:t>
          </a:r>
        </a:p>
        <a:p>
          <a:r>
            <a:rPr lang="it-IT" sz="1200" b="1" baseline="0"/>
            <a:t>Potrebbero anche coincidere. </a:t>
          </a:r>
        </a:p>
        <a:p>
          <a:r>
            <a:rPr lang="it-IT" sz="1200" b="1" baseline="0"/>
            <a:t>L'aggiornamento di questa tabella è effettuato automaticamente dal sistema</a:t>
          </a:r>
        </a:p>
        <a:p>
          <a:r>
            <a:rPr lang="it-IT" sz="1200" b="1" baseline="0"/>
            <a:t>di aggiornamento reports. </a:t>
          </a:r>
        </a:p>
        <a:p>
          <a:r>
            <a:rPr lang="it-IT" sz="1600" b="1" baseline="0"/>
            <a:t>NON TOCCARE O MODIFICARE</a:t>
          </a:r>
          <a:endParaRPr lang="it-IT" sz="1200" b="1"/>
        </a:p>
      </xdr:txBody>
    </xdr:sp>
    <xdr:clientData/>
  </xdr:oneCellAnchor>
</xdr:wsDr>
</file>

<file path=xl/persons/person.xml><?xml version="1.0" encoding="utf-8"?>
<personList xmlns="http://schemas.microsoft.com/office/spreadsheetml/2018/threadedcomments" xmlns:x="http://schemas.openxmlformats.org/spreadsheetml/2006/main">
  <person displayName="Perrino, Francesco" id="{BABCB286-E1F8-4541-9A16-ACFCDF274B9A}" userId="Perrino, Francesco" providerId="None"/>
  <person displayName="Perrino, Francesco" id="{FB682D80-2592-43E1-AAF6-1C703CED6AD3}" userId="S::Francesco.Perrino@coesia.com::e9376f9e-4243-4cb5-b809-936bcdc4997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cesco Perrino" refreshedDate="45196.745144907407" createdVersion="7" refreshedVersion="7" minRefreshableVersion="3" recordCount="34" xr:uid="{000C600E-60C7-40C7-949C-71ECC7F268F8}">
  <cacheSource type="worksheet">
    <worksheetSource name="Dati_2020_sintesi"/>
  </cacheSource>
  <cacheFields count="41">
    <cacheField name="Fornitore ." numFmtId="0">
      <sharedItems count="23">
        <s v="S7"/>
        <s v="S2"/>
        <s v="S3"/>
        <s v="S4"/>
        <s v="S6"/>
        <s v="S14"/>
        <s v="S12"/>
        <s v="S13"/>
        <s v="S1"/>
        <s v="S10"/>
        <s v="S11"/>
        <s v="STUDIO 5" u="1"/>
        <s v="STUDIO 4" u="1"/>
        <s v="STUDIO 9" u="1"/>
        <s v="STUDIO 12" u="1"/>
        <s v="STUDIO 3" u="1"/>
        <s v="STUDIO 8" u="1"/>
        <s v="STUDIO 2" u="1"/>
        <s v="STUDIO 7" u="1"/>
        <s v="STUDIO 14" u="1"/>
        <s v="STUDIO 1" u="1"/>
        <s v="STUDIO 6" u="1"/>
        <s v="STUDIO 10" u="1"/>
      </sharedItems>
    </cacheField>
    <cacheField name="Costo orario fornitore" numFmtId="167">
      <sharedItems containsSemiMixedTypes="0" containsString="0" containsNumber="1" containsInteger="1" minValue="0" maxValue="7"/>
    </cacheField>
    <cacheField name="Categoria Fornitore" numFmtId="167">
      <sharedItems count="3">
        <s v="Conosciate"/>
        <s v="Esterni &quot;veri&quot;"/>
        <s v="Filiali GD"/>
      </sharedItems>
    </cacheField>
    <cacheField name="progetto / attività" numFmtId="0">
      <sharedItems/>
    </cacheField>
    <cacheField name="tipologia progetto " numFmtId="0">
      <sharedItems/>
    </cacheField>
    <cacheField name="Nomi ( se necessario) " numFmtId="0">
      <sharedItems containsNonDate="0" containsString="0" containsBlank="1"/>
    </cacheField>
    <cacheField name="Responsabile gd" numFmtId="0">
      <sharedItems/>
    </cacheField>
    <cacheField name="Tipologia" numFmtId="0">
      <sharedItems count="8">
        <s v="Software"/>
        <s v="Macchina"/>
        <s v="Documentazione"/>
        <s v="Pic"/>
        <s v="Hardware"/>
        <s v="Formato"/>
        <s v="Elettronico"/>
        <s v="Layout"/>
      </sharedItems>
    </cacheField>
    <cacheField name="Ingegneria di competenza" numFmtId="0">
      <sharedItems count="11">
        <s v="Polloni"/>
        <s v="Reparto L" u="1"/>
        <s v="Reparto H" u="1"/>
        <s v="Reparto G" u="1"/>
        <s v="Reparto F" u="1"/>
        <s v="Reparto E" u="1"/>
        <s v="Reparto D" u="1"/>
        <s v="Reparto C" u="1"/>
        <s v="Reparto B" u="1"/>
        <s v="Reparto A" u="1"/>
        <s v="Reparto O" u="1"/>
      </sharedItems>
    </cacheField>
    <cacheField name="LAVORA in GD - presso studio" numFmtId="0">
      <sharedItems/>
    </cacheField>
    <cacheField name="ore / lumpsum  con h - ls" numFmtId="0">
      <sharedItems/>
    </cacheField>
    <cacheField name="gen-23" numFmtId="0">
      <sharedItems containsString="0" containsBlank="1" containsNumber="1" containsInteger="1" minValue="40" maxValue="5000"/>
    </cacheField>
    <cacheField name="feb-23" numFmtId="0">
      <sharedItems containsString="0" containsBlank="1" containsNumber="1" containsInteger="1" minValue="50" maxValue="2500"/>
    </cacheField>
    <cacheField name="mar-23" numFmtId="0">
      <sharedItems containsString="0" containsBlank="1" containsNumber="1" containsInteger="1" minValue="40" maxValue="2500"/>
    </cacheField>
    <cacheField name="apr-23" numFmtId="0">
      <sharedItems containsString="0" containsBlank="1" containsNumber="1" containsInteger="1" minValue="50" maxValue="160"/>
    </cacheField>
    <cacheField name="mag-23" numFmtId="0">
      <sharedItems containsString="0" containsBlank="1" containsNumber="1" containsInteger="1" minValue="40" maxValue="25000"/>
    </cacheField>
    <cacheField name="giu-23" numFmtId="0">
      <sharedItems containsString="0" containsBlank="1" containsNumber="1" containsInteger="1" minValue="50" maxValue="10000"/>
    </cacheField>
    <cacheField name="lug-23" numFmtId="0">
      <sharedItems containsString="0" containsBlank="1" containsNumber="1" containsInteger="1" minValue="25" maxValue="15000"/>
    </cacheField>
    <cacheField name="ago-23" numFmtId="0">
      <sharedItems containsString="0" containsBlank="1" containsNumber="1" containsInteger="1" minValue="25" maxValue="1000"/>
    </cacheField>
    <cacheField name="set-23" numFmtId="0">
      <sharedItems containsString="0" containsBlank="1" containsNumber="1" containsInteger="1" minValue="25" maxValue="5000"/>
    </cacheField>
    <cacheField name="ott-23" numFmtId="0">
      <sharedItems containsString="0" containsBlank="1" containsNumber="1" containsInteger="1" minValue="25" maxValue="10000"/>
    </cacheField>
    <cacheField name="nov-23" numFmtId="0">
      <sharedItems containsString="0" containsBlank="1" containsNumber="1" containsInteger="1" minValue="25" maxValue="5000"/>
    </cacheField>
    <cacheField name="dic-23" numFmtId="0">
      <sharedItems containsString="0" containsBlank="1" containsNumber="1" containsInteger="1" minValue="25" maxValue="5000"/>
    </cacheField>
    <cacheField name="m.uomo ye" numFmtId="0">
      <sharedItems containsSemiMixedTypes="0" containsString="0" containsNumber="1" minValue="0" maxValue="68.027210884353735"/>
    </cacheField>
    <cacheField name="TOTALE ORE" numFmtId="0">
      <sharedItems containsSemiMixedTypes="0" containsString="0" containsNumber="1" containsInteger="1" minValue="0" maxValue="10000"/>
    </cacheField>
    <cacheField name="LUMP (non usata)" numFmtId="0">
      <sharedItems containsNonDate="0" containsString="0" containsBlank="1"/>
    </cacheField>
    <cacheField name="BUDGET STIMATO ORE" numFmtId="167">
      <sharedItems containsSemiMixedTypes="0" containsString="0" containsNumber="1" containsInteger="1" minValue="0" maxValue="10000"/>
    </cacheField>
    <cacheField name="BUDGET STIMATO LUMP SUM" numFmtId="167">
      <sharedItems containsSemiMixedTypes="0" containsString="0" containsNumber="1" containsInteger="1" minValue="0" maxValue="25100"/>
    </cacheField>
    <cacheField name="ACTUAL ORE " numFmtId="0">
      <sharedItems containsSemiMixedTypes="0" containsString="0" containsNumber="1" minValue="0" maxValue="260"/>
    </cacheField>
    <cacheField name="ACTUAL EURO" numFmtId="167">
      <sharedItems containsSemiMixedTypes="0" containsString="0" containsNumber="1" containsInteger="1" minValue="0" maxValue="318"/>
    </cacheField>
    <cacheField name="COUNT" numFmtId="0">
      <sharedItems containsSemiMixedTypes="0" containsString="0" containsNumber="1" containsInteger="1" minValue="1" maxValue="7"/>
    </cacheField>
    <cacheField name="Actual ORE ripartito" numFmtId="0">
      <sharedItems containsSemiMixedTypes="0" containsString="0" containsNumber="1" minValue="0" maxValue="130"/>
    </cacheField>
    <cacheField name="Actual EURO ripartito" numFmtId="167">
      <sharedItems containsSemiMixedTypes="0" containsString="0" containsNumber="1" minValue="0" maxValue="318"/>
    </cacheField>
    <cacheField name="Actual LUMP" numFmtId="0">
      <sharedItems containsSemiMixedTypes="0" containsString="0" containsNumber="1" containsInteger="1" minValue="0" maxValue="3"/>
    </cacheField>
    <cacheField name="Actual LUMP ripartito" numFmtId="0">
      <sharedItems containsSemiMixedTypes="0" containsString="0" containsNumber="1" minValue="0" maxValue="2"/>
    </cacheField>
    <cacheField name="ORE a finire" numFmtId="0">
      <sharedItems containsSemiMixedTypes="0" containsString="0" containsNumber="1" containsInteger="1" minValue="0" maxValue="10000"/>
    </cacheField>
    <cacheField name="EURO ORE a finire" numFmtId="167">
      <sharedItems containsSemiMixedTypes="0" containsString="0" containsNumber="1" containsInteger="1" minValue="0" maxValue="10000"/>
    </cacheField>
    <cacheField name="EURO LUMP a finire" numFmtId="167">
      <sharedItems containsSemiMixedTypes="0" containsString="0" containsNumber="1" containsInteger="1" minValue="0" maxValue="20000"/>
    </cacheField>
    <cacheField name="ORE a oggi" numFmtId="0">
      <sharedItems containsSemiMixedTypes="0" containsString="0" containsNumber="1" containsInteger="1" minValue="0" maxValue="750"/>
    </cacheField>
    <cacheField name="EURO ORE a oggi" numFmtId="167">
      <sharedItems containsSemiMixedTypes="0" containsString="0" containsNumber="1" containsInteger="1" minValue="0" maxValue="1250"/>
    </cacheField>
    <cacheField name="EURO LUMP a oggi" numFmtId="167">
      <sharedItems containsSemiMixedTypes="0" containsString="0" containsNumber="1" containsInteger="1" minValue="0" maxValue="25000"/>
    </cacheField>
  </cacheFields>
  <extLst>
    <ext xmlns:x14="http://schemas.microsoft.com/office/spreadsheetml/2009/9/main" uri="{725AE2AE-9491-48be-B2B4-4EB974FC3084}">
      <x14:pivotCacheDefinition pivotCacheId="8617208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n v="1"/>
    <x v="0"/>
    <s v="Progetto 1"/>
    <s v="D"/>
    <m/>
    <s v="Mario Rossi"/>
    <x v="0"/>
    <x v="0"/>
    <s v="GD"/>
    <s v="LUMP SUM"/>
    <n v="160"/>
    <n v="160"/>
    <n v="160"/>
    <n v="160"/>
    <n v="160"/>
    <n v="160"/>
    <n v="160"/>
    <m/>
    <m/>
    <m/>
    <m/>
    <m/>
    <n v="0"/>
    <n v="0"/>
    <m/>
    <n v="0"/>
    <n v="1120"/>
    <n v="0"/>
    <n v="0"/>
    <n v="4"/>
    <n v="0"/>
    <n v="0"/>
    <n v="1"/>
    <n v="0.25"/>
    <n v="0"/>
    <n v="0"/>
    <n v="320"/>
    <n v="0"/>
    <n v="0"/>
    <n v="800"/>
  </r>
  <r>
    <x v="1"/>
    <n v="1"/>
    <x v="1"/>
    <s v="Progetto 1"/>
    <s v="D"/>
    <m/>
    <s v="Mario Rossi"/>
    <x v="1"/>
    <x v="0"/>
    <s v="GD"/>
    <s v="LUMP SUM"/>
    <m/>
    <m/>
    <m/>
    <n v="140"/>
    <n v="140"/>
    <n v="140"/>
    <n v="140"/>
    <n v="140"/>
    <n v="140"/>
    <n v="140"/>
    <m/>
    <m/>
    <n v="0"/>
    <n v="0"/>
    <m/>
    <n v="0"/>
    <n v="980"/>
    <n v="107"/>
    <n v="107"/>
    <n v="7"/>
    <n v="15.285714285714286"/>
    <n v="15.285714285714286"/>
    <n v="3"/>
    <n v="0.42857142857142855"/>
    <n v="0"/>
    <n v="0"/>
    <n v="700"/>
    <n v="0"/>
    <n v="0"/>
    <n v="280"/>
  </r>
  <r>
    <x v="2"/>
    <n v="2"/>
    <x v="1"/>
    <s v="Progetto 2"/>
    <s v="C"/>
    <m/>
    <s v="Mario Rossi"/>
    <x v="0"/>
    <x v="0"/>
    <s v="GD"/>
    <s v="LUMP SUM"/>
    <m/>
    <m/>
    <m/>
    <m/>
    <m/>
    <n v="10000"/>
    <m/>
    <m/>
    <m/>
    <n v="10000"/>
    <m/>
    <m/>
    <n v="0"/>
    <n v="0"/>
    <m/>
    <n v="0"/>
    <n v="20000"/>
    <n v="20.5"/>
    <n v="41"/>
    <n v="6"/>
    <n v="3.4166666666666665"/>
    <n v="6.833333333333333"/>
    <n v="3"/>
    <n v="0.5"/>
    <n v="0"/>
    <n v="0"/>
    <n v="20000"/>
    <n v="0"/>
    <n v="0"/>
    <n v="0"/>
  </r>
  <r>
    <x v="3"/>
    <n v="1"/>
    <x v="1"/>
    <s v="Progetto 3"/>
    <s v="M"/>
    <m/>
    <s v="Mario Rossi"/>
    <x v="2"/>
    <x v="0"/>
    <s v="GD"/>
    <s v="ORE"/>
    <m/>
    <m/>
    <m/>
    <m/>
    <m/>
    <m/>
    <n v="5000"/>
    <m/>
    <m/>
    <m/>
    <m/>
    <n v="5000"/>
    <n v="68.027210884353735"/>
    <n v="10000"/>
    <m/>
    <n v="10000"/>
    <n v="0"/>
    <n v="260"/>
    <n v="260"/>
    <n v="2"/>
    <n v="130"/>
    <n v="130"/>
    <n v="0"/>
    <n v="0"/>
    <n v="10000"/>
    <n v="10000"/>
    <n v="0"/>
    <n v="0"/>
    <n v="0"/>
    <n v="0"/>
  </r>
  <r>
    <x v="4"/>
    <n v="6"/>
    <x v="1"/>
    <s v="Progetto 1"/>
    <s v="D"/>
    <m/>
    <s v="Mario Rossi"/>
    <x v="1"/>
    <x v="0"/>
    <s v="GD"/>
    <s v="LUMP SUM"/>
    <m/>
    <m/>
    <m/>
    <n v="80"/>
    <n v="80"/>
    <n v="80"/>
    <n v="80"/>
    <n v="80"/>
    <m/>
    <m/>
    <n v="80"/>
    <n v="80"/>
    <n v="0"/>
    <n v="0"/>
    <m/>
    <n v="0"/>
    <n v="560"/>
    <n v="7.5"/>
    <n v="45"/>
    <n v="6"/>
    <n v="1.25"/>
    <n v="7.5"/>
    <n v="2"/>
    <n v="0.33333333333333331"/>
    <n v="0"/>
    <n v="0"/>
    <n v="400"/>
    <n v="0"/>
    <n v="0"/>
    <n v="160"/>
  </r>
  <r>
    <x v="5"/>
    <n v="1"/>
    <x v="2"/>
    <s v="Progetto 4"/>
    <s v="M"/>
    <m/>
    <s v="Mario Rossi"/>
    <x v="3"/>
    <x v="0"/>
    <s v="GD e STUDIO"/>
    <s v="LUMP SUM"/>
    <n v="40"/>
    <m/>
    <n v="40"/>
    <m/>
    <n v="40"/>
    <m/>
    <n v="40"/>
    <m/>
    <n v="40"/>
    <m/>
    <n v="40"/>
    <m/>
    <n v="0"/>
    <n v="0"/>
    <m/>
    <n v="0"/>
    <n v="240"/>
    <n v="0"/>
    <n v="0"/>
    <n v="3"/>
    <n v="0"/>
    <n v="0"/>
    <n v="0"/>
    <n v="0"/>
    <n v="0"/>
    <n v="0"/>
    <n v="120"/>
    <n v="0"/>
    <n v="0"/>
    <n v="120"/>
  </r>
  <r>
    <x v="1"/>
    <n v="1"/>
    <x v="1"/>
    <s v="Progetto 4"/>
    <s v="M"/>
    <m/>
    <s v="Mario Rossi"/>
    <x v="4"/>
    <x v="0"/>
    <s v="GD e STUDIO"/>
    <s v="LUMP SUM"/>
    <m/>
    <n v="100"/>
    <n v="100"/>
    <n v="100"/>
    <n v="100"/>
    <n v="100"/>
    <n v="100"/>
    <n v="100"/>
    <n v="100"/>
    <n v="100"/>
    <m/>
    <m/>
    <n v="0"/>
    <n v="0"/>
    <m/>
    <n v="0"/>
    <n v="900"/>
    <n v="107"/>
    <n v="107"/>
    <n v="7"/>
    <n v="15.285714285714286"/>
    <n v="15.285714285714286"/>
    <n v="3"/>
    <n v="0.42857142857142855"/>
    <n v="0"/>
    <n v="0"/>
    <n v="500"/>
    <n v="0"/>
    <n v="0"/>
    <n v="400"/>
  </r>
  <r>
    <x v="2"/>
    <n v="2"/>
    <x v="1"/>
    <s v="Progetto 2"/>
    <s v="C"/>
    <m/>
    <s v="Mario Rossi"/>
    <x v="5"/>
    <x v="0"/>
    <s v="GD e STUDIO"/>
    <s v="LUMP SUM"/>
    <m/>
    <m/>
    <m/>
    <n v="140"/>
    <m/>
    <m/>
    <m/>
    <n v="140"/>
    <m/>
    <m/>
    <m/>
    <n v="140"/>
    <n v="0"/>
    <n v="0"/>
    <m/>
    <n v="0"/>
    <n v="420"/>
    <n v="20.5"/>
    <n v="41"/>
    <n v="6"/>
    <n v="3.4166666666666665"/>
    <n v="6.833333333333333"/>
    <n v="3"/>
    <n v="0.5"/>
    <n v="0"/>
    <n v="0"/>
    <n v="280"/>
    <n v="0"/>
    <n v="0"/>
    <n v="140"/>
  </r>
  <r>
    <x v="4"/>
    <n v="6"/>
    <x v="1"/>
    <s v="Progetto 3"/>
    <s v="M"/>
    <m/>
    <s v="Mario Rossi"/>
    <x v="5"/>
    <x v="0"/>
    <s v="STUDIO"/>
    <s v="LUMP SUM"/>
    <n v="112"/>
    <n v="112"/>
    <n v="112"/>
    <n v="112"/>
    <n v="112"/>
    <m/>
    <m/>
    <m/>
    <m/>
    <m/>
    <m/>
    <m/>
    <n v="0"/>
    <n v="0"/>
    <m/>
    <n v="0"/>
    <n v="560"/>
    <n v="7.5"/>
    <n v="45"/>
    <n v="6"/>
    <n v="1.25"/>
    <n v="7.5"/>
    <n v="2"/>
    <n v="0.33333333333333331"/>
    <n v="0"/>
    <n v="0"/>
    <n v="0"/>
    <n v="0"/>
    <n v="0"/>
    <n v="560"/>
  </r>
  <r>
    <x v="0"/>
    <n v="1"/>
    <x v="0"/>
    <s v="Progetto 3"/>
    <s v="M"/>
    <m/>
    <s v="Mario Rossi"/>
    <x v="1"/>
    <x v="0"/>
    <s v="STUDIO"/>
    <s v="LUMP SUM"/>
    <m/>
    <m/>
    <m/>
    <m/>
    <m/>
    <n v="10000"/>
    <m/>
    <m/>
    <m/>
    <n v="10000"/>
    <m/>
    <m/>
    <n v="0"/>
    <n v="0"/>
    <m/>
    <n v="0"/>
    <n v="20000"/>
    <n v="0"/>
    <n v="0"/>
    <n v="4"/>
    <n v="0"/>
    <n v="0"/>
    <n v="1"/>
    <n v="0.25"/>
    <n v="0"/>
    <n v="0"/>
    <n v="20000"/>
    <n v="0"/>
    <n v="0"/>
    <n v="0"/>
  </r>
  <r>
    <x v="6"/>
    <n v="0"/>
    <x v="1"/>
    <s v="Progetto 1"/>
    <s v="D"/>
    <m/>
    <s v="Mario Rossi"/>
    <x v="4"/>
    <x v="0"/>
    <s v="GD"/>
    <s v="LUMP SUM"/>
    <n v="5000"/>
    <m/>
    <m/>
    <m/>
    <m/>
    <m/>
    <m/>
    <m/>
    <m/>
    <m/>
    <m/>
    <m/>
    <n v="0"/>
    <n v="0"/>
    <m/>
    <n v="0"/>
    <n v="5000"/>
    <n v="0"/>
    <n v="0"/>
    <n v="1"/>
    <n v="0"/>
    <n v="0"/>
    <n v="2"/>
    <n v="2"/>
    <n v="0"/>
    <n v="0"/>
    <n v="0"/>
    <n v="0"/>
    <n v="0"/>
    <n v="5000"/>
  </r>
  <r>
    <x v="5"/>
    <n v="1"/>
    <x v="2"/>
    <s v="Progetto 4"/>
    <s v="M"/>
    <m/>
    <s v="Mario Rossi"/>
    <x v="6"/>
    <x v="0"/>
    <s v="GD e STUDIO"/>
    <s v="LUMP SUM"/>
    <m/>
    <m/>
    <m/>
    <m/>
    <m/>
    <m/>
    <n v="1000"/>
    <m/>
    <m/>
    <m/>
    <n v="1000"/>
    <m/>
    <n v="0"/>
    <n v="0"/>
    <m/>
    <n v="0"/>
    <n v="2000"/>
    <n v="0"/>
    <n v="0"/>
    <n v="3"/>
    <n v="0"/>
    <n v="0"/>
    <n v="0"/>
    <n v="0"/>
    <n v="0"/>
    <n v="0"/>
    <n v="2000"/>
    <n v="0"/>
    <n v="0"/>
    <n v="0"/>
  </r>
  <r>
    <x v="1"/>
    <n v="1"/>
    <x v="1"/>
    <s v="Progetto 6"/>
    <s v="D"/>
    <m/>
    <s v="Mario Rossi"/>
    <x v="5"/>
    <x v="0"/>
    <s v="GD e STUDIO"/>
    <s v="LUMP SUM"/>
    <m/>
    <m/>
    <m/>
    <m/>
    <n v="1000"/>
    <m/>
    <m/>
    <m/>
    <m/>
    <m/>
    <m/>
    <m/>
    <n v="0"/>
    <n v="0"/>
    <m/>
    <n v="0"/>
    <n v="1000"/>
    <n v="107"/>
    <n v="107"/>
    <n v="7"/>
    <n v="15.285714285714286"/>
    <n v="15.285714285714286"/>
    <n v="3"/>
    <n v="0.42857142857142855"/>
    <n v="0"/>
    <n v="0"/>
    <n v="0"/>
    <n v="0"/>
    <n v="0"/>
    <n v="1000"/>
  </r>
  <r>
    <x v="2"/>
    <n v="2"/>
    <x v="1"/>
    <s v="Progetto 7"/>
    <s v="D"/>
    <m/>
    <s v="Mario Rossi"/>
    <x v="7"/>
    <x v="0"/>
    <s v="GD e STUDIO"/>
    <s v="LUMP SUM"/>
    <m/>
    <m/>
    <n v="80"/>
    <m/>
    <m/>
    <m/>
    <m/>
    <m/>
    <m/>
    <m/>
    <m/>
    <m/>
    <n v="0"/>
    <n v="0"/>
    <m/>
    <n v="0"/>
    <n v="80"/>
    <n v="20.5"/>
    <n v="41"/>
    <n v="6"/>
    <n v="3.4166666666666665"/>
    <n v="6.833333333333333"/>
    <n v="3"/>
    <n v="0.5"/>
    <n v="0"/>
    <n v="0"/>
    <n v="0"/>
    <n v="0"/>
    <n v="0"/>
    <n v="80"/>
  </r>
  <r>
    <x v="4"/>
    <n v="6"/>
    <x v="1"/>
    <s v="Progetto 7"/>
    <s v="D"/>
    <m/>
    <s v="Mario Rossi"/>
    <x v="4"/>
    <x v="0"/>
    <s v="GD e STUDIO"/>
    <s v="LUMP SUM"/>
    <m/>
    <m/>
    <m/>
    <m/>
    <m/>
    <m/>
    <m/>
    <m/>
    <n v="40"/>
    <n v="40"/>
    <n v="40"/>
    <n v="40"/>
    <n v="0"/>
    <n v="0"/>
    <m/>
    <n v="0"/>
    <n v="160"/>
    <n v="7.5"/>
    <n v="45"/>
    <n v="6"/>
    <n v="1.25"/>
    <n v="7.5"/>
    <n v="2"/>
    <n v="0.33333333333333331"/>
    <n v="0"/>
    <n v="0"/>
    <n v="160"/>
    <n v="0"/>
    <n v="0"/>
    <n v="0"/>
  </r>
  <r>
    <x v="7"/>
    <n v="0"/>
    <x v="2"/>
    <s v="Progetto 7"/>
    <s v="D"/>
    <m/>
    <s v="Mario Rossi"/>
    <x v="5"/>
    <x v="0"/>
    <s v="GD e STUDIO"/>
    <s v="LUMP SUM"/>
    <m/>
    <m/>
    <m/>
    <m/>
    <m/>
    <n v="5000"/>
    <m/>
    <m/>
    <m/>
    <m/>
    <m/>
    <m/>
    <n v="0"/>
    <n v="0"/>
    <m/>
    <n v="0"/>
    <n v="5000"/>
    <n v="0"/>
    <n v="0"/>
    <n v="2"/>
    <n v="0"/>
    <n v="0"/>
    <n v="1"/>
    <n v="0.5"/>
    <n v="0"/>
    <n v="0"/>
    <n v="5000"/>
    <n v="0"/>
    <n v="0"/>
    <n v="0"/>
  </r>
  <r>
    <x v="8"/>
    <n v="5"/>
    <x v="1"/>
    <s v="Progetto 7"/>
    <s v="D"/>
    <m/>
    <s v="Mario Rossi"/>
    <x v="1"/>
    <x v="0"/>
    <s v="GD e STUDIO"/>
    <s v="ORE"/>
    <n v="50"/>
    <n v="50"/>
    <n v="50"/>
    <n v="50"/>
    <n v="50"/>
    <n v="50"/>
    <m/>
    <m/>
    <m/>
    <m/>
    <m/>
    <m/>
    <n v="2.0408163265306123"/>
    <n v="300"/>
    <m/>
    <n v="1500"/>
    <n v="0"/>
    <n v="6.2"/>
    <n v="31"/>
    <n v="1"/>
    <n v="6.2"/>
    <n v="31"/>
    <n v="0"/>
    <n v="0"/>
    <n v="50"/>
    <n v="250"/>
    <n v="0"/>
    <n v="250"/>
    <n v="1250"/>
    <n v="0"/>
  </r>
  <r>
    <x v="1"/>
    <n v="1"/>
    <x v="1"/>
    <s v="Progetto 7"/>
    <s v="D"/>
    <m/>
    <s v="Mario Rossi"/>
    <x v="4"/>
    <x v="0"/>
    <s v="GD e STUDIO"/>
    <s v="ORE"/>
    <m/>
    <m/>
    <m/>
    <m/>
    <m/>
    <m/>
    <n v="50"/>
    <n v="50"/>
    <n v="50"/>
    <n v="50"/>
    <n v="50"/>
    <n v="50"/>
    <n v="2.0408163265306123"/>
    <n v="300"/>
    <m/>
    <n v="300"/>
    <n v="0"/>
    <n v="107"/>
    <n v="107"/>
    <n v="7"/>
    <n v="15.285714285714286"/>
    <n v="15.285714285714286"/>
    <n v="3"/>
    <n v="0.42857142857142855"/>
    <n v="300"/>
    <n v="300"/>
    <n v="0"/>
    <n v="0"/>
    <n v="0"/>
    <n v="0"/>
  </r>
  <r>
    <x v="2"/>
    <n v="2"/>
    <x v="1"/>
    <s v="Progetto 7"/>
    <s v="D"/>
    <m/>
    <s v="Mario Rossi"/>
    <x v="6"/>
    <x v="0"/>
    <s v="GD e STUDIO"/>
    <s v="ORE"/>
    <n v="120"/>
    <n v="120"/>
    <n v="120"/>
    <n v="120"/>
    <n v="120"/>
    <n v="120"/>
    <n v="120"/>
    <n v="120"/>
    <n v="120"/>
    <n v="120"/>
    <n v="120"/>
    <n v="120"/>
    <n v="9.795918367346939"/>
    <n v="1440"/>
    <m/>
    <n v="2880"/>
    <n v="0"/>
    <n v="20.5"/>
    <n v="41"/>
    <n v="6"/>
    <n v="3.4166666666666665"/>
    <n v="6.833333333333333"/>
    <n v="3"/>
    <n v="0.5"/>
    <n v="840"/>
    <n v="1680"/>
    <n v="0"/>
    <n v="600"/>
    <n v="1200"/>
    <n v="0"/>
  </r>
  <r>
    <x v="3"/>
    <n v="1"/>
    <x v="1"/>
    <s v="Progetto 7"/>
    <s v="D"/>
    <m/>
    <s v="Mario Rossi"/>
    <x v="5"/>
    <x v="0"/>
    <s v="GD e STUDIO"/>
    <s v="ORE"/>
    <n v="150"/>
    <n v="150"/>
    <n v="150"/>
    <n v="150"/>
    <n v="150"/>
    <n v="150"/>
    <m/>
    <m/>
    <m/>
    <m/>
    <m/>
    <m/>
    <n v="6.1224489795918364"/>
    <n v="900"/>
    <m/>
    <n v="900"/>
    <n v="0"/>
    <n v="260"/>
    <n v="260"/>
    <n v="2"/>
    <n v="130"/>
    <n v="130"/>
    <n v="0"/>
    <n v="0"/>
    <n v="150"/>
    <n v="150"/>
    <n v="0"/>
    <n v="750"/>
    <n v="750"/>
    <n v="0"/>
  </r>
  <r>
    <x v="4"/>
    <n v="6"/>
    <x v="1"/>
    <s v="Progetto 7"/>
    <s v="D"/>
    <m/>
    <s v="Mario Rossi"/>
    <x v="7"/>
    <x v="0"/>
    <s v="GD e STUDIO"/>
    <s v="ORE"/>
    <m/>
    <m/>
    <m/>
    <m/>
    <m/>
    <m/>
    <n v="150"/>
    <n v="150"/>
    <n v="150"/>
    <n v="150"/>
    <n v="150"/>
    <n v="150"/>
    <n v="6.1224489795918364"/>
    <n v="900"/>
    <m/>
    <n v="5400"/>
    <n v="0"/>
    <n v="7.5"/>
    <n v="45"/>
    <n v="6"/>
    <n v="1.25"/>
    <n v="7.5"/>
    <n v="2"/>
    <n v="0.33333333333333331"/>
    <n v="900"/>
    <n v="5400"/>
    <n v="0"/>
    <n v="0"/>
    <n v="0"/>
    <n v="0"/>
  </r>
  <r>
    <x v="9"/>
    <n v="7"/>
    <x v="1"/>
    <s v="Progetto 7"/>
    <s v="D"/>
    <m/>
    <s v="Mario Rossi"/>
    <x v="4"/>
    <x v="0"/>
    <s v="GD e STUDIO"/>
    <s v="ORE"/>
    <m/>
    <m/>
    <m/>
    <m/>
    <m/>
    <m/>
    <n v="25"/>
    <n v="25"/>
    <n v="25"/>
    <n v="25"/>
    <n v="25"/>
    <n v="25"/>
    <n v="1.0204081632653061"/>
    <n v="150"/>
    <m/>
    <n v="1050"/>
    <n v="0"/>
    <n v="45.428571428571431"/>
    <n v="318"/>
    <n v="1"/>
    <n v="45.428571428571431"/>
    <n v="318"/>
    <n v="0"/>
    <n v="0"/>
    <n v="150"/>
    <n v="1050"/>
    <n v="0"/>
    <n v="0"/>
    <n v="0"/>
    <n v="0"/>
  </r>
  <r>
    <x v="1"/>
    <n v="1"/>
    <x v="1"/>
    <s v="Progetto 7"/>
    <s v="D"/>
    <m/>
    <s v="Mario Rossi"/>
    <x v="5"/>
    <x v="0"/>
    <s v="GD e STUDIO"/>
    <s v="LUMP SUM"/>
    <m/>
    <n v="2500"/>
    <m/>
    <m/>
    <m/>
    <m/>
    <m/>
    <m/>
    <m/>
    <m/>
    <m/>
    <m/>
    <n v="0"/>
    <n v="0"/>
    <m/>
    <n v="0"/>
    <n v="2500"/>
    <n v="107"/>
    <n v="107"/>
    <n v="7"/>
    <n v="15.285714285714286"/>
    <n v="15.285714285714286"/>
    <n v="3"/>
    <n v="0.42857142857142855"/>
    <n v="0"/>
    <n v="0"/>
    <n v="0"/>
    <n v="0"/>
    <n v="0"/>
    <n v="2500"/>
  </r>
  <r>
    <x v="2"/>
    <n v="2"/>
    <x v="1"/>
    <s v="Progetto 7"/>
    <s v="D"/>
    <m/>
    <s v="Mario Rossi"/>
    <x v="1"/>
    <x v="0"/>
    <s v="GD e STUDIO"/>
    <s v="LUMP SUM"/>
    <m/>
    <m/>
    <n v="100"/>
    <n v="100"/>
    <n v="100"/>
    <n v="100"/>
    <n v="100"/>
    <n v="100"/>
    <n v="100"/>
    <n v="100"/>
    <n v="100"/>
    <n v="100"/>
    <n v="0"/>
    <n v="0"/>
    <m/>
    <n v="0"/>
    <n v="1000"/>
    <n v="20.5"/>
    <n v="41"/>
    <n v="6"/>
    <n v="3.4166666666666665"/>
    <n v="6.833333333333333"/>
    <n v="3"/>
    <n v="0.5"/>
    <n v="0"/>
    <n v="0"/>
    <n v="700"/>
    <n v="0"/>
    <n v="0"/>
    <n v="300"/>
  </r>
  <r>
    <x v="4"/>
    <n v="6"/>
    <x v="1"/>
    <s v="Progetto 7"/>
    <s v="D"/>
    <m/>
    <s v="Mario Rossi"/>
    <x v="4"/>
    <x v="0"/>
    <s v="GD e STUDIO"/>
    <s v="LUMP SUM"/>
    <m/>
    <m/>
    <n v="2500"/>
    <m/>
    <m/>
    <m/>
    <m/>
    <m/>
    <m/>
    <m/>
    <m/>
    <m/>
    <n v="0"/>
    <n v="0"/>
    <m/>
    <n v="0"/>
    <n v="2500"/>
    <n v="7.5"/>
    <n v="45"/>
    <n v="6"/>
    <n v="1.25"/>
    <n v="7.5"/>
    <n v="2"/>
    <n v="0.33333333333333331"/>
    <n v="0"/>
    <n v="0"/>
    <n v="0"/>
    <n v="0"/>
    <n v="0"/>
    <n v="2500"/>
  </r>
  <r>
    <x v="0"/>
    <n v="1"/>
    <x v="0"/>
    <s v="Progetto 7"/>
    <s v="D"/>
    <m/>
    <s v="Mario Rossi"/>
    <x v="6"/>
    <x v="0"/>
    <s v="GD e STUDIO"/>
    <s v="LUMP SUM"/>
    <m/>
    <m/>
    <m/>
    <m/>
    <m/>
    <m/>
    <n v="15000"/>
    <m/>
    <m/>
    <m/>
    <m/>
    <m/>
    <n v="0"/>
    <n v="0"/>
    <m/>
    <n v="0"/>
    <n v="15000"/>
    <n v="0"/>
    <n v="0"/>
    <n v="4"/>
    <n v="0"/>
    <n v="0"/>
    <n v="1"/>
    <n v="0.25"/>
    <n v="0"/>
    <n v="0"/>
    <n v="15000"/>
    <n v="0"/>
    <n v="0"/>
    <n v="0"/>
  </r>
  <r>
    <x v="7"/>
    <n v="0"/>
    <x v="2"/>
    <s v="Progetto 7"/>
    <s v="D"/>
    <m/>
    <s v="Mario Rossi"/>
    <x v="5"/>
    <x v="0"/>
    <s v="GD e STUDIO"/>
    <s v="LUMP SUM"/>
    <m/>
    <m/>
    <m/>
    <m/>
    <n v="2500"/>
    <m/>
    <m/>
    <m/>
    <m/>
    <m/>
    <m/>
    <m/>
    <n v="0"/>
    <n v="0"/>
    <m/>
    <n v="0"/>
    <n v="2500"/>
    <n v="0"/>
    <n v="0"/>
    <n v="2"/>
    <n v="0"/>
    <n v="0"/>
    <n v="1"/>
    <n v="0.5"/>
    <n v="0"/>
    <n v="0"/>
    <n v="0"/>
    <n v="0"/>
    <n v="0"/>
    <n v="2500"/>
  </r>
  <r>
    <x v="1"/>
    <n v="1"/>
    <x v="1"/>
    <s v="Progetto 7"/>
    <s v="D"/>
    <m/>
    <s v="Mario Rossi"/>
    <x v="7"/>
    <x v="0"/>
    <s v="GD e STUDIO"/>
    <s v="LUMP SUM"/>
    <m/>
    <m/>
    <m/>
    <m/>
    <m/>
    <m/>
    <m/>
    <m/>
    <n v="1500"/>
    <m/>
    <m/>
    <m/>
    <n v="0"/>
    <n v="0"/>
    <m/>
    <n v="0"/>
    <n v="1500"/>
    <n v="107"/>
    <n v="107"/>
    <n v="7"/>
    <n v="15.285714285714286"/>
    <n v="15.285714285714286"/>
    <n v="3"/>
    <n v="0.42857142857142855"/>
    <n v="0"/>
    <n v="0"/>
    <n v="1500"/>
    <n v="0"/>
    <n v="0"/>
    <n v="0"/>
  </r>
  <r>
    <x v="2"/>
    <n v="2"/>
    <x v="1"/>
    <s v="Progetto 7"/>
    <s v="D"/>
    <m/>
    <s v="Mario Rossi"/>
    <x v="4"/>
    <x v="0"/>
    <s v="GD e STUDIO"/>
    <s v="LUMP SUM"/>
    <m/>
    <m/>
    <m/>
    <m/>
    <m/>
    <m/>
    <m/>
    <n v="1000"/>
    <m/>
    <m/>
    <m/>
    <m/>
    <n v="0"/>
    <n v="0"/>
    <m/>
    <n v="0"/>
    <n v="1000"/>
    <n v="20.5"/>
    <n v="41"/>
    <n v="6"/>
    <n v="3.4166666666666665"/>
    <n v="6.833333333333333"/>
    <n v="3"/>
    <n v="0.5"/>
    <n v="0"/>
    <n v="0"/>
    <n v="1000"/>
    <n v="0"/>
    <n v="0"/>
    <n v="0"/>
  </r>
  <r>
    <x v="4"/>
    <n v="6"/>
    <x v="1"/>
    <s v="Progetto 7"/>
    <s v="D"/>
    <m/>
    <s v="Mario Rossi"/>
    <x v="6"/>
    <x v="0"/>
    <s v="GD e STUDIO"/>
    <s v="LUMP SUM"/>
    <m/>
    <m/>
    <m/>
    <m/>
    <n v="25000"/>
    <m/>
    <m/>
    <m/>
    <m/>
    <n v="100"/>
    <m/>
    <m/>
    <n v="0"/>
    <n v="0"/>
    <m/>
    <n v="0"/>
    <n v="25100"/>
    <n v="7.5"/>
    <n v="45"/>
    <n v="6"/>
    <n v="1.25"/>
    <n v="7.5"/>
    <n v="2"/>
    <n v="0.33333333333333331"/>
    <n v="0"/>
    <n v="0"/>
    <n v="100"/>
    <n v="0"/>
    <n v="0"/>
    <n v="25000"/>
  </r>
  <r>
    <x v="0"/>
    <n v="1"/>
    <x v="0"/>
    <s v="Progetto 7"/>
    <s v="D"/>
    <m/>
    <s v="Mario Rossi"/>
    <x v="5"/>
    <x v="0"/>
    <s v="GD e STUDIO"/>
    <s v="LUMP SUM"/>
    <m/>
    <m/>
    <m/>
    <m/>
    <m/>
    <n v="10000"/>
    <m/>
    <m/>
    <m/>
    <m/>
    <m/>
    <m/>
    <n v="0"/>
    <n v="0"/>
    <m/>
    <n v="0"/>
    <n v="10000"/>
    <n v="0"/>
    <n v="0"/>
    <n v="4"/>
    <n v="0"/>
    <n v="0"/>
    <n v="1"/>
    <n v="0.25"/>
    <n v="0"/>
    <n v="0"/>
    <n v="10000"/>
    <n v="0"/>
    <n v="0"/>
    <n v="0"/>
  </r>
  <r>
    <x v="10"/>
    <n v="0"/>
    <x v="1"/>
    <s v="Progetto 7"/>
    <s v="D"/>
    <m/>
    <s v="Mario Rossi"/>
    <x v="7"/>
    <x v="0"/>
    <s v="GD e STUDIO"/>
    <s v="LUMP SUM"/>
    <m/>
    <m/>
    <m/>
    <m/>
    <m/>
    <n v="10000"/>
    <m/>
    <m/>
    <m/>
    <m/>
    <m/>
    <m/>
    <n v="0"/>
    <n v="0"/>
    <m/>
    <n v="0"/>
    <n v="10000"/>
    <n v="0"/>
    <n v="0"/>
    <n v="1"/>
    <n v="0"/>
    <n v="0"/>
    <n v="1"/>
    <n v="1"/>
    <n v="0"/>
    <n v="0"/>
    <n v="10000"/>
    <n v="0"/>
    <n v="0"/>
    <n v="0"/>
  </r>
  <r>
    <x v="5"/>
    <n v="1"/>
    <x v="2"/>
    <s v="Progetto 7"/>
    <s v="D"/>
    <m/>
    <s v="Mario Rossi"/>
    <x v="4"/>
    <x v="0"/>
    <s v="GD e STUDIO"/>
    <s v="LUMP SUM"/>
    <m/>
    <m/>
    <m/>
    <m/>
    <m/>
    <m/>
    <m/>
    <m/>
    <n v="5000"/>
    <n v="5000"/>
    <n v="5000"/>
    <n v="5000"/>
    <n v="0"/>
    <n v="0"/>
    <m/>
    <n v="0"/>
    <n v="20000"/>
    <n v="0"/>
    <n v="0"/>
    <n v="3"/>
    <n v="0"/>
    <n v="0"/>
    <n v="0"/>
    <n v="0"/>
    <n v="0"/>
    <n v="0"/>
    <n v="20000"/>
    <n v="0"/>
    <n v="0"/>
    <n v="0"/>
  </r>
  <r>
    <x v="1"/>
    <n v="1"/>
    <x v="1"/>
    <s v="Progetto 8"/>
    <s v="D"/>
    <m/>
    <s v="Mario Rossi"/>
    <x v="4"/>
    <x v="0"/>
    <s v="GD e STUDIO"/>
    <s v="LUMP SUM"/>
    <m/>
    <m/>
    <m/>
    <m/>
    <m/>
    <m/>
    <m/>
    <m/>
    <m/>
    <m/>
    <m/>
    <m/>
    <n v="0"/>
    <n v="0"/>
    <m/>
    <n v="0"/>
    <n v="0"/>
    <n v="107"/>
    <n v="107"/>
    <n v="7"/>
    <n v="15.285714285714286"/>
    <n v="15.285714285714286"/>
    <n v="3"/>
    <n v="0.42857142857142855"/>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2095BE-6A5B-49B7-A66E-A527E0954803}" name="Pivot_LUMP_Finir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U5:GW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numFmtId="167" showAll="0"/>
    <pivotField showAll="0"/>
    <pivotField showAll="0"/>
    <pivotField showAll="0"/>
    <pivotField showAll="0"/>
    <pivotField showAll="0"/>
    <pivotField showAll="0"/>
    <pivotField showAll="0"/>
    <pivotField showAll="0"/>
    <pivotField numFmtId="167" showAll="0"/>
    <pivotField dataField="1" numFmtId="167" showAll="0"/>
    <pivotField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EURO LUMP a finire" fld="3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65AC01-C320-4C5C-87A3-C98FFD1675A8}" name="Pivot_Avanzamenti_Media"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K5:BM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numFmtId="167" showAll="0"/>
    <pivotField showAll="0"/>
    <pivotField showAll="0"/>
    <pivotField showAll="0"/>
    <pivotField dataField="1" showAll="0"/>
    <pivotField showAll="0"/>
    <pivotField showAll="0"/>
    <pivotField showAll="0"/>
    <pivotField showAll="0"/>
    <pivotField numFmtId="167" showAll="0"/>
    <pivotField numFmtId="167" showAll="0"/>
    <pivotField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Actual ORE ripartito" fld="31" baseField="0" baseItem="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0C20FB-EE96-48AB-9FED-856A2118A35E}" name="Pivot_Avanzamento_LUM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C5:DE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numFmtId="167" showAll="0"/>
    <pivotField showAll="0"/>
    <pivotField showAll="0"/>
    <pivotField showAll="0"/>
    <pivotField showAll="0"/>
    <pivotField showAll="0"/>
    <pivotField showAll="0"/>
    <pivotField dataField="1" showAll="0"/>
    <pivotField showAll="0"/>
    <pivotField numFmtId="167" showAll="0"/>
    <pivotField numFmtId="167" showAll="0"/>
    <pivotField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Actual LUMP ripartito" fld="3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93B787-8F12-4E57-9D74-1C730F212C5F}" name="Pivot_Avanzamento_EURO"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H5:CJ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numFmtId="167" showAll="0"/>
    <pivotField showAll="0"/>
    <pivotField showAll="0"/>
    <pivotField showAll="0"/>
    <pivotField showAll="0"/>
    <pivotField dataField="1" showAll="0"/>
    <pivotField showAll="0"/>
    <pivotField showAll="0"/>
    <pivotField showAll="0"/>
    <pivotField numFmtId="167" showAll="0"/>
    <pivotField numFmtId="167" showAll="0"/>
    <pivotField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Actual EURO ripartito" fld="3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BF30CF-BC09-4359-9D90-91AC6B55C4E8}" name="PivotTableTipologiaCompetenzaFiltro"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 firstHeaderRow="0" firstDataRow="0" firstDataCol="0" rowPageCount="1" colPageCount="1"/>
  <pivotFields count="41">
    <pivotField showAll="0">
      <items count="24">
        <item x="8"/>
        <item x="9"/>
        <item x="10"/>
        <item x="6"/>
        <item x="7"/>
        <item x="5"/>
        <item x="1"/>
        <item x="2"/>
        <item x="3"/>
        <item x="4"/>
        <item x="0"/>
        <item m="1" x="20"/>
        <item m="1" x="22"/>
        <item m="1" x="14"/>
        <item m="1" x="19"/>
        <item m="1" x="17"/>
        <item m="1" x="15"/>
        <item m="1" x="12"/>
        <item m="1" x="11"/>
        <item m="1" x="21"/>
        <item m="1" x="18"/>
        <item m="1" x="16"/>
        <item m="1" x="13"/>
        <item t="default"/>
      </items>
    </pivotField>
    <pivotField numFmtId="167" showAll="0"/>
    <pivotField showAll="0">
      <items count="4">
        <item x="0"/>
        <item x="1"/>
        <item x="2"/>
        <item t="default"/>
      </items>
    </pivotField>
    <pivotField showAll="0"/>
    <pivotField showAll="0"/>
    <pivotField showAll="0"/>
    <pivotField showAll="0"/>
    <pivotField axis="axisPage" showAll="0">
      <items count="9">
        <item x="2"/>
        <item x="6"/>
        <item x="5"/>
        <item x="4"/>
        <item x="7"/>
        <item x="1"/>
        <item x="3"/>
        <item x="0"/>
        <item t="default"/>
      </items>
    </pivotField>
    <pivotField showAll="0">
      <items count="12">
        <item x="0"/>
        <item m="1" x="9"/>
        <item m="1" x="8"/>
        <item m="1" x="7"/>
        <item m="1" x="6"/>
        <item m="1" x="5"/>
        <item m="1" x="4"/>
        <item m="1" x="3"/>
        <item m="1" x="2"/>
        <item m="1" x="1"/>
        <item m="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numFmtId="167" showAll="0"/>
    <pivotField showAll="0"/>
    <pivotField numFmtId="167" showAll="0"/>
    <pivotField showAll="0"/>
    <pivotField showAll="0"/>
    <pivotField numFmtId="167" showAll="0"/>
    <pivotField showAll="0"/>
    <pivotField showAll="0"/>
    <pivotField showAll="0"/>
    <pivotField numFmtId="167" showAll="0"/>
    <pivotField numFmtId="167" showAll="0"/>
    <pivotField showAll="0"/>
    <pivotField numFmtId="167" showAll="0"/>
    <pivotField numFmtId="167" showAll="0"/>
  </pivotFields>
  <pageFields count="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D5F04A-64BC-4867-9FCE-B99B4C9C5655}" name="Pivot_Ore_Ogg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Z5:EB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numFmtId="167" showAll="0"/>
    <pivotField showAll="0"/>
    <pivotField showAll="0"/>
    <pivotField showAll="0"/>
    <pivotField showAll="0"/>
    <pivotField showAll="0"/>
    <pivotField showAll="0"/>
    <pivotField showAll="0"/>
    <pivotField showAll="0"/>
    <pivotField numFmtId="167" showAll="0"/>
    <pivotField numFmtId="167" showAll="0"/>
    <pivotField dataField="1"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ORE a oggi" fld="3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AB6498-8391-4404-B53A-E74AD3C7387B}" name="Pivot_SOLO_Ore" cacheId="0" applyNumberFormats="0" applyBorderFormats="0" applyFontFormats="0" applyPatternFormats="0" applyAlignmentFormats="0" applyWidthHeightFormats="1" dataCaption="Values" grandTotalCaption="ORE" updatedVersion="7" minRefreshableVersion="3" useAutoFormatting="1" itemPrintTitles="1" createdVersion="7" indent="0" outline="1" outlineData="1" multipleFieldFilters="0">
  <location ref="B5:D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7" showAll="0"/>
    <pivotField numFmtId="167" showAll="0"/>
    <pivotField showAll="0"/>
    <pivotField showAll="0"/>
    <pivotField showAll="0"/>
    <pivotField showAll="0"/>
    <pivotField showAll="0"/>
    <pivotField showAll="0"/>
    <pivotField showAll="0"/>
    <pivotField showAll="0"/>
    <pivotField numFmtId="167" showAll="0"/>
    <pivotField numFmtId="167" showAll="0"/>
    <pivotField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BUDGET STIMATO ORE" fld="26" baseField="0" baseItem="0"/>
  </dataFields>
  <formats count="3">
    <format dxfId="76">
      <pivotArea type="origin" dataOnly="0" labelOnly="1" outline="0" fieldPosition="0"/>
    </format>
    <format dxfId="75">
      <pivotArea field="8" type="button" dataOnly="0" labelOnly="1" outline="0" axis="axisCol" fieldPosition="0"/>
    </format>
    <format dxfId="74">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61B85D-0A81-4DFB-9879-E42DDAB7F8BE}" name="Pivot_LUMP_OGG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X5:EZ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numFmtId="167" showAll="0"/>
    <pivotField showAll="0"/>
    <pivotField showAll="0"/>
    <pivotField showAll="0"/>
    <pivotField showAll="0"/>
    <pivotField showAll="0"/>
    <pivotField showAll="0"/>
    <pivotField showAll="0"/>
    <pivotField showAll="0"/>
    <pivotField numFmtId="167" showAll="0"/>
    <pivotField numFmtId="167" showAll="0"/>
    <pivotField showAll="0"/>
    <pivotField numFmtId="167" showAll="0"/>
    <pivotField dataField="1"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EURO LUMP a oggi" fld="4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AA44B4-917C-49A5-BE8C-A5C324BA8D54}" name="Pivot_SOLO_Lum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V5:X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dataField="1" numFmtId="167" showAll="0"/>
    <pivotField showAll="0"/>
    <pivotField showAll="0"/>
    <pivotField showAll="0"/>
    <pivotField showAll="0"/>
    <pivotField showAll="0"/>
    <pivotField showAll="0"/>
    <pivotField showAll="0"/>
    <pivotField showAll="0"/>
    <pivotField numFmtId="167" showAll="0"/>
    <pivotField numFmtId="167" showAll="0"/>
    <pivotField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BUDGET STIMATO LUMP SUM" fld="2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A5707E-1EDF-4AA6-93A4-1B0D228C9A75}" name="Pivot_Ore_Finir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V5:FX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numFmtId="167" showAll="0"/>
    <pivotField showAll="0"/>
    <pivotField showAll="0"/>
    <pivotField showAll="0"/>
    <pivotField showAll="0"/>
    <pivotField showAll="0"/>
    <pivotField showAll="0"/>
    <pivotField showAll="0"/>
    <pivotField dataField="1" showAll="0"/>
    <pivotField numFmtId="167" showAll="0"/>
    <pivotField numFmtId="167" showAll="0"/>
    <pivotField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ORE a finire"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2030892-A738-44AD-90E9-50180C036E36}" name="Pivot_Totale_Or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P5:AR18" firstHeaderRow="1" firstDataRow="2" firstDataCol="1"/>
  <pivotFields count="41">
    <pivotField axis="axisRow" showAll="0">
      <items count="24">
        <item m="1" x="20"/>
        <item m="1" x="22"/>
        <item m="1" x="14"/>
        <item m="1" x="19"/>
        <item m="1" x="17"/>
        <item m="1" x="15"/>
        <item m="1" x="12"/>
        <item m="1" x="11"/>
        <item m="1" x="21"/>
        <item m="1" x="18"/>
        <item m="1" x="16"/>
        <item m="1" x="13"/>
        <item x="0"/>
        <item x="1"/>
        <item x="2"/>
        <item x="3"/>
        <item x="4"/>
        <item x="5"/>
        <item x="6"/>
        <item x="7"/>
        <item x="8"/>
        <item x="9"/>
        <item x="10"/>
        <item t="default"/>
      </items>
    </pivotField>
    <pivotField numFmtId="167" showAll="0"/>
    <pivotField showAll="0">
      <items count="4">
        <item x="0"/>
        <item x="1"/>
        <item x="2"/>
        <item t="default"/>
      </items>
    </pivotField>
    <pivotField showAll="0"/>
    <pivotField showAll="0"/>
    <pivotField showAll="0"/>
    <pivotField showAll="0"/>
    <pivotField showAll="0">
      <items count="9">
        <item x="2"/>
        <item x="6"/>
        <item x="5"/>
        <item x="4"/>
        <item x="7"/>
        <item x="1"/>
        <item x="3"/>
        <item x="0"/>
        <item t="default"/>
      </items>
    </pivotField>
    <pivotField axis="axisCol" showAll="0">
      <items count="12">
        <item m="1" x="9"/>
        <item m="1" x="8"/>
        <item m="1" x="7"/>
        <item m="1" x="5"/>
        <item m="1" x="4"/>
        <item m="1" x="2"/>
        <item m="1" x="10"/>
        <item m="1" x="6"/>
        <item m="1" x="3"/>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67" showAll="0"/>
    <pivotField numFmtId="167" showAll="0"/>
    <pivotField showAll="0"/>
    <pivotField showAll="0"/>
    <pivotField showAll="0"/>
    <pivotField showAll="0"/>
    <pivotField showAll="0"/>
    <pivotField showAll="0"/>
    <pivotField showAll="0"/>
    <pivotField showAll="0"/>
    <pivotField numFmtId="167" showAll="0"/>
    <pivotField numFmtId="167" showAll="0"/>
    <pivotField showAll="0"/>
    <pivotField numFmtId="167" showAll="0"/>
    <pivotField numFmtId="167" showAll="0"/>
  </pivotFields>
  <rowFields count="1">
    <field x="0"/>
  </rowFields>
  <rowItems count="12">
    <i>
      <x v="12"/>
    </i>
    <i>
      <x v="13"/>
    </i>
    <i>
      <x v="14"/>
    </i>
    <i>
      <x v="15"/>
    </i>
    <i>
      <x v="16"/>
    </i>
    <i>
      <x v="17"/>
    </i>
    <i>
      <x v="18"/>
    </i>
    <i>
      <x v="19"/>
    </i>
    <i>
      <x v="20"/>
    </i>
    <i>
      <x v="21"/>
    </i>
    <i>
      <x v="22"/>
    </i>
    <i t="grand">
      <x/>
    </i>
  </rowItems>
  <colFields count="1">
    <field x="8"/>
  </colFields>
  <colItems count="2">
    <i>
      <x v="10"/>
    </i>
    <i t="grand">
      <x/>
    </i>
  </colItems>
  <dataFields count="1">
    <dataField name="Sum of TOTALE ORE"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rnitore_." xr10:uid="{B64960C0-0B0F-474C-9C05-51AE21C3D84F}" sourceName="Fornitore .">
  <pivotTables>
    <pivotTable tabId="4" name="Pivot_SOLO_Ore"/>
    <pivotTable tabId="4" name="Pivot_SOLO_Lump"/>
    <pivotTable tabId="4" name="Pivot_Totale_Ore"/>
    <pivotTable tabId="4" name="Pivot_Avanzamenti_Media"/>
    <pivotTable tabId="4" name="Pivot_Avanzamento_EURO"/>
    <pivotTable tabId="4" name="Pivot_Avanzamento_LUMP"/>
    <pivotTable tabId="4" name="Pivot_Ore_Oggi"/>
    <pivotTable tabId="4" name="Pivot_LUMP_OGGI"/>
    <pivotTable tabId="4" name="Pivot_Ore_Finire"/>
    <pivotTable tabId="4" name="Pivot_LUMP_Finire"/>
    <pivotTable tabId="4" name="PivotTableTipologiaCompetenzaFiltro"/>
  </pivotTables>
  <data>
    <tabular pivotCacheId="861720860" showMissing="0" crossFilter="none">
      <items count="23">
        <i x="8" s="1"/>
        <i x="9" s="1"/>
        <i x="10" s="1"/>
        <i x="6" s="1"/>
        <i x="7" s="1"/>
        <i x="5" s="1"/>
        <i x="1" s="1"/>
        <i x="2" s="1"/>
        <i x="3" s="1"/>
        <i x="4" s="1"/>
        <i x="0" s="1"/>
        <i x="20" s="1"/>
        <i x="22" s="1"/>
        <i x="14" s="1"/>
        <i x="19" s="1"/>
        <i x="17" s="1"/>
        <i x="15" s="1"/>
        <i x="12" s="1"/>
        <i x="11" s="1"/>
        <i x="21" s="1"/>
        <i x="18" s="1"/>
        <i x="16"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ologia" xr10:uid="{B0978B51-C1C7-4437-9204-81E09B8E63CD}" sourceName="Tipologia">
  <pivotTables>
    <pivotTable tabId="4" name="Pivot_SOLO_Ore"/>
    <pivotTable tabId="4" name="Pivot_SOLO_Lump"/>
    <pivotTable tabId="4" name="Pivot_Totale_Ore"/>
    <pivotTable tabId="4" name="Pivot_Avanzamenti_Media"/>
    <pivotTable tabId="4" name="Pivot_Avanzamento_EURO"/>
    <pivotTable tabId="4" name="Pivot_Avanzamento_LUMP"/>
    <pivotTable tabId="4" name="Pivot_Ore_Oggi"/>
    <pivotTable tabId="4" name="Pivot_LUMP_OGGI"/>
    <pivotTable tabId="4" name="Pivot_Ore_Finire"/>
    <pivotTable tabId="4" name="Pivot_LUMP_Finire"/>
    <pivotTable tabId="4" name="PivotTableTipologiaCompetenzaFiltro"/>
  </pivotTables>
  <data>
    <tabular pivotCacheId="861720860" showMissing="0" crossFilter="none">
      <items count="8">
        <i x="2" s="1"/>
        <i x="6" s="1"/>
        <i x="5" s="1"/>
        <i x="4" s="1"/>
        <i x="7"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gegneria_di_competenza" xr10:uid="{55E11E72-97BC-4D18-978A-28C4B9881453}" sourceName="Ingegneria di competenza">
  <pivotTables>
    <pivotTable tabId="4" name="Pivot_SOLO_Ore"/>
    <pivotTable tabId="4" name="Pivot_SOLO_Lump"/>
    <pivotTable tabId="4" name="Pivot_Totale_Ore"/>
    <pivotTable tabId="4" name="Pivot_Avanzamenti_Media"/>
    <pivotTable tabId="4" name="Pivot_Avanzamento_EURO"/>
    <pivotTable tabId="4" name="Pivot_Avanzamento_LUMP"/>
    <pivotTable tabId="4" name="Pivot_Ore_Oggi"/>
    <pivotTable tabId="4" name="Pivot_LUMP_OGGI"/>
    <pivotTable tabId="4" name="Pivot_Ore_Finire"/>
    <pivotTable tabId="4" name="Pivot_LUMP_Finire"/>
    <pivotTable tabId="4" name="PivotTableTipologiaCompetenzaFiltro"/>
  </pivotTables>
  <data>
    <tabular pivotCacheId="861720860" showMissing="0" crossFilter="none">
      <items count="11">
        <i x="0" s="1"/>
        <i x="9" s="1"/>
        <i x="8" s="1"/>
        <i x="7" s="1"/>
        <i x="6" s="1"/>
        <i x="5" s="1"/>
        <i x="4" s="1"/>
        <i x="3" s="1"/>
        <i x="2" s="1"/>
        <i x="1"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_Fornitore" xr10:uid="{0940B9AB-0116-48FB-BBAA-B6A46CFBEF83}" sourceName="Categoria Fornitore">
  <pivotTables>
    <pivotTable tabId="4" name="Pivot_SOLO_Ore"/>
    <pivotTable tabId="4" name="Pivot_SOLO_Lump"/>
    <pivotTable tabId="4" name="Pivot_Totale_Ore"/>
    <pivotTable tabId="4" name="Pivot_Avanzamenti_Media"/>
    <pivotTable tabId="4" name="Pivot_Avanzamento_EURO"/>
    <pivotTable tabId="4" name="Pivot_Avanzamento_LUMP"/>
    <pivotTable tabId="4" name="Pivot_Ore_Oggi"/>
    <pivotTable tabId="4" name="Pivot_LUMP_OGGI"/>
    <pivotTable tabId="4" name="Pivot_Ore_Finire"/>
    <pivotTable tabId="4" name="Pivot_LUMP_Finire"/>
    <pivotTable tabId="4" name="PivotTableTipologiaCompetenzaFiltro"/>
  </pivotTables>
  <data>
    <tabular pivotCacheId="861720860" showMissing="0" crossFilter="none">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rnitore ." xr10:uid="{3C02B9AC-06AB-42F6-B3BE-17EB9FDDF2DE}" cache="Slicer_Fornitore_." caption="Fornitore ." columnCount="2" rowHeight="241300"/>
  <slicer name="Tipologia" xr10:uid="{7611B85A-0BFB-4803-8345-53D0D2F4B4EE}" cache="Slicer_Tipologia" caption="Tipologia" columnCount="3" style="SlicerStyleDark2" rowHeight="241300"/>
  <slicer name="Ingegneria di competenza" xr10:uid="{2B40C5EF-4470-41CF-B394-C3E72E8427D4}" cache="Slicer_Ingegneria_di_competenza" caption="Ingegneria di competenza" columnCount="3" style="SlicerStyleLight2" rowHeight="241300"/>
  <slicer name="Categoria Fornitore" xr10:uid="{D5EDFDCB-0B71-4740-978F-E4AA64D6A14E}" cache="Slicer_Categoria_Fornitore" caption="Categoria Fornitore"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rnitore . 2" xr10:uid="{B64219ED-C3B3-4F02-BAA8-3C8AECCD5C64}" cache="Slicer_Fornitore_." caption="Fornitore ." columnCount="2" rowHeight="241300"/>
  <slicer name="Tipologia 2" xr10:uid="{33B9F5F1-1764-4B21-AF1E-335D445C8F66}" cache="Slicer_Tipologia" caption="Tipologia" columnCount="3" style="SlicerStyleDark2" rowHeight="241300"/>
  <slicer name="Ingegneria di competenza 2" xr10:uid="{4CF1E8B6-1520-4CB9-853E-895187F3E078}" cache="Slicer_Ingegneria_di_competenza" caption="Ingegneria di competenza" columnCount="3" style="SlicerStyleLight2" rowHeight="241300"/>
  <slicer name="Categoria Fornitore 2" xr10:uid="{E5988B6F-F8DB-4544-BD36-689F3F54DE87}" cache="Slicer_Categoria_Fornitore" caption="Categoria Fornitore" columnCount="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rnitore . 1" xr10:uid="{FE5FC2EB-05B7-4766-A019-421D5E1EFDBB}" cache="Slicer_Fornitore_." caption="Fornitore ." columnCount="2" rowHeight="241300"/>
  <slicer name="Tipologia 1" xr10:uid="{9627191A-2B71-47E1-A4CB-9B781B69D24E}" cache="Slicer_Tipologia" caption="Tipologia" columnCount="3" style="SlicerStyleDark2" rowHeight="241300"/>
  <slicer name="Ingegneria di competenza 1" xr10:uid="{A6E45050-3FEF-4F3C-9579-8C3D79FD2E7A}" cache="Slicer_Ingegneria_di_competenza" caption="Ingegneria di competenza" columnCount="3" style="SlicerStyleLight2" rowHeight="241300"/>
  <slicer name="Categoria Fornitore 1" xr10:uid="{C33901E0-B959-4DC7-ADD3-C938550FD2B6}" cache="Slicer_Categoria_Fornitore" caption="Categoria Fornitore" columnCount="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rnitore . 3" xr10:uid="{448461F7-D6A0-4F3B-882D-2AA0E5ADAE5A}" cache="Slicer_Fornitore_." caption="Fornitore ." columnCount="2" rowHeight="241300"/>
  <slicer name="Tipologia 3" xr10:uid="{1A542ABF-9CC5-4FBD-9348-ED42A6CB6927}" cache="Slicer_Tipologia" caption="Tipologia" columnCount="3" style="SlicerStyleDark2" rowHeight="241300"/>
  <slicer name="Ingegneria di competenza 3" xr10:uid="{9A253E18-808C-4CCA-A7C5-A9ECB92A2411}" cache="Slicer_Ingegneria_di_competenza" caption="Ingegneria di competenza" columnCount="3" style="SlicerStyleLight2" rowHeight="241300"/>
  <slicer name="Categoria Fornitore 3" xr10:uid="{F65EAA21-926C-469B-83C9-6107E0FCCC4C}" cache="Slicer_Categoria_Fornitore" caption="Categoria Fornitor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388C30-81EC-4A2C-8DFC-50FC338EC5D4}" name="Table2" displayName="Table2" ref="A1:J25" totalsRowShown="0" headerRowDxfId="88" dataDxfId="87">
  <autoFilter ref="A1:J25" xr:uid="{68388C30-81EC-4A2C-8DFC-50FC338EC5D4}"/>
  <tableColumns count="10">
    <tableColumn id="1" xr3:uid="{0A10C620-3931-4025-9DCC-DE528017BE25}" name="Stringa unita" dataDxfId="86">
      <calculatedColumnFormula>Table2[[#This Row],[Responsabile]]&amp;"|"&amp;Table2[[#This Row],[SIGLA FORNITORE]]</calculatedColumnFormula>
    </tableColumn>
    <tableColumn id="7" xr3:uid="{A5AF05E8-F73C-45DB-AEF7-7078F30D42B6}" name="Conteggio totale ORE" dataDxfId="85">
      <calculatedColumnFormula>SUMIF(Table2[Stringa unita],Table2[[#This Row],[Responsabile]]&amp;"|"&amp;Table2[[#This Row],[SIGLA FORNITORE]],Table2[TOT ORE Act+Commit])</calculatedColumnFormula>
    </tableColumn>
    <tableColumn id="8" xr3:uid="{111E8D05-E7CC-4678-A273-AFAB294CDB27}" name="Conteggio totale EURO" dataDxfId="84">
      <calculatedColumnFormula>SUMIF(Table2[Stringa unita],Table2[[#This Row],[Responsabile]]&amp;"|"&amp;Table2[[#This Row],[SIGLA FORNITORE]],Table2[Euro Act+Commit])</calculatedColumnFormula>
    </tableColumn>
    <tableColumn id="10" xr3:uid="{40D7AA5C-D5DC-44EB-AE98-378D15066CED}" name="Conteggio Totale LUMP" dataDxfId="83">
      <calculatedColumnFormula>SUMIF(Table2[Stringa unita],Table2[[#This Row],[Responsabile]]&amp;"|"&amp;Table2[[#This Row],[SIGLA FORNITORE]],Table2[EURO LUMP Act+Commit])</calculatedColumnFormula>
    </tableColumn>
    <tableColumn id="2" xr3:uid="{742D12AA-62D8-44FF-B915-B6483FC3A975}" name="Responsabile" dataDxfId="82"/>
    <tableColumn id="3" xr3:uid="{2604C4AA-4E30-4A91-9BE6-56D54E7FAF1D}" name="Fornitore" dataDxfId="81"/>
    <tableColumn id="4" xr3:uid="{C4B9E65F-38B8-4EBB-8AC2-365E8854CFE0}" name="SIGLA FORNITORE" dataDxfId="80"/>
    <tableColumn id="5" xr3:uid="{A328486F-9755-413D-8FB2-12BD0CA45730}" name="Euro Act+Commit" dataDxfId="79"/>
    <tableColumn id="6" xr3:uid="{16F7F3C2-9952-412C-994F-2A742996D59F}" name="TOT ORE Act+Commit" dataDxfId="78" dataCellStyle="Normale 2 2 4"/>
    <tableColumn id="9" xr3:uid="{CFE688AD-5CCC-444C-A848-E819EA21CDD0}" name="EURO LUMP Act+Commit" dataDxfId="77" dataCellStyle="Normale 2 2 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12552F-6C68-4ED4-A4BD-82E224580D7F}" name="Table1" displayName="Table1" ref="B2:E16" totalsRowShown="0" headerRowDxfId="73" dataDxfId="72" tableBorderDxfId="71">
  <autoFilter ref="B2:E16" xr:uid="{6112552F-6C68-4ED4-A4BD-82E224580D7F}"/>
  <sortState xmlns:xlrd2="http://schemas.microsoft.com/office/spreadsheetml/2017/richdata2" ref="B3:E16">
    <sortCondition ref="B2:B16"/>
  </sortState>
  <tableColumns count="4">
    <tableColumn id="1" xr3:uid="{080093D7-DE63-4848-83D8-038286698A83}" name="FORNITORI" dataDxfId="70"/>
    <tableColumn id="2" xr3:uid="{F9F8531E-9AA7-4E08-838B-C768B95728BD}" name="Costo Orario" dataDxfId="69"/>
    <tableColumn id="3" xr3:uid="{3C8047C7-395E-407A-AA4D-B0E163BE56D7}" name="Categoria" dataDxfId="68"/>
    <tableColumn id="4" xr3:uid="{37674540-99B9-48FB-9417-4949C88743ED}" name="Colonna1" dataDxfId="6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5D6967-668D-4F6F-BC55-5C4471423B0C}" name="Table3" displayName="Table3" ref="F2:S16" totalsRowShown="0" headerRowDxfId="66" dataDxfId="65">
  <autoFilter ref="F2:S16" xr:uid="{365D6967-668D-4F6F-BC55-5C4471423B0C}"/>
  <sortState xmlns:xlrd2="http://schemas.microsoft.com/office/spreadsheetml/2017/richdata2" ref="F3:R16">
    <sortCondition ref="F2:F16"/>
  </sortState>
  <tableColumns count="14">
    <tableColumn id="1" xr3:uid="{27DD330E-5382-406A-A104-53F3DD86D4CA}" name="FORNITORI" dataDxfId="64"/>
    <tableColumn id="3" xr3:uid="{D8A89A6A-3A63-4323-9029-AE79EBCC4759}" name="Baldanza" dataDxfId="63"/>
    <tableColumn id="4" xr3:uid="{CFA8C917-7B62-4F47-8AC9-BE1958D8390C}" name="Degli Esposti" dataDxfId="62"/>
    <tableColumn id="5" xr3:uid="{7467D08D-1800-4AF8-84E7-C44DC366A72A}" name="Ferrari" dataDxfId="61"/>
    <tableColumn id="6" xr3:uid="{6B7579FD-82E0-4AE1-9E16-2A9FA7AAE5BF}" name="Fortini" dataDxfId="60"/>
    <tableColumn id="7" xr3:uid="{1FA2FF7D-2D9D-4810-BF0A-DE59E83DB3FC}" name="Guidotti" dataDxfId="59"/>
    <tableColumn id="8" xr3:uid="{92AD219F-75A4-47A6-A4A4-2EEC400C42A0}" name="Lanzarini" dataDxfId="58"/>
    <tableColumn id="9" xr3:uid="{973E8318-CC3C-4E60-9F7A-9A10C4691C87}" name="Mengoli" dataDxfId="57"/>
    <tableColumn id="10" xr3:uid="{098C2CAC-2CE9-4EDD-8280-20263628E19D}" name="Parmeggiani" dataDxfId="56"/>
    <tableColumn id="11" xr3:uid="{A466CA48-0437-47EF-A86B-7D2F26058972}" name="Polloni" dataDxfId="55"/>
    <tableColumn id="12" xr3:uid="{5ABCA978-386A-4A30-AE35-18F702707029}" name="Seren" dataDxfId="54"/>
    <tableColumn id="13" xr3:uid="{A297FB9C-AC2A-417C-AFA9-1F82482D1C25}" name="Squarzoni" dataDxfId="53"/>
    <tableColumn id="14" xr3:uid="{53162636-625F-4FD2-93A6-D9ECB29CDC89}" name="Zanotti" dataDxfId="52"/>
    <tableColumn id="2" xr3:uid="{036D462D-E335-410D-8BC1-CC3247629F7F}" name="Gamberini" dataDxfId="51"/>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41EF1F-5F34-42C6-BCB3-6D7ED4695378}" name="Table4" displayName="Table4" ref="A1:B15" totalsRowShown="0">
  <autoFilter ref="A1:B15" xr:uid="{A641EF1F-5F34-42C6-BCB3-6D7ED4695378}"/>
  <tableColumns count="2">
    <tableColumn id="1" xr3:uid="{97FF0718-BEEE-4085-9BDD-960981958119}" name="Sigla Fornitore"/>
    <tableColumn id="2" xr3:uid="{43EC7732-57DD-44A1-AE5A-F94CCEC15115}" name="Nome Fornit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4" dT="2021-09-29T11:23:55.63" personId="{BABCB286-E1F8-4541-9A16-ACFCDF274B9A}" id="{9C19B762-A305-4BC6-8DD7-55ABD77249DA}">
    <text>Nella divisione della formula del RAN RATE usare come fattore, il numero del mese precedente.
Esempio: Nell'aggiornamento del file esterni del mese di ottobre (tipicamente fatto intorno al 10° giorno del mese di ottobre), utilizzare il fattore 9.</text>
  </threadedComment>
  <threadedComment ref="S4" dT="2022-03-01T13:37:13.05" personId="{FB682D80-2592-43E1-AAF6-1C703CED6AD3}" id="{EE50DE62-5FE1-490E-90CB-DB8F63D1EE3E}" parentId="{9C19B762-A305-4BC6-8DD7-55ABD77249DA}">
    <text>Per il mese di Febbraio 2022, poiché il dato actual è arrivato a fine Febbraio è stato usato il fattore 2.</text>
  </threadedComment>
</ThreadedComments>
</file>

<file path=xl/threadedComments/threadedComment2.xml><?xml version="1.0" encoding="utf-8"?>
<ThreadedComments xmlns="http://schemas.microsoft.com/office/spreadsheetml/2018/threadedcomments" xmlns:x="http://schemas.openxmlformats.org/spreadsheetml/2006/main">
  <threadedComment ref="P11" dT="2023-06-09T11:59:26.95" personId="{FB682D80-2592-43E1-AAF6-1C703CED6AD3}" id="{5996E537-7835-470C-A087-CF26FC05D4C5}">
    <text>Continuo qui la somma</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5.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vmlDrawing" Target="../drawings/vmlDrawing2.vml"/><Relationship Id="rId1" Type="http://schemas.openxmlformats.org/officeDocument/2006/relationships/drawing" Target="../drawings/drawing14.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AC358-6D59-4A44-A8BB-35825363D7F7}">
  <sheetPr>
    <tabColor theme="9"/>
  </sheetPr>
  <dimension ref="A1:M25"/>
  <sheetViews>
    <sheetView workbookViewId="0">
      <selection activeCell="A442" sqref="A26:XFD442"/>
    </sheetView>
  </sheetViews>
  <sheetFormatPr defaultColWidth="26.28515625" defaultRowHeight="15" x14ac:dyDescent="0.25"/>
  <cols>
    <col min="1" max="1" width="16.140625" bestFit="1" customWidth="1"/>
    <col min="2" max="2" width="24.5703125" bestFit="1" customWidth="1"/>
    <col min="3" max="3" width="26" bestFit="1" customWidth="1"/>
    <col min="4" max="4" width="26.5703125" bestFit="1" customWidth="1"/>
    <col min="5" max="5" width="20" style="14" customWidth="1"/>
    <col min="6" max="7" width="26.28515625" style="14"/>
    <col min="8" max="8" width="19.28515625" style="7" customWidth="1"/>
    <col min="9" max="9" width="19.5703125" style="7" customWidth="1"/>
    <col min="10" max="10" width="25.5703125" style="7" customWidth="1"/>
    <col min="11" max="11" width="26.28515625" style="14"/>
    <col min="12" max="12" width="29.5703125" style="14" customWidth="1"/>
    <col min="13" max="13" width="26.28515625" style="14"/>
    <col min="14" max="14" width="57.7109375" style="14" customWidth="1"/>
    <col min="15" max="16384" width="26.28515625" style="14"/>
  </cols>
  <sheetData>
    <row r="1" spans="1:13" ht="24" thickBot="1" x14ac:dyDescent="0.3">
      <c r="A1" s="89" t="s">
        <v>68</v>
      </c>
      <c r="B1" s="90" t="s">
        <v>69</v>
      </c>
      <c r="C1" s="90" t="s">
        <v>70</v>
      </c>
      <c r="D1" s="90" t="s">
        <v>71</v>
      </c>
      <c r="E1" s="91" t="s">
        <v>72</v>
      </c>
      <c r="F1" s="92" t="s">
        <v>73</v>
      </c>
      <c r="G1" s="92" t="s">
        <v>74</v>
      </c>
      <c r="H1" s="93" t="s">
        <v>75</v>
      </c>
      <c r="I1" s="93" t="s">
        <v>76</v>
      </c>
      <c r="J1" s="92" t="s">
        <v>77</v>
      </c>
      <c r="L1" s="94" t="s">
        <v>78</v>
      </c>
      <c r="M1" s="95">
        <v>45082</v>
      </c>
    </row>
    <row r="2" spans="1:13" x14ac:dyDescent="0.25">
      <c r="A2" s="96" t="str">
        <f>Table2[[#This Row],[Responsabile]]&amp;"|"&amp;Table2[[#This Row],[SIGLA FORNITORE]]</f>
        <v>Baldanza|S1</v>
      </c>
      <c r="B2" s="97">
        <f>SUMIF(Table2[Stringa unita],Table2[[#This Row],[Responsabile]]&amp;"|"&amp;Table2[[#This Row],[SIGLA FORNITORE]],Table2[TOT ORE Act+Commit])</f>
        <v>0</v>
      </c>
      <c r="C2" s="97">
        <f>SUMIF(Table2[Stringa unita],Table2[[#This Row],[Responsabile]]&amp;"|"&amp;Table2[[#This Row],[SIGLA FORNITORE]],Table2[Euro Act+Commit])</f>
        <v>0</v>
      </c>
      <c r="D2" s="97">
        <f>SUMIF(Table2[Stringa unita],Table2[[#This Row],[Responsabile]]&amp;"|"&amp;Table2[[#This Row],[SIGLA FORNITORE]],Table2[EURO LUMP Act+Commit])</f>
        <v>0</v>
      </c>
      <c r="E2" s="98" t="s">
        <v>266</v>
      </c>
      <c r="F2" s="98" t="s">
        <v>128</v>
      </c>
      <c r="G2" s="98" t="s">
        <v>129</v>
      </c>
      <c r="H2" s="99">
        <v>0</v>
      </c>
      <c r="I2" s="516">
        <v>0</v>
      </c>
      <c r="J2" s="100">
        <v>0</v>
      </c>
    </row>
    <row r="3" spans="1:13" x14ac:dyDescent="0.25">
      <c r="A3" s="96" t="str">
        <f>Table2[[#This Row],[Responsabile]]&amp;"|"&amp;Table2[[#This Row],[SIGLA FORNITORE]]</f>
        <v>Baldanza|S2</v>
      </c>
      <c r="B3" s="97">
        <f>SUMIF(Table2[Stringa unita],Table2[[#This Row],[Responsabile]]&amp;"|"&amp;Table2[[#This Row],[SIGLA FORNITORE]],Table2[TOT ORE Act+Commit])</f>
        <v>0</v>
      </c>
      <c r="C3" s="97">
        <f>SUMIF(Table2[Stringa unita],Table2[[#This Row],[Responsabile]]&amp;"|"&amp;Table2[[#This Row],[SIGLA FORNITORE]],Table2[Euro Act+Commit])</f>
        <v>0</v>
      </c>
      <c r="D3" s="97">
        <f>SUMIF(Table2[Stringa unita],Table2[[#This Row],[Responsabile]]&amp;"|"&amp;Table2[[#This Row],[SIGLA FORNITORE]],Table2[EURO LUMP Act+Commit])</f>
        <v>0</v>
      </c>
      <c r="E3" s="98" t="s">
        <v>266</v>
      </c>
      <c r="F3" s="98" t="s">
        <v>130</v>
      </c>
      <c r="G3" s="98" t="s">
        <v>131</v>
      </c>
      <c r="H3" s="99">
        <v>0</v>
      </c>
      <c r="I3" s="516">
        <v>0</v>
      </c>
      <c r="J3" s="100">
        <v>0</v>
      </c>
    </row>
    <row r="4" spans="1:13" x14ac:dyDescent="0.25">
      <c r="A4" s="96" t="str">
        <f>Table2[[#This Row],[Responsabile]]&amp;"|"&amp;Table2[[#This Row],[SIGLA FORNITORE]]</f>
        <v>Baldanza|S3</v>
      </c>
      <c r="B4" s="97">
        <f>SUMIF(Table2[Stringa unita],Table2[[#This Row],[Responsabile]]&amp;"|"&amp;Table2[[#This Row],[SIGLA FORNITORE]],Table2[TOT ORE Act+Commit])</f>
        <v>0</v>
      </c>
      <c r="C4" s="97">
        <f>SUMIF(Table2[Stringa unita],Table2[[#This Row],[Responsabile]]&amp;"|"&amp;Table2[[#This Row],[SIGLA FORNITORE]],Table2[Euro Act+Commit])</f>
        <v>0</v>
      </c>
      <c r="D4" s="97">
        <f>SUMIF(Table2[Stringa unita],Table2[[#This Row],[Responsabile]]&amp;"|"&amp;Table2[[#This Row],[SIGLA FORNITORE]],Table2[EURO LUMP Act+Commit])</f>
        <v>0</v>
      </c>
      <c r="E4" s="98" t="s">
        <v>266</v>
      </c>
      <c r="F4" s="98" t="s">
        <v>132</v>
      </c>
      <c r="G4" s="98" t="s">
        <v>133</v>
      </c>
      <c r="H4" s="99">
        <v>0</v>
      </c>
      <c r="I4" s="516">
        <v>0</v>
      </c>
      <c r="J4" s="100">
        <v>0</v>
      </c>
    </row>
    <row r="5" spans="1:13" x14ac:dyDescent="0.25">
      <c r="A5" s="96" t="str">
        <f>Table2[[#This Row],[Responsabile]]&amp;"|"&amp;Table2[[#This Row],[SIGLA FORNITORE]]</f>
        <v>Baldanza|S4</v>
      </c>
      <c r="B5" s="97">
        <f>SUMIF(Table2[Stringa unita],Table2[[#This Row],[Responsabile]]&amp;"|"&amp;Table2[[#This Row],[SIGLA FORNITORE]],Table2[TOT ORE Act+Commit])</f>
        <v>0</v>
      </c>
      <c r="C5" s="97">
        <f>SUMIF(Table2[Stringa unita],Table2[[#This Row],[Responsabile]]&amp;"|"&amp;Table2[[#This Row],[SIGLA FORNITORE]],Table2[Euro Act+Commit])</f>
        <v>0</v>
      </c>
      <c r="D5" s="97">
        <f>SUMIF(Table2[Stringa unita],Table2[[#This Row],[Responsabile]]&amp;"|"&amp;Table2[[#This Row],[SIGLA FORNITORE]],Table2[EURO LUMP Act+Commit])</f>
        <v>0</v>
      </c>
      <c r="E5" s="98" t="s">
        <v>266</v>
      </c>
      <c r="F5" s="98" t="s">
        <v>134</v>
      </c>
      <c r="G5" s="98" t="s">
        <v>135</v>
      </c>
      <c r="H5" s="99">
        <v>0</v>
      </c>
      <c r="I5" s="516">
        <v>0</v>
      </c>
      <c r="J5" s="100">
        <v>0</v>
      </c>
    </row>
    <row r="6" spans="1:13" x14ac:dyDescent="0.25">
      <c r="A6" s="96" t="str">
        <f>Table2[[#This Row],[Responsabile]]&amp;"|"&amp;Table2[[#This Row],[SIGLA FORNITORE]]</f>
        <v>Baldanza|S5</v>
      </c>
      <c r="B6" s="97">
        <f>SUMIF(Table2[Stringa unita],Table2[[#This Row],[Responsabile]]&amp;"|"&amp;Table2[[#This Row],[SIGLA FORNITORE]],Table2[TOT ORE Act+Commit])</f>
        <v>0</v>
      </c>
      <c r="C6" s="97">
        <f>SUMIF(Table2[Stringa unita],Table2[[#This Row],[Responsabile]]&amp;"|"&amp;Table2[[#This Row],[SIGLA FORNITORE]],Table2[Euro Act+Commit])</f>
        <v>0</v>
      </c>
      <c r="D6" s="97">
        <f>SUMIF(Table2[Stringa unita],Table2[[#This Row],[Responsabile]]&amp;"|"&amp;Table2[[#This Row],[SIGLA FORNITORE]],Table2[EURO LUMP Act+Commit])</f>
        <v>0</v>
      </c>
      <c r="E6" s="98" t="s">
        <v>266</v>
      </c>
      <c r="F6" s="98" t="s">
        <v>136</v>
      </c>
      <c r="G6" s="98" t="s">
        <v>137</v>
      </c>
      <c r="H6" s="99">
        <v>0</v>
      </c>
      <c r="I6" s="516">
        <v>0</v>
      </c>
      <c r="J6" s="100">
        <v>0</v>
      </c>
    </row>
    <row r="7" spans="1:13" x14ac:dyDescent="0.25">
      <c r="A7" s="96" t="str">
        <f>Table2[[#This Row],[Responsabile]]&amp;"|"&amp;Table2[[#This Row],[SIGLA FORNITORE]]</f>
        <v>Baldanza|S6</v>
      </c>
      <c r="B7" s="97">
        <f>SUMIF(Table2[Stringa unita],Table2[[#This Row],[Responsabile]]&amp;"|"&amp;Table2[[#This Row],[SIGLA FORNITORE]],Table2[TOT ORE Act+Commit])</f>
        <v>0</v>
      </c>
      <c r="C7" s="97">
        <f>SUMIF(Table2[Stringa unita],Table2[[#This Row],[Responsabile]]&amp;"|"&amp;Table2[[#This Row],[SIGLA FORNITORE]],Table2[Euro Act+Commit])</f>
        <v>0</v>
      </c>
      <c r="D7" s="97">
        <f>SUMIF(Table2[Stringa unita],Table2[[#This Row],[Responsabile]]&amp;"|"&amp;Table2[[#This Row],[SIGLA FORNITORE]],Table2[EURO LUMP Act+Commit])</f>
        <v>0</v>
      </c>
      <c r="E7" s="98" t="s">
        <v>266</v>
      </c>
      <c r="F7" s="98" t="s">
        <v>138</v>
      </c>
      <c r="G7" s="98" t="s">
        <v>139</v>
      </c>
      <c r="H7" s="99">
        <v>0</v>
      </c>
      <c r="I7" s="516">
        <v>0</v>
      </c>
      <c r="J7" s="100">
        <v>0</v>
      </c>
    </row>
    <row r="8" spans="1:13" x14ac:dyDescent="0.25">
      <c r="A8" s="96" t="str">
        <f>Table2[[#This Row],[Responsabile]]&amp;"|"&amp;Table2[[#This Row],[SIGLA FORNITORE]]</f>
        <v>Baldanza|S7</v>
      </c>
      <c r="B8" s="97">
        <f>SUMIF(Table2[Stringa unita],Table2[[#This Row],[Responsabile]]&amp;"|"&amp;Table2[[#This Row],[SIGLA FORNITORE]],Table2[TOT ORE Act+Commit])</f>
        <v>0</v>
      </c>
      <c r="C8" s="97">
        <f>SUMIF(Table2[Stringa unita],Table2[[#This Row],[Responsabile]]&amp;"|"&amp;Table2[[#This Row],[SIGLA FORNITORE]],Table2[Euro Act+Commit])</f>
        <v>0</v>
      </c>
      <c r="D8" s="97">
        <f>SUMIF(Table2[Stringa unita],Table2[[#This Row],[Responsabile]]&amp;"|"&amp;Table2[[#This Row],[SIGLA FORNITORE]],Table2[EURO LUMP Act+Commit])</f>
        <v>0</v>
      </c>
      <c r="E8" s="98" t="s">
        <v>266</v>
      </c>
      <c r="F8" s="98" t="s">
        <v>140</v>
      </c>
      <c r="G8" s="98" t="s">
        <v>141</v>
      </c>
      <c r="H8" s="99">
        <v>0</v>
      </c>
      <c r="I8" s="516">
        <v>0</v>
      </c>
      <c r="J8" s="100">
        <v>0</v>
      </c>
    </row>
    <row r="9" spans="1:13" x14ac:dyDescent="0.25">
      <c r="A9" s="96" t="str">
        <f>Table2[[#This Row],[Responsabile]]&amp;"|"&amp;Table2[[#This Row],[SIGLA FORNITORE]]</f>
        <v>Baldanza|S8</v>
      </c>
      <c r="B9" s="97">
        <f>SUMIF(Table2[Stringa unita],Table2[[#This Row],[Responsabile]]&amp;"|"&amp;Table2[[#This Row],[SIGLA FORNITORE]],Table2[TOT ORE Act+Commit])</f>
        <v>0</v>
      </c>
      <c r="C9" s="97">
        <f>SUMIF(Table2[Stringa unita],Table2[[#This Row],[Responsabile]]&amp;"|"&amp;Table2[[#This Row],[SIGLA FORNITORE]],Table2[Euro Act+Commit])</f>
        <v>0</v>
      </c>
      <c r="D9" s="97">
        <f>SUMIF(Table2[Stringa unita],Table2[[#This Row],[Responsabile]]&amp;"|"&amp;Table2[[#This Row],[SIGLA FORNITORE]],Table2[EURO LUMP Act+Commit])</f>
        <v>0</v>
      </c>
      <c r="E9" s="98" t="s">
        <v>266</v>
      </c>
      <c r="F9" s="98" t="s">
        <v>142</v>
      </c>
      <c r="G9" s="98" t="s">
        <v>143</v>
      </c>
      <c r="H9" s="99">
        <v>0</v>
      </c>
      <c r="I9" s="516">
        <v>0</v>
      </c>
      <c r="J9" s="100">
        <v>0</v>
      </c>
    </row>
    <row r="10" spans="1:13" x14ac:dyDescent="0.25">
      <c r="A10" s="96" t="str">
        <f>Table2[[#This Row],[Responsabile]]&amp;"|"&amp;Table2[[#This Row],[SIGLA FORNITORE]]</f>
        <v>Baldanza|S9</v>
      </c>
      <c r="B10" s="97">
        <f>SUMIF(Table2[Stringa unita],Table2[[#This Row],[Responsabile]]&amp;"|"&amp;Table2[[#This Row],[SIGLA FORNITORE]],Table2[TOT ORE Act+Commit])</f>
        <v>0</v>
      </c>
      <c r="C10" s="97">
        <f>SUMIF(Table2[Stringa unita],Table2[[#This Row],[Responsabile]]&amp;"|"&amp;Table2[[#This Row],[SIGLA FORNITORE]],Table2[Euro Act+Commit])</f>
        <v>0</v>
      </c>
      <c r="D10" s="97">
        <f>SUMIF(Table2[Stringa unita],Table2[[#This Row],[Responsabile]]&amp;"|"&amp;Table2[[#This Row],[SIGLA FORNITORE]],Table2[EURO LUMP Act+Commit])</f>
        <v>0</v>
      </c>
      <c r="E10" s="98" t="s">
        <v>266</v>
      </c>
      <c r="F10" s="98" t="s">
        <v>144</v>
      </c>
      <c r="G10" s="98" t="s">
        <v>145</v>
      </c>
      <c r="H10" s="99">
        <v>0</v>
      </c>
      <c r="I10" s="516">
        <v>0</v>
      </c>
      <c r="J10" s="100">
        <v>0</v>
      </c>
    </row>
    <row r="11" spans="1:13" x14ac:dyDescent="0.25">
      <c r="A11" s="96" t="str">
        <f>Table2[[#This Row],[Responsabile]]&amp;"|"&amp;Table2[[#This Row],[SIGLA FORNITORE]]</f>
        <v>Baldanza|S10</v>
      </c>
      <c r="B11" s="97">
        <f>SUMIF(Table2[Stringa unita],Table2[[#This Row],[Responsabile]]&amp;"|"&amp;Table2[[#This Row],[SIGLA FORNITORE]],Table2[TOT ORE Act+Commit])</f>
        <v>0</v>
      </c>
      <c r="C11" s="97">
        <f>SUMIF(Table2[Stringa unita],Table2[[#This Row],[Responsabile]]&amp;"|"&amp;Table2[[#This Row],[SIGLA FORNITORE]],Table2[Euro Act+Commit])</f>
        <v>0</v>
      </c>
      <c r="D11" s="97">
        <f>SUMIF(Table2[Stringa unita],Table2[[#This Row],[Responsabile]]&amp;"|"&amp;Table2[[#This Row],[SIGLA FORNITORE]],Table2[EURO LUMP Act+Commit])</f>
        <v>0</v>
      </c>
      <c r="E11" s="98" t="s">
        <v>266</v>
      </c>
      <c r="F11" s="98" t="s">
        <v>146</v>
      </c>
      <c r="G11" s="98" t="s">
        <v>147</v>
      </c>
      <c r="H11" s="99">
        <v>0</v>
      </c>
      <c r="I11" s="516">
        <v>0</v>
      </c>
      <c r="J11" s="100">
        <v>0</v>
      </c>
    </row>
    <row r="12" spans="1:13" x14ac:dyDescent="0.25">
      <c r="A12" s="96" t="str">
        <f>Table2[[#This Row],[Responsabile]]&amp;"|"&amp;Table2[[#This Row],[SIGLA FORNITORE]]</f>
        <v>Baldanza|S11</v>
      </c>
      <c r="B12" s="97">
        <f>SUMIF(Table2[Stringa unita],Table2[[#This Row],[Responsabile]]&amp;"|"&amp;Table2[[#This Row],[SIGLA FORNITORE]],Table2[TOT ORE Act+Commit])</f>
        <v>0</v>
      </c>
      <c r="C12" s="97">
        <f>SUMIF(Table2[Stringa unita],Table2[[#This Row],[Responsabile]]&amp;"|"&amp;Table2[[#This Row],[SIGLA FORNITORE]],Table2[Euro Act+Commit])</f>
        <v>0</v>
      </c>
      <c r="D12" s="97">
        <f>SUMIF(Table2[Stringa unita],Table2[[#This Row],[Responsabile]]&amp;"|"&amp;Table2[[#This Row],[SIGLA FORNITORE]],Table2[EURO LUMP Act+Commit])</f>
        <v>0</v>
      </c>
      <c r="E12" s="98" t="s">
        <v>266</v>
      </c>
      <c r="F12" s="98" t="s">
        <v>148</v>
      </c>
      <c r="G12" s="98" t="s">
        <v>149</v>
      </c>
      <c r="H12" s="99">
        <v>0</v>
      </c>
      <c r="I12" s="516">
        <v>0</v>
      </c>
      <c r="J12" s="100">
        <v>0</v>
      </c>
    </row>
    <row r="13" spans="1:13" x14ac:dyDescent="0.25">
      <c r="A13" s="96" t="str">
        <f>Table2[[#This Row],[Responsabile]]&amp;"|"&amp;Table2[[#This Row],[SIGLA FORNITORE]]</f>
        <v>Baldanza|S12</v>
      </c>
      <c r="B13" s="97">
        <f>SUMIF(Table2[Stringa unita],Table2[[#This Row],[Responsabile]]&amp;"|"&amp;Table2[[#This Row],[SIGLA FORNITORE]],Table2[TOT ORE Act+Commit])</f>
        <v>0</v>
      </c>
      <c r="C13" s="97">
        <f>SUMIF(Table2[Stringa unita],Table2[[#This Row],[Responsabile]]&amp;"|"&amp;Table2[[#This Row],[SIGLA FORNITORE]],Table2[Euro Act+Commit])</f>
        <v>0</v>
      </c>
      <c r="D13" s="97">
        <f>SUMIF(Table2[Stringa unita],Table2[[#This Row],[Responsabile]]&amp;"|"&amp;Table2[[#This Row],[SIGLA FORNITORE]],Table2[EURO LUMP Act+Commit])</f>
        <v>0</v>
      </c>
      <c r="E13" s="98" t="s">
        <v>266</v>
      </c>
      <c r="F13" s="98" t="s">
        <v>150</v>
      </c>
      <c r="G13" s="98" t="s">
        <v>151</v>
      </c>
      <c r="H13" s="99">
        <v>0</v>
      </c>
      <c r="I13" s="516">
        <v>0</v>
      </c>
      <c r="J13" s="100">
        <v>0</v>
      </c>
    </row>
    <row r="14" spans="1:13" x14ac:dyDescent="0.25">
      <c r="A14" s="96" t="str">
        <f>Table2[[#This Row],[Responsabile]]&amp;"|"&amp;Table2[[#This Row],[SIGLA FORNITORE]]</f>
        <v>Baldanza|S13</v>
      </c>
      <c r="B14" s="97">
        <f>SUMIF(Table2[Stringa unita],Table2[[#This Row],[Responsabile]]&amp;"|"&amp;Table2[[#This Row],[SIGLA FORNITORE]],Table2[TOT ORE Act+Commit])</f>
        <v>0</v>
      </c>
      <c r="C14" s="97">
        <f>SUMIF(Table2[Stringa unita],Table2[[#This Row],[Responsabile]]&amp;"|"&amp;Table2[[#This Row],[SIGLA FORNITORE]],Table2[Euro Act+Commit])</f>
        <v>0</v>
      </c>
      <c r="D14" s="97">
        <f>SUMIF(Table2[Stringa unita],Table2[[#This Row],[Responsabile]]&amp;"|"&amp;Table2[[#This Row],[SIGLA FORNITORE]],Table2[EURO LUMP Act+Commit])</f>
        <v>0</v>
      </c>
      <c r="E14" s="98" t="s">
        <v>266</v>
      </c>
      <c r="F14" s="98" t="s">
        <v>152</v>
      </c>
      <c r="G14" s="98" t="s">
        <v>153</v>
      </c>
      <c r="H14" s="99">
        <v>0</v>
      </c>
      <c r="I14" s="516">
        <v>0</v>
      </c>
      <c r="J14" s="99">
        <v>0</v>
      </c>
    </row>
    <row r="15" spans="1:13" x14ac:dyDescent="0.25">
      <c r="A15" s="96" t="str">
        <f>Table2[[#This Row],[Responsabile]]&amp;"|"&amp;Table2[[#This Row],[SIGLA FORNITORE]]</f>
        <v>Baldanza|S14</v>
      </c>
      <c r="B15" s="97">
        <f>SUMIF(Table2[Stringa unita],Table2[[#This Row],[Responsabile]]&amp;"|"&amp;Table2[[#This Row],[SIGLA FORNITORE]],Table2[TOT ORE Act+Commit])</f>
        <v>0</v>
      </c>
      <c r="C15" s="97">
        <f>SUMIF(Table2[Stringa unita],Table2[[#This Row],[Responsabile]]&amp;"|"&amp;Table2[[#This Row],[SIGLA FORNITORE]],Table2[Euro Act+Commit])</f>
        <v>0</v>
      </c>
      <c r="D15" s="97">
        <f>SUMIF(Table2[Stringa unita],Table2[[#This Row],[Responsabile]]&amp;"|"&amp;Table2[[#This Row],[SIGLA FORNITORE]],Table2[EURO LUMP Act+Commit])</f>
        <v>0</v>
      </c>
      <c r="E15" s="98" t="s">
        <v>266</v>
      </c>
      <c r="F15" s="98" t="s">
        <v>154</v>
      </c>
      <c r="G15" s="98" t="s">
        <v>155</v>
      </c>
      <c r="H15" s="99">
        <v>0</v>
      </c>
      <c r="I15" s="516">
        <v>0</v>
      </c>
      <c r="J15" s="99">
        <v>0</v>
      </c>
    </row>
    <row r="16" spans="1:13" ht="20.25" customHeight="1" x14ac:dyDescent="0.25">
      <c r="A16" s="96" t="str">
        <f>Table2[[#This Row],[Responsabile]]&amp;"|"&amp;Table2[[#This Row],[SIGLA FORNITORE]]</f>
        <v>Ferrari|S1</v>
      </c>
      <c r="B16" s="97">
        <f>SUMIF(Table2[Stringa unita],Table2[[#This Row],[Responsabile]]&amp;"|"&amp;Table2[[#This Row],[SIGLA FORNITORE]],Table2[TOT ORE Act+Commit])</f>
        <v>0</v>
      </c>
      <c r="C16" s="97">
        <f>SUMIF(Table2[Stringa unita],Table2[[#This Row],[Responsabile]]&amp;"|"&amp;Table2[[#This Row],[SIGLA FORNITORE]],Table2[Euro Act+Commit])</f>
        <v>0</v>
      </c>
      <c r="D16" s="97">
        <f>SUMIF(Table2[Stringa unita],Table2[[#This Row],[Responsabile]]&amp;"|"&amp;Table2[[#This Row],[SIGLA FORNITORE]],Table2[EURO LUMP Act+Commit])</f>
        <v>0</v>
      </c>
      <c r="E16" s="98" t="s">
        <v>267</v>
      </c>
      <c r="F16" s="98" t="s">
        <v>128</v>
      </c>
      <c r="G16" s="98" t="s">
        <v>129</v>
      </c>
      <c r="H16" s="99">
        <v>0</v>
      </c>
      <c r="I16" s="516">
        <v>0</v>
      </c>
      <c r="J16" s="99">
        <v>0</v>
      </c>
    </row>
    <row r="17" spans="1:10" ht="20.25" customHeight="1" x14ac:dyDescent="0.25">
      <c r="A17" s="96" t="str">
        <f>Table2[[#This Row],[Responsabile]]&amp;"|"&amp;Table2[[#This Row],[SIGLA FORNITORE]]</f>
        <v>Ferrari|S2</v>
      </c>
      <c r="B17" s="97">
        <f>SUMIF(Table2[Stringa unita],Table2[[#This Row],[Responsabile]]&amp;"|"&amp;Table2[[#This Row],[SIGLA FORNITORE]],Table2[TOT ORE Act+Commit])</f>
        <v>0</v>
      </c>
      <c r="C17" s="97">
        <f>SUMIF(Table2[Stringa unita],Table2[[#This Row],[Responsabile]]&amp;"|"&amp;Table2[[#This Row],[SIGLA FORNITORE]],Table2[Euro Act+Commit])</f>
        <v>0</v>
      </c>
      <c r="D17" s="97">
        <f>SUMIF(Table2[Stringa unita],Table2[[#This Row],[Responsabile]]&amp;"|"&amp;Table2[[#This Row],[SIGLA FORNITORE]],Table2[EURO LUMP Act+Commit])</f>
        <v>0</v>
      </c>
      <c r="E17" s="98" t="s">
        <v>267</v>
      </c>
      <c r="F17" s="98" t="s">
        <v>130</v>
      </c>
      <c r="G17" s="98" t="s">
        <v>131</v>
      </c>
      <c r="H17" s="99">
        <v>0</v>
      </c>
      <c r="I17" s="516">
        <v>0</v>
      </c>
      <c r="J17" s="99">
        <v>0</v>
      </c>
    </row>
    <row r="18" spans="1:10" ht="20.25" customHeight="1" x14ac:dyDescent="0.25">
      <c r="A18" s="96" t="str">
        <f>Table2[[#This Row],[Responsabile]]&amp;"|"&amp;Table2[[#This Row],[SIGLA FORNITORE]]</f>
        <v>Ferrari|S3</v>
      </c>
      <c r="B18" s="97">
        <f>SUMIF(Table2[Stringa unita],Table2[[#This Row],[Responsabile]]&amp;"|"&amp;Table2[[#This Row],[SIGLA FORNITORE]],Table2[TOT ORE Act+Commit])</f>
        <v>0</v>
      </c>
      <c r="C18" s="97">
        <f>SUMIF(Table2[Stringa unita],Table2[[#This Row],[Responsabile]]&amp;"|"&amp;Table2[[#This Row],[SIGLA FORNITORE]],Table2[Euro Act+Commit])</f>
        <v>0</v>
      </c>
      <c r="D18" s="97">
        <f>SUMIF(Table2[Stringa unita],Table2[[#This Row],[Responsabile]]&amp;"|"&amp;Table2[[#This Row],[SIGLA FORNITORE]],Table2[EURO LUMP Act+Commit])</f>
        <v>0</v>
      </c>
      <c r="E18" s="98" t="s">
        <v>267</v>
      </c>
      <c r="F18" s="98" t="s">
        <v>132</v>
      </c>
      <c r="G18" s="98" t="s">
        <v>133</v>
      </c>
      <c r="H18" s="99">
        <v>0</v>
      </c>
      <c r="I18" s="516">
        <v>0</v>
      </c>
      <c r="J18" s="99">
        <v>0</v>
      </c>
    </row>
    <row r="19" spans="1:10" ht="20.25" customHeight="1" x14ac:dyDescent="0.25">
      <c r="A19" s="96" t="str">
        <f>Table2[[#This Row],[Responsabile]]&amp;"|"&amp;Table2[[#This Row],[SIGLA FORNITORE]]</f>
        <v>Ferrari|S4</v>
      </c>
      <c r="B19" s="97">
        <f>SUMIF(Table2[Stringa unita],Table2[[#This Row],[Responsabile]]&amp;"|"&amp;Table2[[#This Row],[SIGLA FORNITORE]],Table2[TOT ORE Act+Commit])</f>
        <v>0</v>
      </c>
      <c r="C19" s="97">
        <f>SUMIF(Table2[Stringa unita],Table2[[#This Row],[Responsabile]]&amp;"|"&amp;Table2[[#This Row],[SIGLA FORNITORE]],Table2[Euro Act+Commit])</f>
        <v>0</v>
      </c>
      <c r="D19" s="97">
        <f>SUMIF(Table2[Stringa unita],Table2[[#This Row],[Responsabile]]&amp;"|"&amp;Table2[[#This Row],[SIGLA FORNITORE]],Table2[EURO LUMP Act+Commit])</f>
        <v>0</v>
      </c>
      <c r="E19" s="98" t="s">
        <v>267</v>
      </c>
      <c r="F19" s="98" t="s">
        <v>134</v>
      </c>
      <c r="G19" s="98" t="s">
        <v>135</v>
      </c>
      <c r="H19" s="99">
        <v>0</v>
      </c>
      <c r="I19" s="516">
        <v>0</v>
      </c>
      <c r="J19" s="99">
        <v>0</v>
      </c>
    </row>
    <row r="20" spans="1:10" ht="20.25" customHeight="1" x14ac:dyDescent="0.25">
      <c r="A20" s="96" t="str">
        <f>Table2[[#This Row],[Responsabile]]&amp;"|"&amp;Table2[[#This Row],[SIGLA FORNITORE]]</f>
        <v>Ferrari|S5</v>
      </c>
      <c r="B20" s="97">
        <f>SUMIF(Table2[Stringa unita],Table2[[#This Row],[Responsabile]]&amp;"|"&amp;Table2[[#This Row],[SIGLA FORNITORE]],Table2[TOT ORE Act+Commit])</f>
        <v>0</v>
      </c>
      <c r="C20" s="97">
        <f>SUMIF(Table2[Stringa unita],Table2[[#This Row],[Responsabile]]&amp;"|"&amp;Table2[[#This Row],[SIGLA FORNITORE]],Table2[Euro Act+Commit])</f>
        <v>0</v>
      </c>
      <c r="D20" s="97">
        <f>SUMIF(Table2[Stringa unita],Table2[[#This Row],[Responsabile]]&amp;"|"&amp;Table2[[#This Row],[SIGLA FORNITORE]],Table2[EURO LUMP Act+Commit])</f>
        <v>0</v>
      </c>
      <c r="E20" s="98" t="s">
        <v>267</v>
      </c>
      <c r="F20" s="98" t="s">
        <v>136</v>
      </c>
      <c r="G20" s="98" t="s">
        <v>137</v>
      </c>
      <c r="H20" s="99">
        <v>0</v>
      </c>
      <c r="I20" s="517">
        <v>0</v>
      </c>
      <c r="J20" s="99">
        <v>0</v>
      </c>
    </row>
    <row r="21" spans="1:10" ht="20.25" customHeight="1" x14ac:dyDescent="0.25">
      <c r="A21" s="96" t="str">
        <f>Table2[[#This Row],[Responsabile]]&amp;"|"&amp;Table2[[#This Row],[SIGLA FORNITORE]]</f>
        <v>Ferrari|S6</v>
      </c>
      <c r="B21" s="97">
        <f>SUMIF(Table2[Stringa unita],Table2[[#This Row],[Responsabile]]&amp;"|"&amp;Table2[[#This Row],[SIGLA FORNITORE]],Table2[TOT ORE Act+Commit])</f>
        <v>0</v>
      </c>
      <c r="C21" s="97">
        <f>SUMIF(Table2[Stringa unita],Table2[[#This Row],[Responsabile]]&amp;"|"&amp;Table2[[#This Row],[SIGLA FORNITORE]],Table2[Euro Act+Commit])</f>
        <v>0</v>
      </c>
      <c r="D21" s="97">
        <f>SUMIF(Table2[Stringa unita],Table2[[#This Row],[Responsabile]]&amp;"|"&amp;Table2[[#This Row],[SIGLA FORNITORE]],Table2[EURO LUMP Act+Commit])</f>
        <v>0</v>
      </c>
      <c r="E21" s="98" t="s">
        <v>267</v>
      </c>
      <c r="F21" s="98" t="s">
        <v>138</v>
      </c>
      <c r="G21" s="98" t="s">
        <v>139</v>
      </c>
      <c r="H21" s="99">
        <v>0</v>
      </c>
      <c r="I21" s="516">
        <v>0</v>
      </c>
      <c r="J21" s="100">
        <v>0</v>
      </c>
    </row>
    <row r="22" spans="1:10" ht="20.25" customHeight="1" x14ac:dyDescent="0.25">
      <c r="A22" s="96" t="str">
        <f>Table2[[#This Row],[Responsabile]]&amp;"|"&amp;Table2[[#This Row],[SIGLA FORNITORE]]</f>
        <v>Ferrari|S7</v>
      </c>
      <c r="B22" s="97">
        <f>SUMIF(Table2[Stringa unita],Table2[[#This Row],[Responsabile]]&amp;"|"&amp;Table2[[#This Row],[SIGLA FORNITORE]],Table2[TOT ORE Act+Commit])</f>
        <v>0</v>
      </c>
      <c r="C22" s="97">
        <f>SUMIF(Table2[Stringa unita],Table2[[#This Row],[Responsabile]]&amp;"|"&amp;Table2[[#This Row],[SIGLA FORNITORE]],Table2[Euro Act+Commit])</f>
        <v>0</v>
      </c>
      <c r="D22" s="97">
        <f>SUMIF(Table2[Stringa unita],Table2[[#This Row],[Responsabile]]&amp;"|"&amp;Table2[[#This Row],[SIGLA FORNITORE]],Table2[EURO LUMP Act+Commit])</f>
        <v>0</v>
      </c>
      <c r="E22" s="98" t="s">
        <v>267</v>
      </c>
      <c r="F22" s="98" t="s">
        <v>140</v>
      </c>
      <c r="G22" s="98" t="s">
        <v>141</v>
      </c>
      <c r="H22" s="99">
        <v>0</v>
      </c>
      <c r="I22" s="516">
        <v>0</v>
      </c>
      <c r="J22" s="100">
        <v>0</v>
      </c>
    </row>
    <row r="23" spans="1:10" x14ac:dyDescent="0.25">
      <c r="A23" s="96" t="str">
        <f>Table2[[#This Row],[Responsabile]]&amp;"|"&amp;Table2[[#This Row],[SIGLA FORNITORE]]</f>
        <v>Ferrari|S8</v>
      </c>
      <c r="B23" s="97">
        <f>SUMIF(Table2[Stringa unita],Table2[[#This Row],[Responsabile]]&amp;"|"&amp;Table2[[#This Row],[SIGLA FORNITORE]],Table2[TOT ORE Act+Commit])</f>
        <v>0</v>
      </c>
      <c r="C23" s="97">
        <f>SUMIF(Table2[Stringa unita],Table2[[#This Row],[Responsabile]]&amp;"|"&amp;Table2[[#This Row],[SIGLA FORNITORE]],Table2[Euro Act+Commit])</f>
        <v>0</v>
      </c>
      <c r="D23" s="97">
        <f>SUMIF(Table2[Stringa unita],Table2[[#This Row],[Responsabile]]&amp;"|"&amp;Table2[[#This Row],[SIGLA FORNITORE]],Table2[EURO LUMP Act+Commit])</f>
        <v>0</v>
      </c>
      <c r="E23" s="98" t="s">
        <v>267</v>
      </c>
      <c r="F23" s="98" t="s">
        <v>142</v>
      </c>
      <c r="G23" s="98" t="s">
        <v>143</v>
      </c>
      <c r="H23" s="99">
        <v>0</v>
      </c>
      <c r="I23" s="516">
        <v>0</v>
      </c>
      <c r="J23" s="100">
        <v>0</v>
      </c>
    </row>
    <row r="24" spans="1:10" x14ac:dyDescent="0.25">
      <c r="A24" s="96" t="str">
        <f>Table2[[#This Row],[Responsabile]]&amp;"|"&amp;Table2[[#This Row],[SIGLA FORNITORE]]</f>
        <v>Ferrari|S9</v>
      </c>
      <c r="B24" s="97">
        <f>SUMIF(Table2[Stringa unita],Table2[[#This Row],[Responsabile]]&amp;"|"&amp;Table2[[#This Row],[SIGLA FORNITORE]],Table2[TOT ORE Act+Commit])</f>
        <v>0</v>
      </c>
      <c r="C24" s="97">
        <f>SUMIF(Table2[Stringa unita],Table2[[#This Row],[Responsabile]]&amp;"|"&amp;Table2[[#This Row],[SIGLA FORNITORE]],Table2[Euro Act+Commit])</f>
        <v>0</v>
      </c>
      <c r="D24" s="97">
        <f>SUMIF(Table2[Stringa unita],Table2[[#This Row],[Responsabile]]&amp;"|"&amp;Table2[[#This Row],[SIGLA FORNITORE]],Table2[EURO LUMP Act+Commit])</f>
        <v>0</v>
      </c>
      <c r="E24" s="98" t="s">
        <v>267</v>
      </c>
      <c r="F24" s="98" t="s">
        <v>144</v>
      </c>
      <c r="G24" s="101" t="s">
        <v>145</v>
      </c>
      <c r="H24" s="99">
        <v>0</v>
      </c>
      <c r="I24" s="516">
        <v>0</v>
      </c>
      <c r="J24" s="100">
        <v>0</v>
      </c>
    </row>
    <row r="25" spans="1:10" x14ac:dyDescent="0.25">
      <c r="A25" s="96" t="str">
        <f>Table2[[#This Row],[Responsabile]]&amp;"|"&amp;Table2[[#This Row],[SIGLA FORNITORE]]</f>
        <v>Ferrari|S10</v>
      </c>
      <c r="B25" s="97">
        <f>SUMIF(Table2[Stringa unita],Table2[[#This Row],[Responsabile]]&amp;"|"&amp;Table2[[#This Row],[SIGLA FORNITORE]],Table2[TOT ORE Act+Commit])</f>
        <v>0</v>
      </c>
      <c r="C25" s="97">
        <f>SUMIF(Table2[Stringa unita],Table2[[#This Row],[Responsabile]]&amp;"|"&amp;Table2[[#This Row],[SIGLA FORNITORE]],Table2[Euro Act+Commit])</f>
        <v>0</v>
      </c>
      <c r="D25" s="97">
        <f>SUMIF(Table2[Stringa unita],Table2[[#This Row],[Responsabile]]&amp;"|"&amp;Table2[[#This Row],[SIGLA FORNITORE]],Table2[EURO LUMP Act+Commit])</f>
        <v>0</v>
      </c>
      <c r="E25" s="98" t="s">
        <v>267</v>
      </c>
      <c r="F25" s="98" t="s">
        <v>146</v>
      </c>
      <c r="G25" s="98" t="s">
        <v>147</v>
      </c>
      <c r="H25" s="99">
        <v>0</v>
      </c>
      <c r="I25" s="516">
        <v>0</v>
      </c>
      <c r="J25" s="100">
        <v>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ACE36-044B-440A-91C2-9A7AD0758BB8}">
  <dimension ref="A1:HC18"/>
  <sheetViews>
    <sheetView workbookViewId="0">
      <selection activeCell="J97" sqref="J97:J117"/>
    </sheetView>
  </sheetViews>
  <sheetFormatPr defaultRowHeight="15" x14ac:dyDescent="0.25"/>
  <cols>
    <col min="2" max="2" width="7.140625" bestFit="1" customWidth="1"/>
    <col min="3" max="3" width="16.28515625" bestFit="1" customWidth="1"/>
    <col min="4" max="4" width="6" bestFit="1" customWidth="1"/>
    <col min="5" max="6" width="9.7109375" bestFit="1" customWidth="1"/>
    <col min="7" max="7" width="9.85546875" bestFit="1" customWidth="1"/>
    <col min="8" max="8" width="9.28515625" bestFit="1" customWidth="1"/>
    <col min="9" max="10" width="6" bestFit="1" customWidth="1"/>
    <col min="22" max="22" width="34.7109375" bestFit="1" customWidth="1"/>
    <col min="23" max="23" width="16.28515625" bestFit="1" customWidth="1"/>
    <col min="24" max="24" width="11.28515625" bestFit="1" customWidth="1"/>
    <col min="25" max="26" width="9.7109375" bestFit="1" customWidth="1"/>
    <col min="27" max="27" width="9.85546875" bestFit="1" customWidth="1"/>
    <col min="28" max="28" width="9.28515625" bestFit="1" customWidth="1"/>
    <col min="29" max="30" width="11.28515625" bestFit="1" customWidth="1"/>
    <col min="42" max="42" width="18.42578125" bestFit="1" customWidth="1"/>
    <col min="43" max="43" width="16.28515625" bestFit="1" customWidth="1"/>
    <col min="44" max="44" width="11.28515625" bestFit="1" customWidth="1"/>
    <col min="45" max="46" width="9.7109375" bestFit="1" customWidth="1"/>
    <col min="47" max="47" width="9.85546875" bestFit="1" customWidth="1"/>
    <col min="48" max="48" width="9.28515625" bestFit="1" customWidth="1"/>
    <col min="49" max="50" width="11.28515625" bestFit="1" customWidth="1"/>
    <col min="63" max="63" width="25.28515625" bestFit="1" customWidth="1"/>
    <col min="64" max="64" width="16.28515625" bestFit="1" customWidth="1"/>
    <col min="65" max="66" width="12" bestFit="1" customWidth="1"/>
    <col min="67" max="67" width="9.7109375" bestFit="1" customWidth="1"/>
    <col min="68" max="68" width="9.85546875" bestFit="1" customWidth="1"/>
    <col min="69" max="69" width="9.28515625" bestFit="1" customWidth="1"/>
    <col min="70" max="70" width="12" bestFit="1" customWidth="1"/>
    <col min="71" max="71" width="11.28515625" bestFit="1" customWidth="1"/>
    <col min="86" max="86" width="26.85546875" bestFit="1" customWidth="1"/>
    <col min="87" max="87" width="16.28515625" bestFit="1" customWidth="1"/>
    <col min="88" max="88" width="11.28515625" bestFit="1" customWidth="1"/>
    <col min="89" max="90" width="9.7109375" bestFit="1" customWidth="1"/>
    <col min="91" max="91" width="9.85546875" bestFit="1" customWidth="1"/>
    <col min="92" max="92" width="9.28515625" bestFit="1" customWidth="1"/>
    <col min="93" max="94" width="11.28515625" bestFit="1" customWidth="1"/>
    <col min="107" max="107" width="27.140625" bestFit="1" customWidth="1"/>
    <col min="108" max="108" width="16.28515625" bestFit="1" customWidth="1"/>
    <col min="109" max="109" width="11.28515625" bestFit="1" customWidth="1"/>
    <col min="110" max="111" width="9.7109375" bestFit="1" customWidth="1"/>
    <col min="112" max="112" width="9.85546875" bestFit="1" customWidth="1"/>
    <col min="113" max="113" width="9.28515625" bestFit="1" customWidth="1"/>
    <col min="114" max="115" width="11.28515625" bestFit="1" customWidth="1"/>
    <col min="130" max="130" width="16.85546875" bestFit="1" customWidth="1"/>
    <col min="131" max="131" width="16.28515625" bestFit="1" customWidth="1"/>
    <col min="132" max="132" width="11.28515625" bestFit="1" customWidth="1"/>
    <col min="133" max="134" width="9.7109375" bestFit="1" customWidth="1"/>
    <col min="135" max="135" width="9.85546875" bestFit="1" customWidth="1"/>
    <col min="136" max="136" width="9.28515625" bestFit="1" customWidth="1"/>
    <col min="137" max="138" width="11.28515625" bestFit="1" customWidth="1"/>
    <col min="154" max="154" width="24.28515625" bestFit="1" customWidth="1"/>
    <col min="155" max="155" width="16.28515625" bestFit="1" customWidth="1"/>
    <col min="156" max="156" width="11.28515625" bestFit="1" customWidth="1"/>
    <col min="157" max="158" width="9.7109375" bestFit="1" customWidth="1"/>
    <col min="159" max="159" width="9.85546875" bestFit="1" customWidth="1"/>
    <col min="160" max="160" width="9.28515625" bestFit="1" customWidth="1"/>
    <col min="161" max="162" width="11.28515625" bestFit="1" customWidth="1"/>
    <col min="178" max="178" width="18.140625" bestFit="1" customWidth="1"/>
    <col min="179" max="179" width="16.28515625" bestFit="1" customWidth="1"/>
    <col min="180" max="180" width="11.28515625" bestFit="1" customWidth="1"/>
    <col min="181" max="182" width="9.7109375" bestFit="1" customWidth="1"/>
    <col min="183" max="183" width="9.85546875" bestFit="1" customWidth="1"/>
    <col min="184" max="184" width="9.28515625" bestFit="1" customWidth="1"/>
    <col min="185" max="186" width="11.28515625" bestFit="1" customWidth="1"/>
    <col min="203" max="203" width="25.5703125" bestFit="1" customWidth="1"/>
    <col min="204" max="204" width="16.28515625" bestFit="1" customWidth="1"/>
    <col min="205" max="205" width="11.28515625" bestFit="1" customWidth="1"/>
    <col min="206" max="207" width="9.7109375" bestFit="1" customWidth="1"/>
    <col min="208" max="208" width="9.85546875" bestFit="1" customWidth="1"/>
    <col min="209" max="209" width="9.28515625" bestFit="1" customWidth="1"/>
    <col min="210" max="211" width="11.28515625" bestFit="1" customWidth="1"/>
  </cols>
  <sheetData>
    <row r="1" spans="1:211" x14ac:dyDescent="0.25">
      <c r="A1" s="141" t="s">
        <v>18</v>
      </c>
      <c r="B1" t="s">
        <v>247</v>
      </c>
    </row>
    <row r="3" spans="1:211" x14ac:dyDescent="0.25">
      <c r="BC3" t="s">
        <v>87</v>
      </c>
    </row>
    <row r="5" spans="1:211" s="142" customFormat="1" x14ac:dyDescent="0.25">
      <c r="B5" s="142" t="s">
        <v>88</v>
      </c>
      <c r="C5" s="142" t="s">
        <v>92</v>
      </c>
      <c r="E5"/>
      <c r="F5"/>
      <c r="G5"/>
      <c r="H5"/>
      <c r="I5"/>
      <c r="J5"/>
      <c r="V5" s="141" t="s">
        <v>89</v>
      </c>
      <c r="W5" s="141" t="s">
        <v>92</v>
      </c>
      <c r="X5"/>
      <c r="Y5"/>
      <c r="Z5"/>
      <c r="AA5"/>
      <c r="AB5"/>
      <c r="AC5"/>
      <c r="AD5"/>
      <c r="AP5" s="141" t="s">
        <v>90</v>
      </c>
      <c r="AQ5" s="141" t="s">
        <v>92</v>
      </c>
      <c r="AR5"/>
      <c r="AS5"/>
      <c r="AT5"/>
      <c r="AU5"/>
      <c r="AV5"/>
      <c r="AW5"/>
      <c r="AX5"/>
      <c r="BK5" s="141" t="s">
        <v>91</v>
      </c>
      <c r="BL5" s="141" t="s">
        <v>92</v>
      </c>
      <c r="BM5"/>
      <c r="BN5"/>
      <c r="BO5"/>
      <c r="BP5"/>
      <c r="BQ5"/>
      <c r="BR5"/>
      <c r="BS5"/>
      <c r="CH5" s="141" t="s">
        <v>100</v>
      </c>
      <c r="CI5" s="141" t="s">
        <v>92</v>
      </c>
      <c r="CJ5"/>
      <c r="CK5"/>
      <c r="CL5"/>
      <c r="CM5"/>
      <c r="CN5"/>
      <c r="CO5"/>
      <c r="CP5"/>
      <c r="DC5" s="141" t="s">
        <v>93</v>
      </c>
      <c r="DD5" s="141" t="s">
        <v>92</v>
      </c>
      <c r="DE5"/>
      <c r="DF5"/>
      <c r="DG5"/>
      <c r="DH5"/>
      <c r="DI5"/>
      <c r="DJ5"/>
      <c r="DK5"/>
      <c r="DZ5" s="141" t="s">
        <v>94</v>
      </c>
      <c r="EA5" s="141" t="s">
        <v>92</v>
      </c>
      <c r="EB5"/>
      <c r="EC5"/>
      <c r="ED5"/>
      <c r="EE5"/>
      <c r="EF5"/>
      <c r="EG5"/>
      <c r="EH5"/>
      <c r="EX5" s="141" t="s">
        <v>95</v>
      </c>
      <c r="EY5" s="141" t="s">
        <v>92</v>
      </c>
      <c r="EZ5"/>
      <c r="FA5"/>
      <c r="FB5"/>
      <c r="FC5"/>
      <c r="FD5"/>
      <c r="FE5"/>
      <c r="FF5"/>
      <c r="FV5" s="141" t="s">
        <v>96</v>
      </c>
      <c r="FW5" s="141" t="s">
        <v>92</v>
      </c>
      <c r="FX5"/>
      <c r="FY5"/>
      <c r="FZ5"/>
      <c r="GA5"/>
      <c r="GB5"/>
      <c r="GC5"/>
      <c r="GD5"/>
      <c r="GU5" s="141" t="s">
        <v>97</v>
      </c>
      <c r="GV5" s="141" t="s">
        <v>92</v>
      </c>
      <c r="GW5"/>
      <c r="GX5"/>
      <c r="GY5"/>
      <c r="GZ5"/>
      <c r="HA5"/>
      <c r="HB5"/>
      <c r="HC5"/>
    </row>
    <row r="6" spans="1:211" x14ac:dyDescent="0.25">
      <c r="B6" s="141" t="s">
        <v>98</v>
      </c>
      <c r="C6" t="s">
        <v>273</v>
      </c>
      <c r="D6" t="s">
        <v>42</v>
      </c>
      <c r="V6" s="141" t="s">
        <v>98</v>
      </c>
      <c r="W6" t="s">
        <v>273</v>
      </c>
      <c r="X6" t="s">
        <v>99</v>
      </c>
      <c r="AP6" s="141" t="s">
        <v>98</v>
      </c>
      <c r="AQ6" t="s">
        <v>273</v>
      </c>
      <c r="AR6" t="s">
        <v>99</v>
      </c>
      <c r="BK6" s="141" t="s">
        <v>98</v>
      </c>
      <c r="BL6" t="s">
        <v>273</v>
      </c>
      <c r="BM6" t="s">
        <v>99</v>
      </c>
      <c r="CH6" s="141" t="s">
        <v>98</v>
      </c>
      <c r="CI6" t="s">
        <v>273</v>
      </c>
      <c r="CJ6" t="s">
        <v>99</v>
      </c>
      <c r="DC6" s="141" t="s">
        <v>98</v>
      </c>
      <c r="DD6" t="s">
        <v>273</v>
      </c>
      <c r="DE6" t="s">
        <v>99</v>
      </c>
      <c r="DZ6" s="141" t="s">
        <v>98</v>
      </c>
      <c r="EA6" t="s">
        <v>273</v>
      </c>
      <c r="EB6" t="s">
        <v>99</v>
      </c>
      <c r="EX6" s="141" t="s">
        <v>98</v>
      </c>
      <c r="EY6" t="s">
        <v>273</v>
      </c>
      <c r="EZ6" t="s">
        <v>99</v>
      </c>
      <c r="FV6" s="141" t="s">
        <v>98</v>
      </c>
      <c r="FW6" t="s">
        <v>273</v>
      </c>
      <c r="FX6" t="s">
        <v>99</v>
      </c>
      <c r="GU6" s="141" t="s">
        <v>98</v>
      </c>
      <c r="GV6" t="s">
        <v>273</v>
      </c>
      <c r="GW6" t="s">
        <v>99</v>
      </c>
    </row>
    <row r="7" spans="1:211" x14ac:dyDescent="0.25">
      <c r="B7" s="140" t="s">
        <v>141</v>
      </c>
      <c r="C7">
        <v>0</v>
      </c>
      <c r="D7">
        <v>0</v>
      </c>
      <c r="V7" s="140" t="s">
        <v>141</v>
      </c>
      <c r="W7">
        <v>46120</v>
      </c>
      <c r="X7">
        <v>46120</v>
      </c>
      <c r="AP7" s="140" t="s">
        <v>141</v>
      </c>
      <c r="AQ7">
        <v>0</v>
      </c>
      <c r="AR7">
        <v>0</v>
      </c>
      <c r="BK7" s="140" t="s">
        <v>141</v>
      </c>
      <c r="BL7">
        <v>0</v>
      </c>
      <c r="BM7">
        <v>0</v>
      </c>
      <c r="CH7" s="140" t="s">
        <v>141</v>
      </c>
      <c r="CI7">
        <v>0</v>
      </c>
      <c r="CJ7">
        <v>0</v>
      </c>
      <c r="DC7" s="140" t="s">
        <v>141</v>
      </c>
      <c r="DD7">
        <v>1</v>
      </c>
      <c r="DE7">
        <v>1</v>
      </c>
      <c r="DZ7" s="140" t="s">
        <v>141</v>
      </c>
      <c r="EA7">
        <v>0</v>
      </c>
      <c r="EB7">
        <v>0</v>
      </c>
      <c r="EX7" s="140" t="s">
        <v>141</v>
      </c>
      <c r="EY7">
        <v>800</v>
      </c>
      <c r="EZ7">
        <v>800</v>
      </c>
      <c r="FV7" s="140" t="s">
        <v>141</v>
      </c>
      <c r="FW7">
        <v>0</v>
      </c>
      <c r="FX7">
        <v>0</v>
      </c>
      <c r="GU7" s="140" t="s">
        <v>141</v>
      </c>
      <c r="GV7">
        <v>45320</v>
      </c>
      <c r="GW7">
        <v>45320</v>
      </c>
    </row>
    <row r="8" spans="1:211" x14ac:dyDescent="0.25">
      <c r="B8" s="140" t="s">
        <v>131</v>
      </c>
      <c r="C8">
        <v>300</v>
      </c>
      <c r="D8">
        <v>300</v>
      </c>
      <c r="V8" s="140" t="s">
        <v>131</v>
      </c>
      <c r="W8">
        <v>6880</v>
      </c>
      <c r="X8">
        <v>6880</v>
      </c>
      <c r="AP8" s="140" t="s">
        <v>131</v>
      </c>
      <c r="AQ8">
        <v>300</v>
      </c>
      <c r="AR8">
        <v>300</v>
      </c>
      <c r="BK8" s="140" t="s">
        <v>131</v>
      </c>
      <c r="BL8">
        <v>107.00000000000001</v>
      </c>
      <c r="BM8">
        <v>107.00000000000001</v>
      </c>
      <c r="CH8" s="140" t="s">
        <v>131</v>
      </c>
      <c r="CI8">
        <v>107.00000000000001</v>
      </c>
      <c r="CJ8">
        <v>107.00000000000001</v>
      </c>
      <c r="DC8" s="140" t="s">
        <v>131</v>
      </c>
      <c r="DD8">
        <v>2.9999999999999996</v>
      </c>
      <c r="DE8">
        <v>2.9999999999999996</v>
      </c>
      <c r="DZ8" s="140" t="s">
        <v>131</v>
      </c>
      <c r="EA8">
        <v>0</v>
      </c>
      <c r="EB8">
        <v>0</v>
      </c>
      <c r="EX8" s="140" t="s">
        <v>131</v>
      </c>
      <c r="EY8">
        <v>4180</v>
      </c>
      <c r="EZ8">
        <v>4180</v>
      </c>
      <c r="FV8" s="140" t="s">
        <v>131</v>
      </c>
      <c r="FW8">
        <v>300</v>
      </c>
      <c r="FX8">
        <v>300</v>
      </c>
      <c r="GU8" s="140" t="s">
        <v>131</v>
      </c>
      <c r="GV8">
        <v>2700</v>
      </c>
      <c r="GW8">
        <v>2700</v>
      </c>
    </row>
    <row r="9" spans="1:211" x14ac:dyDescent="0.25">
      <c r="B9" s="140" t="s">
        <v>133</v>
      </c>
      <c r="C9">
        <v>2880</v>
      </c>
      <c r="D9">
        <v>2880</v>
      </c>
      <c r="V9" s="140" t="s">
        <v>133</v>
      </c>
      <c r="W9">
        <v>22500</v>
      </c>
      <c r="X9">
        <v>22500</v>
      </c>
      <c r="AP9" s="140" t="s">
        <v>133</v>
      </c>
      <c r="AQ9">
        <v>1440</v>
      </c>
      <c r="AR9">
        <v>1440</v>
      </c>
      <c r="BK9" s="140" t="s">
        <v>133</v>
      </c>
      <c r="BL9">
        <v>20.5</v>
      </c>
      <c r="BM9">
        <v>20.5</v>
      </c>
      <c r="CH9" s="140" t="s">
        <v>133</v>
      </c>
      <c r="CI9">
        <v>41</v>
      </c>
      <c r="CJ9">
        <v>41</v>
      </c>
      <c r="DC9" s="140" t="s">
        <v>133</v>
      </c>
      <c r="DD9">
        <v>3</v>
      </c>
      <c r="DE9">
        <v>3</v>
      </c>
      <c r="DZ9" s="140" t="s">
        <v>133</v>
      </c>
      <c r="EA9">
        <v>600</v>
      </c>
      <c r="EB9">
        <v>600</v>
      </c>
      <c r="EX9" s="140" t="s">
        <v>133</v>
      </c>
      <c r="EY9">
        <v>520</v>
      </c>
      <c r="EZ9">
        <v>520</v>
      </c>
      <c r="FV9" s="140" t="s">
        <v>133</v>
      </c>
      <c r="FW9">
        <v>840</v>
      </c>
      <c r="FX9">
        <v>840</v>
      </c>
      <c r="GU9" s="140" t="s">
        <v>133</v>
      </c>
      <c r="GV9">
        <v>21980</v>
      </c>
      <c r="GW9">
        <v>21980</v>
      </c>
    </row>
    <row r="10" spans="1:211" x14ac:dyDescent="0.25">
      <c r="B10" s="140" t="s">
        <v>135</v>
      </c>
      <c r="C10">
        <v>10900</v>
      </c>
      <c r="D10">
        <v>10900</v>
      </c>
      <c r="V10" s="140" t="s">
        <v>135</v>
      </c>
      <c r="W10">
        <v>0</v>
      </c>
      <c r="X10">
        <v>0</v>
      </c>
      <c r="AP10" s="140" t="s">
        <v>135</v>
      </c>
      <c r="AQ10">
        <v>10900</v>
      </c>
      <c r="AR10">
        <v>10900</v>
      </c>
      <c r="BK10" s="140" t="s">
        <v>135</v>
      </c>
      <c r="BL10">
        <v>260</v>
      </c>
      <c r="BM10">
        <v>260</v>
      </c>
      <c r="CH10" s="140" t="s">
        <v>135</v>
      </c>
      <c r="CI10">
        <v>260</v>
      </c>
      <c r="CJ10">
        <v>260</v>
      </c>
      <c r="DC10" s="140" t="s">
        <v>135</v>
      </c>
      <c r="DD10">
        <v>0</v>
      </c>
      <c r="DE10">
        <v>0</v>
      </c>
      <c r="DZ10" s="140" t="s">
        <v>135</v>
      </c>
      <c r="EA10">
        <v>750</v>
      </c>
      <c r="EB10">
        <v>750</v>
      </c>
      <c r="EX10" s="140" t="s">
        <v>135</v>
      </c>
      <c r="EY10">
        <v>0</v>
      </c>
      <c r="EZ10">
        <v>0</v>
      </c>
      <c r="FV10" s="140" t="s">
        <v>135</v>
      </c>
      <c r="FW10">
        <v>10150</v>
      </c>
      <c r="FX10">
        <v>10150</v>
      </c>
      <c r="GU10" s="140" t="s">
        <v>135</v>
      </c>
      <c r="GV10">
        <v>0</v>
      </c>
      <c r="GW10">
        <v>0</v>
      </c>
    </row>
    <row r="11" spans="1:211" x14ac:dyDescent="0.25">
      <c r="B11" s="140" t="s">
        <v>139</v>
      </c>
      <c r="C11">
        <v>5400</v>
      </c>
      <c r="D11">
        <v>5400</v>
      </c>
      <c r="V11" s="140" t="s">
        <v>139</v>
      </c>
      <c r="W11">
        <v>28880</v>
      </c>
      <c r="X11">
        <v>28880</v>
      </c>
      <c r="AP11" s="140" t="s">
        <v>139</v>
      </c>
      <c r="AQ11">
        <v>900</v>
      </c>
      <c r="AR11">
        <v>900</v>
      </c>
      <c r="BK11" s="140" t="s">
        <v>139</v>
      </c>
      <c r="BL11">
        <v>7.5</v>
      </c>
      <c r="BM11">
        <v>7.5</v>
      </c>
      <c r="CH11" s="140" t="s">
        <v>139</v>
      </c>
      <c r="CI11">
        <v>45</v>
      </c>
      <c r="CJ11">
        <v>45</v>
      </c>
      <c r="DC11" s="140" t="s">
        <v>139</v>
      </c>
      <c r="DD11">
        <v>1.9999999999999998</v>
      </c>
      <c r="DE11">
        <v>1.9999999999999998</v>
      </c>
      <c r="DZ11" s="140" t="s">
        <v>139</v>
      </c>
      <c r="EA11">
        <v>0</v>
      </c>
      <c r="EB11">
        <v>0</v>
      </c>
      <c r="EX11" s="140" t="s">
        <v>139</v>
      </c>
      <c r="EY11">
        <v>28220</v>
      </c>
      <c r="EZ11">
        <v>28220</v>
      </c>
      <c r="FV11" s="140" t="s">
        <v>139</v>
      </c>
      <c r="FW11">
        <v>900</v>
      </c>
      <c r="FX11">
        <v>900</v>
      </c>
      <c r="GU11" s="140" t="s">
        <v>139</v>
      </c>
      <c r="GV11">
        <v>660</v>
      </c>
      <c r="GW11">
        <v>660</v>
      </c>
    </row>
    <row r="12" spans="1:211" x14ac:dyDescent="0.25">
      <c r="B12" s="140" t="s">
        <v>155</v>
      </c>
      <c r="C12">
        <v>0</v>
      </c>
      <c r="D12">
        <v>0</v>
      </c>
      <c r="V12" s="140" t="s">
        <v>155</v>
      </c>
      <c r="W12">
        <v>22240</v>
      </c>
      <c r="X12">
        <v>22240</v>
      </c>
      <c r="AP12" s="140" t="s">
        <v>155</v>
      </c>
      <c r="AQ12">
        <v>0</v>
      </c>
      <c r="AR12">
        <v>0</v>
      </c>
      <c r="BK12" s="140" t="s">
        <v>155</v>
      </c>
      <c r="BL12">
        <v>0</v>
      </c>
      <c r="BM12">
        <v>0</v>
      </c>
      <c r="CH12" s="140" t="s">
        <v>155</v>
      </c>
      <c r="CI12">
        <v>0</v>
      </c>
      <c r="CJ12">
        <v>0</v>
      </c>
      <c r="DC12" s="140" t="s">
        <v>155</v>
      </c>
      <c r="DD12">
        <v>0</v>
      </c>
      <c r="DE12">
        <v>0</v>
      </c>
      <c r="DZ12" s="140" t="s">
        <v>155</v>
      </c>
      <c r="EA12">
        <v>0</v>
      </c>
      <c r="EB12">
        <v>0</v>
      </c>
      <c r="EX12" s="140" t="s">
        <v>155</v>
      </c>
      <c r="EY12">
        <v>120</v>
      </c>
      <c r="EZ12">
        <v>120</v>
      </c>
      <c r="FV12" s="140" t="s">
        <v>155</v>
      </c>
      <c r="FW12">
        <v>0</v>
      </c>
      <c r="FX12">
        <v>0</v>
      </c>
      <c r="GU12" s="140" t="s">
        <v>155</v>
      </c>
      <c r="GV12">
        <v>22120</v>
      </c>
      <c r="GW12">
        <v>22120</v>
      </c>
    </row>
    <row r="13" spans="1:211" x14ac:dyDescent="0.25">
      <c r="B13" s="140" t="s">
        <v>151</v>
      </c>
      <c r="C13">
        <v>0</v>
      </c>
      <c r="D13">
        <v>0</v>
      </c>
      <c r="V13" s="140" t="s">
        <v>151</v>
      </c>
      <c r="W13">
        <v>5000</v>
      </c>
      <c r="X13">
        <v>5000</v>
      </c>
      <c r="AP13" s="140" t="s">
        <v>151</v>
      </c>
      <c r="AQ13">
        <v>0</v>
      </c>
      <c r="AR13">
        <v>0</v>
      </c>
      <c r="BK13" s="140" t="s">
        <v>151</v>
      </c>
      <c r="BL13">
        <v>0</v>
      </c>
      <c r="BM13">
        <v>0</v>
      </c>
      <c r="CH13" s="140" t="s">
        <v>151</v>
      </c>
      <c r="CI13">
        <v>0</v>
      </c>
      <c r="CJ13">
        <v>0</v>
      </c>
      <c r="DC13" s="140" t="s">
        <v>151</v>
      </c>
      <c r="DD13">
        <v>2</v>
      </c>
      <c r="DE13">
        <v>2</v>
      </c>
      <c r="DZ13" s="140" t="s">
        <v>151</v>
      </c>
      <c r="EA13">
        <v>0</v>
      </c>
      <c r="EB13">
        <v>0</v>
      </c>
      <c r="EX13" s="140" t="s">
        <v>151</v>
      </c>
      <c r="EY13">
        <v>5000</v>
      </c>
      <c r="EZ13">
        <v>5000</v>
      </c>
      <c r="FV13" s="140" t="s">
        <v>151</v>
      </c>
      <c r="FW13">
        <v>0</v>
      </c>
      <c r="FX13">
        <v>0</v>
      </c>
      <c r="GU13" s="140" t="s">
        <v>151</v>
      </c>
      <c r="GV13">
        <v>0</v>
      </c>
      <c r="GW13">
        <v>0</v>
      </c>
    </row>
    <row r="14" spans="1:211" x14ac:dyDescent="0.25">
      <c r="B14" s="140" t="s">
        <v>153</v>
      </c>
      <c r="C14">
        <v>0</v>
      </c>
      <c r="D14">
        <v>0</v>
      </c>
      <c r="V14" s="140" t="s">
        <v>153</v>
      </c>
      <c r="W14">
        <v>7500</v>
      </c>
      <c r="X14">
        <v>7500</v>
      </c>
      <c r="AP14" s="140" t="s">
        <v>153</v>
      </c>
      <c r="AQ14">
        <v>0</v>
      </c>
      <c r="AR14">
        <v>0</v>
      </c>
      <c r="BK14" s="140" t="s">
        <v>153</v>
      </c>
      <c r="BL14">
        <v>0</v>
      </c>
      <c r="BM14">
        <v>0</v>
      </c>
      <c r="CH14" s="140" t="s">
        <v>153</v>
      </c>
      <c r="CI14">
        <v>0</v>
      </c>
      <c r="CJ14">
        <v>0</v>
      </c>
      <c r="DC14" s="140" t="s">
        <v>153</v>
      </c>
      <c r="DD14">
        <v>1</v>
      </c>
      <c r="DE14">
        <v>1</v>
      </c>
      <c r="DZ14" s="140" t="s">
        <v>153</v>
      </c>
      <c r="EA14">
        <v>0</v>
      </c>
      <c r="EB14">
        <v>0</v>
      </c>
      <c r="EX14" s="140" t="s">
        <v>153</v>
      </c>
      <c r="EY14">
        <v>2500</v>
      </c>
      <c r="EZ14">
        <v>2500</v>
      </c>
      <c r="FV14" s="140" t="s">
        <v>153</v>
      </c>
      <c r="FW14">
        <v>0</v>
      </c>
      <c r="FX14">
        <v>0</v>
      </c>
      <c r="GU14" s="140" t="s">
        <v>153</v>
      </c>
      <c r="GV14">
        <v>5000</v>
      </c>
      <c r="GW14">
        <v>5000</v>
      </c>
    </row>
    <row r="15" spans="1:211" x14ac:dyDescent="0.25">
      <c r="B15" s="140" t="s">
        <v>129</v>
      </c>
      <c r="C15">
        <v>1500</v>
      </c>
      <c r="D15">
        <v>1500</v>
      </c>
      <c r="V15" s="140" t="s">
        <v>129</v>
      </c>
      <c r="W15">
        <v>0</v>
      </c>
      <c r="X15">
        <v>0</v>
      </c>
      <c r="AP15" s="140" t="s">
        <v>129</v>
      </c>
      <c r="AQ15">
        <v>300</v>
      </c>
      <c r="AR15">
        <v>300</v>
      </c>
      <c r="BK15" s="140" t="s">
        <v>129</v>
      </c>
      <c r="BL15">
        <v>6.2</v>
      </c>
      <c r="BM15">
        <v>6.2</v>
      </c>
      <c r="CH15" s="140" t="s">
        <v>129</v>
      </c>
      <c r="CI15">
        <v>31</v>
      </c>
      <c r="CJ15">
        <v>31</v>
      </c>
      <c r="DC15" s="140" t="s">
        <v>129</v>
      </c>
      <c r="DD15">
        <v>0</v>
      </c>
      <c r="DE15">
        <v>0</v>
      </c>
      <c r="DZ15" s="140" t="s">
        <v>129</v>
      </c>
      <c r="EA15">
        <v>250</v>
      </c>
      <c r="EB15">
        <v>250</v>
      </c>
      <c r="EX15" s="140" t="s">
        <v>129</v>
      </c>
      <c r="EY15">
        <v>0</v>
      </c>
      <c r="EZ15">
        <v>0</v>
      </c>
      <c r="FV15" s="140" t="s">
        <v>129</v>
      </c>
      <c r="FW15">
        <v>50</v>
      </c>
      <c r="FX15">
        <v>50</v>
      </c>
      <c r="GU15" s="140" t="s">
        <v>129</v>
      </c>
      <c r="GV15">
        <v>0</v>
      </c>
      <c r="GW15">
        <v>0</v>
      </c>
    </row>
    <row r="16" spans="1:211" x14ac:dyDescent="0.25">
      <c r="B16" s="140" t="s">
        <v>147</v>
      </c>
      <c r="C16">
        <v>1050</v>
      </c>
      <c r="D16">
        <v>1050</v>
      </c>
      <c r="V16" s="140" t="s">
        <v>147</v>
      </c>
      <c r="W16">
        <v>0</v>
      </c>
      <c r="X16">
        <v>0</v>
      </c>
      <c r="AP16" s="140" t="s">
        <v>147</v>
      </c>
      <c r="AQ16">
        <v>150</v>
      </c>
      <c r="AR16">
        <v>150</v>
      </c>
      <c r="BK16" s="140" t="s">
        <v>147</v>
      </c>
      <c r="BL16">
        <v>45.428571428571431</v>
      </c>
      <c r="BM16">
        <v>45.428571428571431</v>
      </c>
      <c r="CH16" s="140" t="s">
        <v>147</v>
      </c>
      <c r="CI16">
        <v>318</v>
      </c>
      <c r="CJ16">
        <v>318</v>
      </c>
      <c r="DC16" s="140" t="s">
        <v>147</v>
      </c>
      <c r="DD16">
        <v>0</v>
      </c>
      <c r="DE16">
        <v>0</v>
      </c>
      <c r="DZ16" s="140" t="s">
        <v>147</v>
      </c>
      <c r="EA16">
        <v>0</v>
      </c>
      <c r="EB16">
        <v>0</v>
      </c>
      <c r="EX16" s="140" t="s">
        <v>147</v>
      </c>
      <c r="EY16">
        <v>0</v>
      </c>
      <c r="EZ16">
        <v>0</v>
      </c>
      <c r="FV16" s="140" t="s">
        <v>147</v>
      </c>
      <c r="FW16">
        <v>150</v>
      </c>
      <c r="FX16">
        <v>150</v>
      </c>
      <c r="GU16" s="140" t="s">
        <v>147</v>
      </c>
      <c r="GV16">
        <v>0</v>
      </c>
      <c r="GW16">
        <v>0</v>
      </c>
    </row>
    <row r="17" spans="2:205" x14ac:dyDescent="0.25">
      <c r="B17" s="140" t="s">
        <v>149</v>
      </c>
      <c r="C17">
        <v>0</v>
      </c>
      <c r="D17">
        <v>0</v>
      </c>
      <c r="V17" s="140" t="s">
        <v>149</v>
      </c>
      <c r="W17">
        <v>10000</v>
      </c>
      <c r="X17">
        <v>10000</v>
      </c>
      <c r="AP17" s="140" t="s">
        <v>149</v>
      </c>
      <c r="AQ17">
        <v>0</v>
      </c>
      <c r="AR17">
        <v>0</v>
      </c>
      <c r="BK17" s="140" t="s">
        <v>149</v>
      </c>
      <c r="BL17">
        <v>0</v>
      </c>
      <c r="BM17">
        <v>0</v>
      </c>
      <c r="CH17" s="140" t="s">
        <v>149</v>
      </c>
      <c r="CI17">
        <v>0</v>
      </c>
      <c r="CJ17">
        <v>0</v>
      </c>
      <c r="DC17" s="140" t="s">
        <v>149</v>
      </c>
      <c r="DD17">
        <v>1</v>
      </c>
      <c r="DE17">
        <v>1</v>
      </c>
      <c r="DZ17" s="140" t="s">
        <v>149</v>
      </c>
      <c r="EA17">
        <v>0</v>
      </c>
      <c r="EB17">
        <v>0</v>
      </c>
      <c r="EX17" s="140" t="s">
        <v>149</v>
      </c>
      <c r="EY17">
        <v>0</v>
      </c>
      <c r="EZ17">
        <v>0</v>
      </c>
      <c r="FV17" s="140" t="s">
        <v>149</v>
      </c>
      <c r="FW17">
        <v>0</v>
      </c>
      <c r="FX17">
        <v>0</v>
      </c>
      <c r="GU17" s="140" t="s">
        <v>149</v>
      </c>
      <c r="GV17">
        <v>10000</v>
      </c>
      <c r="GW17">
        <v>10000</v>
      </c>
    </row>
    <row r="18" spans="2:205" x14ac:dyDescent="0.25">
      <c r="B18" s="140" t="s">
        <v>42</v>
      </c>
      <c r="C18">
        <v>22030</v>
      </c>
      <c r="D18">
        <v>22030</v>
      </c>
      <c r="V18" s="140" t="s">
        <v>99</v>
      </c>
      <c r="W18">
        <v>149120</v>
      </c>
      <c r="X18">
        <v>149120</v>
      </c>
      <c r="AP18" s="140" t="s">
        <v>99</v>
      </c>
      <c r="AQ18">
        <v>13990</v>
      </c>
      <c r="AR18">
        <v>13990</v>
      </c>
      <c r="BK18" s="140" t="s">
        <v>99</v>
      </c>
      <c r="BL18">
        <v>446.62857142857143</v>
      </c>
      <c r="BM18">
        <v>446.62857142857143</v>
      </c>
      <c r="CH18" s="140" t="s">
        <v>99</v>
      </c>
      <c r="CI18">
        <v>802</v>
      </c>
      <c r="CJ18">
        <v>802</v>
      </c>
      <c r="DC18" s="140" t="s">
        <v>99</v>
      </c>
      <c r="DD18">
        <v>13</v>
      </c>
      <c r="DE18">
        <v>13</v>
      </c>
      <c r="DZ18" s="140" t="s">
        <v>99</v>
      </c>
      <c r="EA18">
        <v>1600</v>
      </c>
      <c r="EB18">
        <v>1600</v>
      </c>
      <c r="EX18" s="140" t="s">
        <v>99</v>
      </c>
      <c r="EY18">
        <v>41340</v>
      </c>
      <c r="EZ18">
        <v>41340</v>
      </c>
      <c r="FV18" s="140" t="s">
        <v>99</v>
      </c>
      <c r="FW18">
        <v>12390</v>
      </c>
      <c r="FX18">
        <v>12390</v>
      </c>
      <c r="GU18" s="140" t="s">
        <v>99</v>
      </c>
      <c r="GV18">
        <v>107780</v>
      </c>
      <c r="GW18">
        <v>107780</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11C3-C728-420E-AE38-9FD86156D06B}">
  <sheetPr>
    <tabColor rgb="FF92D050"/>
  </sheetPr>
  <dimension ref="E1:R29"/>
  <sheetViews>
    <sheetView showGridLines="0" workbookViewId="0">
      <pane ySplit="1" topLeftCell="A2" activePane="bottomLeft" state="frozen"/>
      <selection pane="bottomLeft" activeCell="B26" sqref="B26"/>
    </sheetView>
  </sheetViews>
  <sheetFormatPr defaultRowHeight="15" x14ac:dyDescent="0.25"/>
  <cols>
    <col min="5" max="5" width="13.42578125" bestFit="1" customWidth="1"/>
    <col min="6" max="17" width="15.28515625" customWidth="1"/>
    <col min="18" max="18" width="13.42578125" bestFit="1" customWidth="1"/>
  </cols>
  <sheetData>
    <row r="1" spans="5:18" s="280" customFormat="1" ht="34.5" x14ac:dyDescent="0.25">
      <c r="F1" s="531" t="s">
        <v>209</v>
      </c>
      <c r="G1" s="531"/>
      <c r="H1" s="531"/>
      <c r="I1" s="531"/>
      <c r="J1" s="531"/>
      <c r="K1" s="531"/>
      <c r="L1" s="531"/>
      <c r="M1" s="531"/>
      <c r="N1" s="531"/>
      <c r="O1" s="531"/>
      <c r="P1" s="531"/>
      <c r="Q1" s="531"/>
    </row>
    <row r="11" spans="5:18" ht="15.75" thickBot="1" x14ac:dyDescent="0.3"/>
    <row r="12" spans="5:18" ht="18" x14ac:dyDescent="0.25">
      <c r="E12" s="280"/>
      <c r="F12" s="532" t="s">
        <v>190</v>
      </c>
      <c r="G12" s="533"/>
      <c r="H12" s="533"/>
      <c r="I12" s="533"/>
      <c r="J12" s="534"/>
      <c r="K12" s="281"/>
      <c r="L12" s="280"/>
      <c r="M12" s="280"/>
      <c r="N12" s="280"/>
      <c r="O12" s="280"/>
      <c r="P12" s="280"/>
      <c r="Q12" s="280"/>
      <c r="R12" s="280"/>
    </row>
    <row r="13" spans="5:18" ht="18.75" thickBot="1" x14ac:dyDescent="0.3">
      <c r="E13" s="280"/>
      <c r="F13" s="535"/>
      <c r="G13" s="536"/>
      <c r="H13" s="536"/>
      <c r="I13" s="536"/>
      <c r="J13" s="537"/>
      <c r="K13" s="281"/>
      <c r="L13" s="280"/>
      <c r="M13" s="280"/>
      <c r="N13" s="280"/>
      <c r="O13" s="280"/>
      <c r="P13" s="280"/>
      <c r="Q13" s="280"/>
      <c r="R13" s="280"/>
    </row>
    <row r="14" spans="5:18" ht="19.5" thickBot="1" x14ac:dyDescent="0.3">
      <c r="E14" s="280"/>
      <c r="F14" s="528" t="s">
        <v>191</v>
      </c>
      <c r="G14" s="529"/>
      <c r="H14" s="529"/>
      <c r="I14" s="538"/>
      <c r="J14" s="539" t="s">
        <v>49</v>
      </c>
      <c r="K14" s="530"/>
      <c r="L14" s="528" t="s">
        <v>192</v>
      </c>
      <c r="M14" s="529"/>
      <c r="N14" s="530"/>
      <c r="O14" s="528" t="s">
        <v>193</v>
      </c>
      <c r="P14" s="529"/>
      <c r="Q14" s="530"/>
      <c r="R14" s="280"/>
    </row>
    <row r="15" spans="5:18" ht="51.75" thickBot="1" x14ac:dyDescent="0.3">
      <c r="E15" s="282" t="s">
        <v>179</v>
      </c>
      <c r="F15" s="283" t="s">
        <v>194</v>
      </c>
      <c r="G15" s="284" t="s">
        <v>195</v>
      </c>
      <c r="H15" s="285" t="s">
        <v>196</v>
      </c>
      <c r="I15" s="286" t="s">
        <v>197</v>
      </c>
      <c r="J15" s="287" t="s">
        <v>198</v>
      </c>
      <c r="K15" s="288" t="s">
        <v>199</v>
      </c>
      <c r="L15" s="289" t="s">
        <v>200</v>
      </c>
      <c r="M15" s="290" t="s">
        <v>201</v>
      </c>
      <c r="N15" s="289" t="s">
        <v>202</v>
      </c>
      <c r="O15" s="291" t="s">
        <v>203</v>
      </c>
      <c r="P15" s="292" t="s">
        <v>204</v>
      </c>
      <c r="Q15" s="293" t="s">
        <v>205</v>
      </c>
      <c r="R15" s="282" t="s">
        <v>179</v>
      </c>
    </row>
    <row r="16" spans="5:18" ht="15.75" x14ac:dyDescent="0.25">
      <c r="E16" s="294" t="s">
        <v>266</v>
      </c>
      <c r="F16" s="518">
        <v>0</v>
      </c>
      <c r="G16" s="295">
        <v>0</v>
      </c>
      <c r="H16" s="518">
        <v>0</v>
      </c>
      <c r="I16" s="296">
        <v>0</v>
      </c>
      <c r="J16" s="297">
        <v>0</v>
      </c>
      <c r="K16" s="297">
        <v>0</v>
      </c>
      <c r="L16" s="298"/>
      <c r="M16" s="299"/>
      <c r="N16" s="300"/>
      <c r="O16" s="301">
        <f>F16+L16</f>
        <v>0</v>
      </c>
      <c r="P16" s="302">
        <f t="shared" ref="P16:P27" si="0">G16+M16</f>
        <v>0</v>
      </c>
      <c r="Q16" s="303">
        <f>J16+N16</f>
        <v>0</v>
      </c>
      <c r="R16" s="294" t="s">
        <v>266</v>
      </c>
    </row>
    <row r="17" spans="5:18" ht="15.75" x14ac:dyDescent="0.25">
      <c r="E17" s="304" t="s">
        <v>267</v>
      </c>
      <c r="F17" s="518">
        <v>0</v>
      </c>
      <c r="G17" s="295">
        <v>0</v>
      </c>
      <c r="H17" s="518">
        <v>0</v>
      </c>
      <c r="I17" s="296">
        <v>0</v>
      </c>
      <c r="J17" s="297">
        <v>0</v>
      </c>
      <c r="K17" s="297">
        <v>0</v>
      </c>
      <c r="L17" s="298"/>
      <c r="M17" s="299"/>
      <c r="N17" s="300"/>
      <c r="O17" s="301">
        <f t="shared" ref="O17:O27" si="1">F17+L17</f>
        <v>0</v>
      </c>
      <c r="P17" s="302">
        <f t="shared" si="0"/>
        <v>0</v>
      </c>
      <c r="Q17" s="303">
        <f t="shared" ref="Q17:Q27" si="2">J17+N17</f>
        <v>0</v>
      </c>
      <c r="R17" s="304" t="s">
        <v>267</v>
      </c>
    </row>
    <row r="18" spans="5:18" ht="15.75" x14ac:dyDescent="0.25">
      <c r="E18" s="304" t="s">
        <v>268</v>
      </c>
      <c r="F18" s="518">
        <v>0</v>
      </c>
      <c r="G18" s="295">
        <v>0</v>
      </c>
      <c r="H18" s="518">
        <v>0</v>
      </c>
      <c r="I18" s="296">
        <v>0</v>
      </c>
      <c r="J18" s="297">
        <v>0</v>
      </c>
      <c r="K18" s="297">
        <v>0</v>
      </c>
      <c r="L18" s="298"/>
      <c r="M18" s="299"/>
      <c r="N18" s="300"/>
      <c r="O18" s="301">
        <f t="shared" si="1"/>
        <v>0</v>
      </c>
      <c r="P18" s="302">
        <f t="shared" si="0"/>
        <v>0</v>
      </c>
      <c r="Q18" s="303">
        <f t="shared" si="2"/>
        <v>0</v>
      </c>
      <c r="R18" s="304" t="s">
        <v>268</v>
      </c>
    </row>
    <row r="19" spans="5:18" ht="15.75" x14ac:dyDescent="0.25">
      <c r="E19" s="304" t="s">
        <v>269</v>
      </c>
      <c r="F19" s="518">
        <v>0</v>
      </c>
      <c r="G19" s="295">
        <v>0</v>
      </c>
      <c r="H19" s="518">
        <v>0</v>
      </c>
      <c r="I19" s="296">
        <v>0</v>
      </c>
      <c r="J19" s="297">
        <v>0</v>
      </c>
      <c r="K19" s="297">
        <v>0</v>
      </c>
      <c r="L19" s="298"/>
      <c r="M19" s="299"/>
      <c r="N19" s="300"/>
      <c r="O19" s="301">
        <f t="shared" si="1"/>
        <v>0</v>
      </c>
      <c r="P19" s="302">
        <f t="shared" si="0"/>
        <v>0</v>
      </c>
      <c r="Q19" s="303">
        <f t="shared" si="2"/>
        <v>0</v>
      </c>
      <c r="R19" s="304" t="s">
        <v>269</v>
      </c>
    </row>
    <row r="20" spans="5:18" ht="15.75" x14ac:dyDescent="0.25">
      <c r="E20" s="304" t="s">
        <v>270</v>
      </c>
      <c r="F20" s="518">
        <v>0</v>
      </c>
      <c r="G20" s="295">
        <v>0</v>
      </c>
      <c r="H20" s="518">
        <v>0</v>
      </c>
      <c r="I20" s="296">
        <v>0</v>
      </c>
      <c r="J20" s="297">
        <v>0</v>
      </c>
      <c r="K20" s="297">
        <v>0</v>
      </c>
      <c r="L20" s="298"/>
      <c r="M20" s="299"/>
      <c r="N20" s="300"/>
      <c r="O20" s="301">
        <f t="shared" si="1"/>
        <v>0</v>
      </c>
      <c r="P20" s="302">
        <f t="shared" si="0"/>
        <v>0</v>
      </c>
      <c r="Q20" s="303">
        <f t="shared" si="2"/>
        <v>0</v>
      </c>
      <c r="R20" s="304" t="s">
        <v>270</v>
      </c>
    </row>
    <row r="21" spans="5:18" ht="15.75" x14ac:dyDescent="0.25">
      <c r="E21" s="304" t="s">
        <v>271</v>
      </c>
      <c r="F21" s="518">
        <v>0</v>
      </c>
      <c r="G21" s="295">
        <v>0</v>
      </c>
      <c r="H21" s="518">
        <v>0</v>
      </c>
      <c r="I21" s="296">
        <v>0</v>
      </c>
      <c r="J21" s="297">
        <v>0</v>
      </c>
      <c r="K21" s="297">
        <v>0</v>
      </c>
      <c r="L21" s="298"/>
      <c r="M21" s="299"/>
      <c r="N21" s="300"/>
      <c r="O21" s="301">
        <f t="shared" si="1"/>
        <v>0</v>
      </c>
      <c r="P21" s="302">
        <f t="shared" si="0"/>
        <v>0</v>
      </c>
      <c r="Q21" s="303">
        <f t="shared" si="2"/>
        <v>0</v>
      </c>
      <c r="R21" s="304" t="s">
        <v>271</v>
      </c>
    </row>
    <row r="22" spans="5:18" ht="15.75" x14ac:dyDescent="0.25">
      <c r="E22" s="304" t="s">
        <v>272</v>
      </c>
      <c r="F22" s="518">
        <v>0</v>
      </c>
      <c r="G22" s="295">
        <v>0</v>
      </c>
      <c r="H22" s="518">
        <v>0</v>
      </c>
      <c r="I22" s="296">
        <v>0</v>
      </c>
      <c r="J22" s="297">
        <v>0</v>
      </c>
      <c r="K22" s="297">
        <v>0</v>
      </c>
      <c r="L22" s="298"/>
      <c r="M22" s="299"/>
      <c r="N22" s="300"/>
      <c r="O22" s="301">
        <f t="shared" si="1"/>
        <v>0</v>
      </c>
      <c r="P22" s="302">
        <f t="shared" si="0"/>
        <v>0</v>
      </c>
      <c r="Q22" s="303">
        <f t="shared" si="2"/>
        <v>0</v>
      </c>
      <c r="R22" s="304" t="s">
        <v>272</v>
      </c>
    </row>
    <row r="23" spans="5:18" ht="15.75" x14ac:dyDescent="0.25">
      <c r="E23" s="304" t="s">
        <v>273</v>
      </c>
      <c r="F23" s="518">
        <v>334.7</v>
      </c>
      <c r="G23" s="295">
        <v>380</v>
      </c>
      <c r="H23" s="518">
        <v>111.92857142857143</v>
      </c>
      <c r="I23" s="296">
        <v>422</v>
      </c>
      <c r="J23" s="297">
        <v>7</v>
      </c>
      <c r="K23" s="297">
        <v>6</v>
      </c>
      <c r="L23" s="298"/>
      <c r="M23" s="299"/>
      <c r="N23" s="300"/>
      <c r="O23" s="301">
        <f t="shared" si="1"/>
        <v>334.7</v>
      </c>
      <c r="P23" s="302">
        <f t="shared" si="0"/>
        <v>380</v>
      </c>
      <c r="Q23" s="303">
        <f t="shared" si="2"/>
        <v>7</v>
      </c>
      <c r="R23" s="304" t="s">
        <v>273</v>
      </c>
    </row>
    <row r="24" spans="5:18" ht="15.75" x14ac:dyDescent="0.25">
      <c r="E24" s="304" t="s">
        <v>274</v>
      </c>
      <c r="F24" s="518">
        <v>0</v>
      </c>
      <c r="G24" s="295">
        <v>0</v>
      </c>
      <c r="H24" s="518">
        <v>0</v>
      </c>
      <c r="I24" s="296">
        <v>0</v>
      </c>
      <c r="J24" s="297">
        <v>0</v>
      </c>
      <c r="K24" s="297">
        <v>0</v>
      </c>
      <c r="L24" s="298"/>
      <c r="M24" s="299"/>
      <c r="N24" s="300"/>
      <c r="O24" s="301">
        <f t="shared" si="1"/>
        <v>0</v>
      </c>
      <c r="P24" s="302">
        <f t="shared" si="0"/>
        <v>0</v>
      </c>
      <c r="Q24" s="303">
        <f t="shared" si="2"/>
        <v>0</v>
      </c>
      <c r="R24" s="304" t="s">
        <v>274</v>
      </c>
    </row>
    <row r="25" spans="5:18" ht="15.75" x14ac:dyDescent="0.25">
      <c r="E25" s="304" t="s">
        <v>275</v>
      </c>
      <c r="F25" s="518">
        <v>0</v>
      </c>
      <c r="G25" s="295">
        <v>0</v>
      </c>
      <c r="H25" s="518">
        <v>0</v>
      </c>
      <c r="I25" s="296">
        <v>0</v>
      </c>
      <c r="J25" s="297">
        <v>0</v>
      </c>
      <c r="K25" s="297">
        <v>0</v>
      </c>
      <c r="L25" s="298"/>
      <c r="M25" s="299"/>
      <c r="N25" s="300"/>
      <c r="O25" s="301">
        <f t="shared" si="1"/>
        <v>0</v>
      </c>
      <c r="P25" s="302">
        <f t="shared" si="0"/>
        <v>0</v>
      </c>
      <c r="Q25" s="303">
        <f t="shared" si="2"/>
        <v>0</v>
      </c>
      <c r="R25" s="304" t="s">
        <v>275</v>
      </c>
    </row>
    <row r="26" spans="5:18" ht="15.75" x14ac:dyDescent="0.25">
      <c r="E26" s="304" t="s">
        <v>276</v>
      </c>
      <c r="F26" s="518">
        <v>0</v>
      </c>
      <c r="G26" s="295">
        <v>0</v>
      </c>
      <c r="H26" s="518">
        <v>0</v>
      </c>
      <c r="I26" s="296">
        <v>0</v>
      </c>
      <c r="J26" s="297">
        <v>0</v>
      </c>
      <c r="K26" s="297">
        <v>0</v>
      </c>
      <c r="L26" s="298"/>
      <c r="M26" s="299"/>
      <c r="N26" s="300"/>
      <c r="O26" s="301">
        <f t="shared" si="1"/>
        <v>0</v>
      </c>
      <c r="P26" s="302">
        <f t="shared" si="0"/>
        <v>0</v>
      </c>
      <c r="Q26" s="303">
        <f t="shared" si="2"/>
        <v>0</v>
      </c>
      <c r="R26" s="304" t="s">
        <v>276</v>
      </c>
    </row>
    <row r="27" spans="5:18" ht="16.5" thickBot="1" x14ac:dyDescent="0.3">
      <c r="E27" s="305" t="s">
        <v>277</v>
      </c>
      <c r="F27" s="518">
        <v>0</v>
      </c>
      <c r="G27" s="295">
        <v>0</v>
      </c>
      <c r="H27" s="518">
        <v>0</v>
      </c>
      <c r="I27" s="296">
        <v>0</v>
      </c>
      <c r="J27" s="297">
        <v>0</v>
      </c>
      <c r="K27" s="297">
        <v>0</v>
      </c>
      <c r="L27" s="298"/>
      <c r="M27" s="299"/>
      <c r="N27" s="300"/>
      <c r="O27" s="301">
        <f t="shared" si="1"/>
        <v>0</v>
      </c>
      <c r="P27" s="306">
        <f t="shared" si="0"/>
        <v>0</v>
      </c>
      <c r="Q27" s="303">
        <f t="shared" si="2"/>
        <v>0</v>
      </c>
      <c r="R27" s="305" t="s">
        <v>277</v>
      </c>
    </row>
    <row r="28" spans="5:18" ht="21" thickBot="1" x14ac:dyDescent="0.3">
      <c r="E28" s="307" t="s">
        <v>186</v>
      </c>
      <c r="F28" s="308">
        <f>SUM(F16:F27)</f>
        <v>334.7</v>
      </c>
      <c r="G28" s="309">
        <f t="shared" ref="G28:Q28" si="3">SUM(G16:G27)</f>
        <v>380</v>
      </c>
      <c r="H28" s="308">
        <f t="shared" si="3"/>
        <v>111.92857142857143</v>
      </c>
      <c r="I28" s="310">
        <f t="shared" si="3"/>
        <v>422</v>
      </c>
      <c r="J28" s="311">
        <f>SUM(J16:J27)</f>
        <v>7</v>
      </c>
      <c r="K28" s="312">
        <f>SUM(K16:K27)</f>
        <v>6</v>
      </c>
      <c r="L28" s="308">
        <f t="shared" si="3"/>
        <v>0</v>
      </c>
      <c r="M28" s="312">
        <f t="shared" si="3"/>
        <v>0</v>
      </c>
      <c r="N28" s="312">
        <f t="shared" si="3"/>
        <v>0</v>
      </c>
      <c r="O28" s="308">
        <f t="shared" si="3"/>
        <v>334.7</v>
      </c>
      <c r="P28" s="312">
        <f t="shared" si="3"/>
        <v>380</v>
      </c>
      <c r="Q28" s="312">
        <f t="shared" si="3"/>
        <v>7</v>
      </c>
      <c r="R28" s="307" t="s">
        <v>186</v>
      </c>
    </row>
    <row r="29" spans="5:18" ht="19.5" thickBot="1" x14ac:dyDescent="0.3">
      <c r="E29" s="280"/>
      <c r="F29" s="523" t="s">
        <v>206</v>
      </c>
      <c r="G29" s="524"/>
      <c r="H29" s="525" t="s">
        <v>207</v>
      </c>
      <c r="I29" s="526"/>
      <c r="J29" s="313" t="s">
        <v>206</v>
      </c>
      <c r="K29" s="314" t="s">
        <v>207</v>
      </c>
      <c r="L29" s="525" t="s">
        <v>208</v>
      </c>
      <c r="M29" s="526"/>
      <c r="N29" s="527"/>
      <c r="O29" s="528" t="s">
        <v>193</v>
      </c>
      <c r="P29" s="529"/>
      <c r="Q29" s="530"/>
      <c r="R29" s="315"/>
    </row>
  </sheetData>
  <mergeCells count="10">
    <mergeCell ref="F29:G29"/>
    <mergeCell ref="H29:I29"/>
    <mergeCell ref="L29:N29"/>
    <mergeCell ref="O29:Q29"/>
    <mergeCell ref="F1:Q1"/>
    <mergeCell ref="F12:J13"/>
    <mergeCell ref="F14:I14"/>
    <mergeCell ref="J14:K14"/>
    <mergeCell ref="L14:N14"/>
    <mergeCell ref="O14:Q14"/>
  </mergeCells>
  <conditionalFormatting sqref="F16:F27 H16:H27">
    <cfRule type="expression" dxfId="50" priority="3">
      <formula>$T16="non-visibile"</formula>
    </cfRule>
  </conditionalFormatting>
  <conditionalFormatting sqref="F28">
    <cfRule type="expression" dxfId="49" priority="2">
      <formula>$J28="non-visibile"</formula>
    </cfRule>
  </conditionalFormatting>
  <conditionalFormatting sqref="H28 L28 O28">
    <cfRule type="expression" dxfId="48" priority="1">
      <formula>$J28="non-visibile"</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D1410-F781-4AF2-8F2F-1DF619BA1BA2}">
  <sheetPr>
    <tabColor rgb="FF00B0F0"/>
  </sheetPr>
  <dimension ref="B1:AA16"/>
  <sheetViews>
    <sheetView zoomScale="55" zoomScaleNormal="55" workbookViewId="0">
      <selection activeCell="D17" sqref="D17"/>
    </sheetView>
  </sheetViews>
  <sheetFormatPr defaultRowHeight="15" x14ac:dyDescent="0.25"/>
  <cols>
    <col min="2" max="2" width="36.28515625" style="87" customWidth="1"/>
    <col min="3" max="3" width="22.28515625" style="87" customWidth="1"/>
    <col min="4" max="4" width="19.140625" style="87" customWidth="1"/>
    <col min="5" max="5" width="8.42578125" style="87" customWidth="1"/>
    <col min="6" max="6" width="29.140625" style="87" customWidth="1"/>
    <col min="7" max="7" width="19.42578125" style="87" customWidth="1"/>
    <col min="8" max="8" width="26.85546875" style="87" bestFit="1" customWidth="1"/>
    <col min="9" max="9" width="17.85546875" style="87" bestFit="1" customWidth="1"/>
    <col min="10" max="10" width="17.7109375" style="87" bestFit="1" customWidth="1"/>
    <col min="11" max="11" width="20.140625" style="87" bestFit="1" customWidth="1"/>
    <col min="12" max="12" width="21" style="87" bestFit="1" customWidth="1"/>
    <col min="13" max="13" width="20.140625" style="87" bestFit="1" customWidth="1"/>
    <col min="14" max="14" width="26.28515625" style="87" bestFit="1" customWidth="1"/>
    <col min="15" max="15" width="17.5703125" style="87" customWidth="1"/>
    <col min="16" max="21" width="16" style="87" customWidth="1"/>
    <col min="22" max="22" width="4.5703125" customWidth="1"/>
    <col min="23" max="23" width="18.85546875" bestFit="1" customWidth="1"/>
    <col min="24" max="24" width="6.7109375" customWidth="1"/>
    <col min="25" max="25" width="17" customWidth="1"/>
    <col min="26" max="26" width="4.140625" customWidth="1"/>
    <col min="27" max="27" width="11.5703125" bestFit="1" customWidth="1"/>
    <col min="28" max="28" width="16.28515625" bestFit="1" customWidth="1"/>
  </cols>
  <sheetData>
    <row r="1" spans="2:27" ht="46.5" x14ac:dyDescent="0.7">
      <c r="B1" s="540" t="s">
        <v>58</v>
      </c>
      <c r="C1" s="540"/>
      <c r="D1" s="540"/>
      <c r="E1" s="66"/>
      <c r="F1" s="541" t="s">
        <v>59</v>
      </c>
      <c r="G1" s="542"/>
      <c r="H1" s="542"/>
      <c r="I1" s="542"/>
      <c r="J1" s="542"/>
      <c r="K1" s="542"/>
      <c r="L1" s="542"/>
      <c r="M1" s="542"/>
      <c r="N1" s="542"/>
      <c r="O1" s="542"/>
      <c r="P1" s="542"/>
      <c r="Q1" s="542"/>
      <c r="R1" s="542"/>
      <c r="S1" s="543"/>
      <c r="T1" s="519"/>
      <c r="U1" s="66"/>
    </row>
    <row r="2" spans="2:27" ht="32.25" customHeight="1" x14ac:dyDescent="0.25">
      <c r="B2" s="67" t="s">
        <v>60</v>
      </c>
      <c r="C2" s="67" t="s">
        <v>61</v>
      </c>
      <c r="D2" s="67" t="s">
        <v>62</v>
      </c>
      <c r="E2" s="68" t="s">
        <v>63</v>
      </c>
      <c r="F2" s="67" t="s">
        <v>60</v>
      </c>
      <c r="G2" s="67" t="s">
        <v>266</v>
      </c>
      <c r="H2" s="67" t="s">
        <v>290</v>
      </c>
      <c r="I2" s="67" t="s">
        <v>267</v>
      </c>
      <c r="J2" s="67" t="s">
        <v>268</v>
      </c>
      <c r="K2" s="67" t="s">
        <v>269</v>
      </c>
      <c r="L2" s="67" t="s">
        <v>270</v>
      </c>
      <c r="M2" s="67" t="s">
        <v>271</v>
      </c>
      <c r="N2" s="67" t="s">
        <v>272</v>
      </c>
      <c r="O2" s="67" t="s">
        <v>273</v>
      </c>
      <c r="P2" s="67" t="s">
        <v>274</v>
      </c>
      <c r="Q2" s="67" t="s">
        <v>275</v>
      </c>
      <c r="R2" s="67" t="s">
        <v>276</v>
      </c>
      <c r="S2" s="68" t="s">
        <v>277</v>
      </c>
      <c r="T2" s="69"/>
      <c r="U2" s="70" t="s">
        <v>64</v>
      </c>
      <c r="W2" s="88" t="s">
        <v>65</v>
      </c>
      <c r="Y2" s="70" t="s">
        <v>66</v>
      </c>
      <c r="AA2" s="88" t="s">
        <v>67</v>
      </c>
    </row>
    <row r="3" spans="2:27" ht="19.5" customHeight="1" x14ac:dyDescent="0.25">
      <c r="B3" s="71" t="s">
        <v>129</v>
      </c>
      <c r="C3" s="72">
        <v>1</v>
      </c>
      <c r="D3" s="73" t="s">
        <v>52</v>
      </c>
      <c r="E3" s="74"/>
      <c r="F3" s="71" t="s">
        <v>129</v>
      </c>
      <c r="G3" s="72"/>
      <c r="H3" s="72"/>
      <c r="I3" s="72"/>
      <c r="J3" s="72"/>
      <c r="K3" s="72"/>
      <c r="L3" s="72"/>
      <c r="M3" s="72"/>
      <c r="N3" s="520"/>
      <c r="O3" s="72">
        <v>1.0900000000000001</v>
      </c>
      <c r="P3" s="72"/>
      <c r="Q3" s="72"/>
      <c r="R3" s="72"/>
      <c r="S3" s="520"/>
      <c r="T3" s="75"/>
      <c r="U3" s="76" t="s">
        <v>45</v>
      </c>
      <c r="W3" s="77" t="s">
        <v>266</v>
      </c>
      <c r="Y3" s="78" t="s">
        <v>55</v>
      </c>
      <c r="AA3" s="79" t="s">
        <v>43</v>
      </c>
    </row>
    <row r="4" spans="2:27" ht="19.5" customHeight="1" x14ac:dyDescent="0.25">
      <c r="B4" s="71" t="s">
        <v>147</v>
      </c>
      <c r="C4" s="72">
        <v>10</v>
      </c>
      <c r="D4" s="73" t="s">
        <v>52</v>
      </c>
      <c r="E4" s="74"/>
      <c r="F4" s="71" t="s">
        <v>147</v>
      </c>
      <c r="G4" s="72">
        <v>10.01</v>
      </c>
      <c r="H4" s="72">
        <v>10.02</v>
      </c>
      <c r="I4" s="72">
        <v>10.029999999999999</v>
      </c>
      <c r="J4" s="72">
        <v>10.039999999999999</v>
      </c>
      <c r="K4" s="72">
        <v>10.050000000000001</v>
      </c>
      <c r="L4" s="72">
        <v>10.06</v>
      </c>
      <c r="M4" s="72">
        <v>10.07</v>
      </c>
      <c r="N4" s="72">
        <v>10.08</v>
      </c>
      <c r="O4" s="72">
        <v>10.09</v>
      </c>
      <c r="P4" s="72">
        <v>10.1</v>
      </c>
      <c r="Q4" s="72">
        <v>10.11</v>
      </c>
      <c r="R4" s="72">
        <v>10.119999999999999</v>
      </c>
      <c r="S4" s="72">
        <v>10.130000000000001</v>
      </c>
      <c r="T4" s="75"/>
      <c r="U4" s="76" t="s">
        <v>48</v>
      </c>
      <c r="W4" s="80" t="s">
        <v>267</v>
      </c>
      <c r="Y4" s="79" t="s">
        <v>57</v>
      </c>
      <c r="AA4" s="79" t="s">
        <v>46</v>
      </c>
    </row>
    <row r="5" spans="2:27" ht="19.5" customHeight="1" x14ac:dyDescent="0.25">
      <c r="B5" s="71" t="s">
        <v>149</v>
      </c>
      <c r="C5" s="72">
        <v>11</v>
      </c>
      <c r="D5" s="73" t="s">
        <v>52</v>
      </c>
      <c r="E5" s="74"/>
      <c r="F5" s="71" t="s">
        <v>149</v>
      </c>
      <c r="G5" s="72"/>
      <c r="H5" s="72"/>
      <c r="I5" s="72"/>
      <c r="J5" s="72"/>
      <c r="K5" s="72"/>
      <c r="L5" s="72"/>
      <c r="M5" s="72"/>
      <c r="N5" s="72"/>
      <c r="O5" s="72"/>
      <c r="P5" s="72"/>
      <c r="Q5" s="72"/>
      <c r="R5" s="72"/>
      <c r="S5" s="72"/>
      <c r="T5" s="75"/>
      <c r="U5" s="76" t="s">
        <v>41</v>
      </c>
      <c r="W5" s="81" t="s">
        <v>268</v>
      </c>
      <c r="Y5" s="79" t="s">
        <v>44</v>
      </c>
      <c r="AA5" s="79" t="s">
        <v>47</v>
      </c>
    </row>
    <row r="6" spans="2:27" ht="19.5" customHeight="1" x14ac:dyDescent="0.25">
      <c r="B6" s="71" t="s">
        <v>151</v>
      </c>
      <c r="C6" s="72">
        <v>12</v>
      </c>
      <c r="D6" s="73" t="s">
        <v>52</v>
      </c>
      <c r="E6" s="74"/>
      <c r="F6" s="71" t="s">
        <v>151</v>
      </c>
      <c r="G6" s="72"/>
      <c r="H6" s="72"/>
      <c r="I6" s="72"/>
      <c r="J6" s="72"/>
      <c r="K6" s="72"/>
      <c r="L6" s="72"/>
      <c r="M6" s="72"/>
      <c r="N6" s="72"/>
      <c r="O6" s="72"/>
      <c r="P6" s="72"/>
      <c r="Q6" s="72"/>
      <c r="R6" s="72"/>
      <c r="S6" s="72"/>
      <c r="T6" s="75"/>
      <c r="U6"/>
      <c r="W6" s="77" t="s">
        <v>269</v>
      </c>
      <c r="Y6" s="78" t="s">
        <v>50</v>
      </c>
      <c r="AA6" s="79" t="s">
        <v>51</v>
      </c>
    </row>
    <row r="7" spans="2:27" ht="19.5" customHeight="1" x14ac:dyDescent="0.25">
      <c r="B7" s="71" t="s">
        <v>153</v>
      </c>
      <c r="C7" s="72">
        <v>13</v>
      </c>
      <c r="D7" s="73" t="s">
        <v>248</v>
      </c>
      <c r="E7" s="74"/>
      <c r="F7" s="71" t="s">
        <v>153</v>
      </c>
      <c r="G7" s="72"/>
      <c r="H7" s="72"/>
      <c r="I7" s="72"/>
      <c r="J7" s="72"/>
      <c r="K7" s="72"/>
      <c r="L7" s="72"/>
      <c r="M7" s="72"/>
      <c r="N7" s="72"/>
      <c r="O7" s="72"/>
      <c r="P7" s="72"/>
      <c r="Q7" s="72"/>
      <c r="R7" s="72"/>
      <c r="S7" s="72"/>
      <c r="T7" s="75"/>
      <c r="U7"/>
      <c r="W7" s="82" t="s">
        <v>270</v>
      </c>
      <c r="Y7" s="78" t="s">
        <v>53</v>
      </c>
    </row>
    <row r="8" spans="2:27" ht="19.5" customHeight="1" x14ac:dyDescent="0.25">
      <c r="B8" s="71" t="s">
        <v>155</v>
      </c>
      <c r="C8" s="72">
        <v>14</v>
      </c>
      <c r="D8" s="73" t="s">
        <v>248</v>
      </c>
      <c r="E8" s="86"/>
      <c r="F8" s="71" t="s">
        <v>155</v>
      </c>
      <c r="G8" s="72"/>
      <c r="H8" s="72"/>
      <c r="I8" s="72"/>
      <c r="J8" s="72"/>
      <c r="K8" s="72"/>
      <c r="L8" s="72"/>
      <c r="M8" s="72"/>
      <c r="N8" s="72"/>
      <c r="O8" s="72"/>
      <c r="P8" s="72"/>
      <c r="Q8" s="72"/>
      <c r="R8" s="72"/>
      <c r="S8" s="72"/>
      <c r="T8" s="75"/>
      <c r="U8"/>
      <c r="W8" s="82" t="s">
        <v>271</v>
      </c>
      <c r="Y8" s="78" t="s">
        <v>54</v>
      </c>
    </row>
    <row r="9" spans="2:27" ht="19.5" customHeight="1" x14ac:dyDescent="0.25">
      <c r="B9" s="71" t="s">
        <v>131</v>
      </c>
      <c r="C9" s="72">
        <v>2</v>
      </c>
      <c r="D9" s="73" t="s">
        <v>52</v>
      </c>
      <c r="E9" s="74"/>
      <c r="F9" s="71" t="s">
        <v>131</v>
      </c>
      <c r="G9" s="72"/>
      <c r="H9" s="72"/>
      <c r="I9" s="72"/>
      <c r="J9" s="72"/>
      <c r="K9" s="72"/>
      <c r="L9" s="72"/>
      <c r="M9" s="72"/>
      <c r="N9" s="72"/>
      <c r="O9" s="72"/>
      <c r="P9" s="72"/>
      <c r="Q9" s="72"/>
      <c r="R9" s="72"/>
      <c r="S9" s="72"/>
      <c r="T9" s="75"/>
      <c r="U9"/>
      <c r="W9" s="77" t="s">
        <v>272</v>
      </c>
      <c r="Y9" s="78" t="s">
        <v>40</v>
      </c>
    </row>
    <row r="10" spans="2:27" ht="19.5" customHeight="1" x14ac:dyDescent="0.25">
      <c r="B10" s="71" t="s">
        <v>133</v>
      </c>
      <c r="C10" s="72">
        <v>3</v>
      </c>
      <c r="D10" s="73" t="s">
        <v>52</v>
      </c>
      <c r="E10" s="74"/>
      <c r="F10" s="71" t="s">
        <v>133</v>
      </c>
      <c r="G10" s="72"/>
      <c r="H10" s="72"/>
      <c r="I10" s="72"/>
      <c r="J10" s="72"/>
      <c r="K10" s="72"/>
      <c r="L10" s="72"/>
      <c r="M10" s="72"/>
      <c r="N10" s="72"/>
      <c r="O10" s="72"/>
      <c r="P10" s="72"/>
      <c r="Q10" s="72"/>
      <c r="R10" s="72"/>
      <c r="S10" s="72"/>
      <c r="T10" s="75"/>
      <c r="U10"/>
      <c r="W10" s="83" t="s">
        <v>273</v>
      </c>
      <c r="Y10" s="84" t="s">
        <v>56</v>
      </c>
    </row>
    <row r="11" spans="2:27" ht="19.5" customHeight="1" x14ac:dyDescent="0.25">
      <c r="B11" s="71" t="s">
        <v>135</v>
      </c>
      <c r="C11" s="72">
        <v>4</v>
      </c>
      <c r="D11" s="73" t="s">
        <v>52</v>
      </c>
      <c r="E11" s="74"/>
      <c r="F11" s="71" t="s">
        <v>135</v>
      </c>
      <c r="G11" s="72"/>
      <c r="H11" s="72"/>
      <c r="I11" s="72"/>
      <c r="J11" s="72"/>
      <c r="K11" s="72"/>
      <c r="L11" s="72"/>
      <c r="M11" s="72"/>
      <c r="N11" s="72"/>
      <c r="O11" s="72"/>
      <c r="P11" s="72"/>
      <c r="Q11" s="72"/>
      <c r="R11" s="72"/>
      <c r="S11" s="72"/>
      <c r="T11" s="75"/>
      <c r="U11"/>
      <c r="W11" s="81" t="s">
        <v>274</v>
      </c>
    </row>
    <row r="12" spans="2:27" ht="19.5" customHeight="1" x14ac:dyDescent="0.25">
      <c r="B12" s="71" t="s">
        <v>137</v>
      </c>
      <c r="C12" s="72">
        <v>5</v>
      </c>
      <c r="D12" s="73" t="s">
        <v>52</v>
      </c>
      <c r="E12" s="74"/>
      <c r="F12" s="71" t="s">
        <v>137</v>
      </c>
      <c r="G12" s="72"/>
      <c r="H12" s="72"/>
      <c r="I12" s="72"/>
      <c r="J12" s="72"/>
      <c r="K12" s="72"/>
      <c r="L12" s="72"/>
      <c r="M12" s="72"/>
      <c r="N12" s="72"/>
      <c r="O12" s="72"/>
      <c r="P12" s="72"/>
      <c r="Q12" s="72"/>
      <c r="R12" s="72">
        <v>20</v>
      </c>
      <c r="S12" s="72"/>
      <c r="T12" s="75"/>
      <c r="U12"/>
      <c r="W12" s="85" t="s">
        <v>275</v>
      </c>
    </row>
    <row r="13" spans="2:27" ht="19.5" customHeight="1" x14ac:dyDescent="0.25">
      <c r="B13" s="71" t="s">
        <v>139</v>
      </c>
      <c r="C13" s="72">
        <v>6</v>
      </c>
      <c r="D13" s="73" t="s">
        <v>52</v>
      </c>
      <c r="E13" s="74"/>
      <c r="F13" s="71" t="s">
        <v>139</v>
      </c>
      <c r="G13" s="72"/>
      <c r="H13" s="72"/>
      <c r="I13" s="72"/>
      <c r="J13" s="72"/>
      <c r="K13" s="72"/>
      <c r="L13" s="72"/>
      <c r="M13" s="72"/>
      <c r="N13" s="72"/>
      <c r="O13" s="72">
        <v>6.09</v>
      </c>
      <c r="P13" s="72"/>
      <c r="Q13" s="72"/>
      <c r="R13" s="72"/>
      <c r="S13" s="72"/>
      <c r="T13" s="75"/>
      <c r="U13"/>
      <c r="W13" s="83" t="s">
        <v>276</v>
      </c>
    </row>
    <row r="14" spans="2:27" ht="19.5" customHeight="1" x14ac:dyDescent="0.25">
      <c r="B14" s="71" t="s">
        <v>141</v>
      </c>
      <c r="C14" s="72">
        <v>7</v>
      </c>
      <c r="D14" s="73" t="s">
        <v>259</v>
      </c>
      <c r="E14" s="74"/>
      <c r="F14" s="71" t="s">
        <v>141</v>
      </c>
      <c r="G14" s="72"/>
      <c r="H14" s="72"/>
      <c r="I14" s="72"/>
      <c r="J14" s="72"/>
      <c r="K14" s="72"/>
      <c r="L14" s="72"/>
      <c r="M14" s="72"/>
      <c r="N14" s="72"/>
      <c r="O14" s="72"/>
      <c r="P14" s="72"/>
      <c r="Q14" s="72"/>
      <c r="R14" s="72"/>
      <c r="S14" s="72"/>
      <c r="T14" s="75"/>
      <c r="U14"/>
      <c r="W14" s="274" t="s">
        <v>277</v>
      </c>
    </row>
    <row r="15" spans="2:27" ht="19.5" customHeight="1" x14ac:dyDescent="0.25">
      <c r="B15" s="71" t="s">
        <v>143</v>
      </c>
      <c r="C15" s="72">
        <v>8</v>
      </c>
      <c r="D15" s="73" t="s">
        <v>259</v>
      </c>
      <c r="E15" s="74"/>
      <c r="F15" s="71" t="s">
        <v>143</v>
      </c>
      <c r="G15" s="72"/>
      <c r="H15" s="72"/>
      <c r="I15" s="72"/>
      <c r="J15" s="72"/>
      <c r="K15" s="72"/>
      <c r="L15" s="72"/>
      <c r="M15" s="72"/>
      <c r="N15" s="72"/>
      <c r="O15" s="72"/>
      <c r="P15" s="72"/>
      <c r="Q15" s="72"/>
      <c r="R15" s="72"/>
      <c r="S15" s="72"/>
      <c r="T15" s="75"/>
      <c r="U15"/>
      <c r="W15" s="275"/>
    </row>
    <row r="16" spans="2:27" ht="19.5" customHeight="1" x14ac:dyDescent="0.25">
      <c r="B16" s="71" t="s">
        <v>145</v>
      </c>
      <c r="C16" s="72">
        <v>9</v>
      </c>
      <c r="D16" s="73" t="s">
        <v>259</v>
      </c>
      <c r="E16" s="74"/>
      <c r="F16" s="71" t="s">
        <v>145</v>
      </c>
      <c r="G16" s="72"/>
      <c r="H16" s="72"/>
      <c r="I16" s="72"/>
      <c r="J16" s="72"/>
      <c r="K16" s="72"/>
      <c r="L16" s="72"/>
      <c r="M16" s="72"/>
      <c r="N16" s="72"/>
      <c r="O16" s="72"/>
      <c r="P16" s="72"/>
      <c r="Q16" s="72"/>
      <c r="R16" s="72"/>
      <c r="S16" s="72"/>
      <c r="T16" s="75"/>
      <c r="U16"/>
    </row>
  </sheetData>
  <mergeCells count="2">
    <mergeCell ref="B1:D1"/>
    <mergeCell ref="F1:S1"/>
  </mergeCells>
  <phoneticPr fontId="33"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B53A0-303B-46BA-8301-54472AD66277}">
  <sheetPr>
    <tabColor rgb="FFFFFF00"/>
  </sheetPr>
  <dimension ref="A1:W25"/>
  <sheetViews>
    <sheetView workbookViewId="0"/>
  </sheetViews>
  <sheetFormatPr defaultRowHeight="15" x14ac:dyDescent="0.25"/>
  <cols>
    <col min="1" max="1" width="10" bestFit="1" customWidth="1"/>
    <col min="5" max="5" width="13.5703125" customWidth="1"/>
    <col min="6" max="6" width="9.85546875" bestFit="1" customWidth="1"/>
    <col min="7" max="7" width="12.7109375" bestFit="1" customWidth="1"/>
    <col min="8" max="8" width="16" customWidth="1"/>
  </cols>
  <sheetData>
    <row r="1" spans="1:22" x14ac:dyDescent="0.25">
      <c r="A1" s="65"/>
      <c r="B1" s="65" t="s">
        <v>0</v>
      </c>
      <c r="C1" s="143"/>
      <c r="D1" s="65"/>
      <c r="E1" t="s">
        <v>0</v>
      </c>
      <c r="G1" t="s">
        <v>0</v>
      </c>
      <c r="H1" t="s">
        <v>0</v>
      </c>
      <c r="I1" t="s">
        <v>0</v>
      </c>
      <c r="T1" s="65"/>
    </row>
    <row r="2" spans="1:22" ht="96" customHeight="1" x14ac:dyDescent="0.25">
      <c r="A2" s="65"/>
      <c r="B2" s="65"/>
      <c r="C2" s="143"/>
      <c r="D2" s="65"/>
      <c r="E2" s="544" t="s">
        <v>101</v>
      </c>
      <c r="F2" s="544"/>
      <c r="H2" s="144" t="s">
        <v>101</v>
      </c>
      <c r="J2" s="145" t="s">
        <v>102</v>
      </c>
      <c r="K2" s="146" t="s">
        <v>0</v>
      </c>
      <c r="L2" s="147"/>
      <c r="M2" s="146" t="s">
        <v>0</v>
      </c>
      <c r="N2" s="147"/>
      <c r="O2" s="146" t="s">
        <v>0</v>
      </c>
      <c r="P2" s="147"/>
      <c r="Q2" s="148" t="s">
        <v>0</v>
      </c>
      <c r="R2" s="149"/>
      <c r="S2" s="150"/>
      <c r="T2" s="65"/>
      <c r="U2" s="151" t="s">
        <v>103</v>
      </c>
      <c r="V2" s="151" t="s">
        <v>104</v>
      </c>
    </row>
    <row r="3" spans="1:22" ht="87" customHeight="1" x14ac:dyDescent="0.25">
      <c r="A3" s="152" t="s">
        <v>105</v>
      </c>
      <c r="B3" s="153" t="s">
        <v>106</v>
      </c>
      <c r="C3" s="154" t="s">
        <v>3</v>
      </c>
      <c r="D3" s="155" t="s">
        <v>107</v>
      </c>
      <c r="E3" s="156" t="s">
        <v>108</v>
      </c>
      <c r="F3" s="157" t="s">
        <v>109</v>
      </c>
      <c r="G3" s="158" t="s">
        <v>110</v>
      </c>
      <c r="H3" s="159" t="s">
        <v>111</v>
      </c>
      <c r="I3" s="171" t="s">
        <v>112</v>
      </c>
      <c r="J3" s="172" t="s">
        <v>113</v>
      </c>
      <c r="K3" s="172" t="s">
        <v>114</v>
      </c>
      <c r="L3" s="172" t="s">
        <v>115</v>
      </c>
      <c r="M3" s="172" t="s">
        <v>116</v>
      </c>
      <c r="N3" s="172" t="s">
        <v>115</v>
      </c>
      <c r="O3" s="172" t="s">
        <v>116</v>
      </c>
      <c r="P3" s="173" t="s">
        <v>117</v>
      </c>
      <c r="Q3" s="174" t="s">
        <v>118</v>
      </c>
      <c r="R3" s="174" t="s">
        <v>119</v>
      </c>
      <c r="S3" s="160"/>
      <c r="T3" s="161"/>
      <c r="U3" s="162"/>
      <c r="V3" s="162"/>
    </row>
    <row r="4" spans="1:22" x14ac:dyDescent="0.25">
      <c r="A4" s="79" t="s">
        <v>278</v>
      </c>
      <c r="B4" s="79" t="s">
        <v>121</v>
      </c>
      <c r="C4" s="79" t="s">
        <v>121</v>
      </c>
      <c r="D4" s="79" t="s">
        <v>121</v>
      </c>
      <c r="E4" s="185">
        <v>10000</v>
      </c>
      <c r="F4" s="185">
        <v>10000</v>
      </c>
      <c r="G4" s="185">
        <v>10000</v>
      </c>
      <c r="H4" s="79" t="s">
        <v>121</v>
      </c>
      <c r="I4" s="79" t="s">
        <v>121</v>
      </c>
      <c r="J4" s="79" t="s">
        <v>121</v>
      </c>
      <c r="K4" s="79" t="s">
        <v>121</v>
      </c>
      <c r="L4" s="79" t="s">
        <v>121</v>
      </c>
      <c r="M4" s="79" t="s">
        <v>121</v>
      </c>
      <c r="N4" s="79" t="s">
        <v>121</v>
      </c>
      <c r="O4" s="79" t="s">
        <v>121</v>
      </c>
      <c r="P4" s="79" t="s">
        <v>121</v>
      </c>
      <c r="Q4" s="79" t="s">
        <v>121</v>
      </c>
      <c r="R4" s="79" t="s">
        <v>121</v>
      </c>
    </row>
    <row r="5" spans="1:22" x14ac:dyDescent="0.25">
      <c r="A5" s="79" t="s">
        <v>279</v>
      </c>
      <c r="B5" s="79" t="s">
        <v>121</v>
      </c>
      <c r="C5" s="79" t="s">
        <v>121</v>
      </c>
      <c r="D5" s="79" t="s">
        <v>121</v>
      </c>
      <c r="E5" s="185">
        <v>10000</v>
      </c>
      <c r="F5" s="185">
        <v>10000</v>
      </c>
      <c r="G5" s="185">
        <v>10000</v>
      </c>
      <c r="H5" s="79" t="s">
        <v>121</v>
      </c>
      <c r="I5" s="79" t="s">
        <v>121</v>
      </c>
      <c r="J5" s="79" t="s">
        <v>121</v>
      </c>
      <c r="K5" s="79" t="s">
        <v>121</v>
      </c>
      <c r="L5" s="79" t="s">
        <v>121</v>
      </c>
      <c r="M5" s="79" t="s">
        <v>121</v>
      </c>
      <c r="N5" s="79" t="s">
        <v>121</v>
      </c>
      <c r="O5" s="79" t="s">
        <v>121</v>
      </c>
      <c r="P5" s="79" t="s">
        <v>121</v>
      </c>
      <c r="Q5" s="79" t="s">
        <v>121</v>
      </c>
      <c r="R5" s="79" t="s">
        <v>121</v>
      </c>
    </row>
    <row r="6" spans="1:22" x14ac:dyDescent="0.25">
      <c r="A6" s="79" t="s">
        <v>280</v>
      </c>
      <c r="B6" s="79" t="s">
        <v>121</v>
      </c>
      <c r="C6" s="79" t="s">
        <v>121</v>
      </c>
      <c r="D6" s="79" t="s">
        <v>121</v>
      </c>
      <c r="E6" s="185">
        <v>10000</v>
      </c>
      <c r="F6" s="185">
        <v>10000</v>
      </c>
      <c r="G6" s="185">
        <v>10000</v>
      </c>
      <c r="H6" s="79" t="s">
        <v>121</v>
      </c>
      <c r="I6" s="79" t="s">
        <v>121</v>
      </c>
      <c r="J6" s="79" t="s">
        <v>121</v>
      </c>
      <c r="K6" s="79" t="s">
        <v>121</v>
      </c>
      <c r="L6" s="79" t="s">
        <v>121</v>
      </c>
      <c r="M6" s="79" t="s">
        <v>121</v>
      </c>
      <c r="N6" s="79" t="s">
        <v>121</v>
      </c>
      <c r="O6" s="79" t="s">
        <v>121</v>
      </c>
      <c r="P6" s="79" t="s">
        <v>121</v>
      </c>
      <c r="Q6" s="79" t="s">
        <v>121</v>
      </c>
      <c r="R6" s="79" t="s">
        <v>121</v>
      </c>
    </row>
    <row r="7" spans="1:22" x14ac:dyDescent="0.25">
      <c r="A7" s="79" t="s">
        <v>281</v>
      </c>
      <c r="B7" s="79" t="s">
        <v>121</v>
      </c>
      <c r="C7" s="79" t="s">
        <v>121</v>
      </c>
      <c r="D7" s="79" t="s">
        <v>121</v>
      </c>
      <c r="E7" s="185">
        <v>10000</v>
      </c>
      <c r="F7" s="185">
        <v>10000</v>
      </c>
      <c r="G7" s="185">
        <v>10000</v>
      </c>
      <c r="H7" s="79" t="s">
        <v>121</v>
      </c>
      <c r="I7" s="79" t="s">
        <v>121</v>
      </c>
      <c r="J7" s="79" t="s">
        <v>121</v>
      </c>
      <c r="K7" s="79" t="s">
        <v>121</v>
      </c>
      <c r="L7" s="79" t="s">
        <v>121</v>
      </c>
      <c r="M7" s="79" t="s">
        <v>121</v>
      </c>
      <c r="N7" s="79" t="s">
        <v>121</v>
      </c>
      <c r="O7" s="79" t="s">
        <v>121</v>
      </c>
      <c r="P7" s="79" t="s">
        <v>121</v>
      </c>
      <c r="Q7" s="79" t="s">
        <v>121</v>
      </c>
      <c r="R7" s="79" t="s">
        <v>121</v>
      </c>
    </row>
    <row r="8" spans="1:22" x14ac:dyDescent="0.25">
      <c r="A8" s="79" t="s">
        <v>282</v>
      </c>
      <c r="B8" s="79" t="s">
        <v>121</v>
      </c>
      <c r="C8" s="79" t="s">
        <v>121</v>
      </c>
      <c r="D8" s="79" t="s">
        <v>121</v>
      </c>
      <c r="E8" s="185">
        <v>10000</v>
      </c>
      <c r="F8" s="185">
        <v>10000</v>
      </c>
      <c r="G8" s="185">
        <v>10000</v>
      </c>
      <c r="H8" s="79" t="s">
        <v>121</v>
      </c>
      <c r="I8" s="79" t="s">
        <v>121</v>
      </c>
      <c r="J8" s="79" t="s">
        <v>121</v>
      </c>
      <c r="K8" s="79" t="s">
        <v>121</v>
      </c>
      <c r="L8" s="79" t="s">
        <v>121</v>
      </c>
      <c r="M8" s="79" t="s">
        <v>121</v>
      </c>
      <c r="N8" s="79" t="s">
        <v>121</v>
      </c>
      <c r="O8" s="79" t="s">
        <v>121</v>
      </c>
      <c r="P8" s="79" t="s">
        <v>121</v>
      </c>
      <c r="Q8" s="79" t="s">
        <v>121</v>
      </c>
      <c r="R8" s="79" t="s">
        <v>121</v>
      </c>
    </row>
    <row r="9" spans="1:22" x14ac:dyDescent="0.25">
      <c r="A9" s="79" t="s">
        <v>283</v>
      </c>
      <c r="B9" s="79" t="s">
        <v>121</v>
      </c>
      <c r="C9" s="79" t="s">
        <v>121</v>
      </c>
      <c r="D9" s="79" t="s">
        <v>121</v>
      </c>
      <c r="E9" s="185">
        <v>10000</v>
      </c>
      <c r="F9" s="185">
        <v>10000</v>
      </c>
      <c r="G9" s="185">
        <v>10000</v>
      </c>
      <c r="H9" s="79" t="s">
        <v>121</v>
      </c>
      <c r="I9" s="79" t="s">
        <v>121</v>
      </c>
      <c r="J9" s="79" t="s">
        <v>121</v>
      </c>
      <c r="K9" s="79" t="s">
        <v>121</v>
      </c>
      <c r="L9" s="79" t="s">
        <v>121</v>
      </c>
      <c r="M9" s="79" t="s">
        <v>121</v>
      </c>
      <c r="N9" s="79" t="s">
        <v>121</v>
      </c>
      <c r="O9" s="79" t="s">
        <v>121</v>
      </c>
      <c r="P9" s="79" t="s">
        <v>121</v>
      </c>
      <c r="Q9" s="79" t="s">
        <v>121</v>
      </c>
      <c r="R9" s="79" t="s">
        <v>121</v>
      </c>
    </row>
    <row r="10" spans="1:22" x14ac:dyDescent="0.25">
      <c r="A10" s="79" t="s">
        <v>284</v>
      </c>
      <c r="B10" s="79" t="s">
        <v>121</v>
      </c>
      <c r="C10" s="79" t="s">
        <v>121</v>
      </c>
      <c r="D10" s="79" t="s">
        <v>121</v>
      </c>
      <c r="E10" s="185">
        <v>10000</v>
      </c>
      <c r="F10" s="185">
        <v>10000</v>
      </c>
      <c r="G10" s="185">
        <v>10000</v>
      </c>
      <c r="H10" s="79" t="s">
        <v>121</v>
      </c>
      <c r="I10" s="79" t="s">
        <v>121</v>
      </c>
      <c r="J10" s="79" t="s">
        <v>121</v>
      </c>
      <c r="K10" s="79" t="s">
        <v>121</v>
      </c>
      <c r="L10" s="79" t="s">
        <v>121</v>
      </c>
      <c r="M10" s="79" t="s">
        <v>121</v>
      </c>
      <c r="N10" s="79" t="s">
        <v>121</v>
      </c>
      <c r="O10" s="79" t="s">
        <v>121</v>
      </c>
      <c r="P10" s="79" t="s">
        <v>121</v>
      </c>
      <c r="Q10" s="79" t="s">
        <v>121</v>
      </c>
      <c r="R10" s="79" t="s">
        <v>121</v>
      </c>
    </row>
    <row r="11" spans="1:22" x14ac:dyDescent="0.25">
      <c r="A11" s="79" t="s">
        <v>285</v>
      </c>
      <c r="B11" s="79" t="s">
        <v>121</v>
      </c>
      <c r="C11" s="79" t="s">
        <v>121</v>
      </c>
      <c r="D11" s="79" t="s">
        <v>121</v>
      </c>
      <c r="E11" s="185">
        <v>10000</v>
      </c>
      <c r="F11" s="185">
        <v>10000</v>
      </c>
      <c r="G11" s="185">
        <v>10000</v>
      </c>
      <c r="H11" s="79" t="s">
        <v>121</v>
      </c>
      <c r="I11" s="79" t="s">
        <v>121</v>
      </c>
      <c r="J11" s="79" t="s">
        <v>121</v>
      </c>
      <c r="K11" s="79" t="s">
        <v>121</v>
      </c>
      <c r="L11" s="79" t="s">
        <v>121</v>
      </c>
      <c r="M11" s="79" t="s">
        <v>121</v>
      </c>
      <c r="N11" s="79" t="s">
        <v>121</v>
      </c>
      <c r="O11" s="79" t="s">
        <v>121</v>
      </c>
      <c r="P11" s="79" t="s">
        <v>121</v>
      </c>
      <c r="Q11" s="79" t="s">
        <v>121</v>
      </c>
      <c r="R11" s="79" t="s">
        <v>121</v>
      </c>
    </row>
    <row r="12" spans="1:22" x14ac:dyDescent="0.25">
      <c r="A12" s="79" t="s">
        <v>286</v>
      </c>
      <c r="B12" s="79" t="s">
        <v>121</v>
      </c>
      <c r="C12" s="79" t="s">
        <v>121</v>
      </c>
      <c r="D12" s="79" t="s">
        <v>121</v>
      </c>
      <c r="E12" s="185">
        <v>10000</v>
      </c>
      <c r="F12" s="185">
        <v>10000</v>
      </c>
      <c r="G12" s="185">
        <v>10000</v>
      </c>
      <c r="H12" s="79" t="s">
        <v>121</v>
      </c>
      <c r="I12" s="79" t="s">
        <v>121</v>
      </c>
      <c r="J12" s="79" t="s">
        <v>121</v>
      </c>
      <c r="K12" s="79" t="s">
        <v>121</v>
      </c>
      <c r="L12" s="79" t="s">
        <v>121</v>
      </c>
      <c r="M12" s="79" t="s">
        <v>121</v>
      </c>
      <c r="N12" s="79" t="s">
        <v>121</v>
      </c>
      <c r="O12" s="79" t="s">
        <v>121</v>
      </c>
      <c r="P12" s="79" t="s">
        <v>121</v>
      </c>
      <c r="Q12" s="79" t="s">
        <v>121</v>
      </c>
      <c r="R12" s="79" t="s">
        <v>121</v>
      </c>
    </row>
    <row r="13" spans="1:22" x14ac:dyDescent="0.25">
      <c r="A13" s="79" t="s">
        <v>287</v>
      </c>
      <c r="B13" s="79" t="s">
        <v>121</v>
      </c>
      <c r="C13" s="79" t="s">
        <v>121</v>
      </c>
      <c r="D13" s="79" t="s">
        <v>121</v>
      </c>
      <c r="E13" s="185">
        <v>10000</v>
      </c>
      <c r="F13" s="185">
        <v>10000</v>
      </c>
      <c r="G13" s="185">
        <v>10000</v>
      </c>
      <c r="H13" s="79" t="s">
        <v>121</v>
      </c>
      <c r="I13" s="79" t="s">
        <v>121</v>
      </c>
      <c r="J13" s="79" t="s">
        <v>121</v>
      </c>
      <c r="K13" s="79" t="s">
        <v>121</v>
      </c>
      <c r="L13" s="79" t="s">
        <v>121</v>
      </c>
      <c r="M13" s="79" t="s">
        <v>121</v>
      </c>
      <c r="N13" s="79" t="s">
        <v>121</v>
      </c>
      <c r="O13" s="79" t="s">
        <v>121</v>
      </c>
      <c r="P13" s="79" t="s">
        <v>121</v>
      </c>
      <c r="Q13" s="79" t="s">
        <v>121</v>
      </c>
      <c r="R13" s="79" t="s">
        <v>121</v>
      </c>
    </row>
    <row r="14" spans="1:22" x14ac:dyDescent="0.25">
      <c r="A14" s="79" t="s">
        <v>287</v>
      </c>
      <c r="B14" s="79" t="s">
        <v>121</v>
      </c>
      <c r="C14" s="79" t="s">
        <v>121</v>
      </c>
      <c r="D14" s="79" t="s">
        <v>121</v>
      </c>
      <c r="E14" s="185">
        <v>10000</v>
      </c>
      <c r="F14" s="185">
        <v>10000</v>
      </c>
      <c r="G14" s="185">
        <v>10000</v>
      </c>
      <c r="H14" s="79" t="s">
        <v>121</v>
      </c>
      <c r="I14" s="79" t="s">
        <v>121</v>
      </c>
      <c r="J14" s="79" t="s">
        <v>121</v>
      </c>
      <c r="K14" s="79" t="s">
        <v>121</v>
      </c>
      <c r="L14" s="79" t="s">
        <v>121</v>
      </c>
      <c r="M14" s="79" t="s">
        <v>121</v>
      </c>
      <c r="N14" s="79" t="s">
        <v>121</v>
      </c>
      <c r="O14" s="79" t="s">
        <v>121</v>
      </c>
      <c r="P14" s="79" t="s">
        <v>121</v>
      </c>
      <c r="Q14" s="79" t="s">
        <v>121</v>
      </c>
      <c r="R14" s="79" t="s">
        <v>121</v>
      </c>
    </row>
    <row r="15" spans="1:22" x14ac:dyDescent="0.25">
      <c r="A15" s="79" t="s">
        <v>288</v>
      </c>
      <c r="B15" s="79" t="s">
        <v>121</v>
      </c>
      <c r="C15" s="79" t="s">
        <v>121</v>
      </c>
      <c r="D15" s="79" t="s">
        <v>121</v>
      </c>
      <c r="E15" s="185">
        <v>10000</v>
      </c>
      <c r="F15" s="185">
        <v>10000</v>
      </c>
      <c r="G15" s="185">
        <v>10000</v>
      </c>
      <c r="H15" s="79" t="s">
        <v>121</v>
      </c>
      <c r="I15" s="79" t="s">
        <v>121</v>
      </c>
      <c r="J15" s="79" t="s">
        <v>121</v>
      </c>
      <c r="K15" s="79" t="s">
        <v>121</v>
      </c>
      <c r="L15" s="79" t="s">
        <v>121</v>
      </c>
      <c r="M15" s="79" t="s">
        <v>121</v>
      </c>
      <c r="N15" s="79" t="s">
        <v>121</v>
      </c>
      <c r="O15" s="79" t="s">
        <v>121</v>
      </c>
      <c r="P15" s="79" t="s">
        <v>121</v>
      </c>
      <c r="Q15" s="79" t="s">
        <v>121</v>
      </c>
      <c r="R15" s="79" t="s">
        <v>121</v>
      </c>
    </row>
    <row r="16" spans="1:22" x14ac:dyDescent="0.25">
      <c r="A16" s="191" t="s">
        <v>274</v>
      </c>
      <c r="B16" s="79" t="s">
        <v>121</v>
      </c>
      <c r="C16" s="79" t="s">
        <v>121</v>
      </c>
      <c r="D16" s="79" t="s">
        <v>121</v>
      </c>
      <c r="E16" s="185">
        <v>10000</v>
      </c>
      <c r="F16" s="185">
        <v>10000</v>
      </c>
      <c r="G16" s="185">
        <v>10000</v>
      </c>
      <c r="H16" s="79" t="s">
        <v>121</v>
      </c>
      <c r="I16" s="79" t="s">
        <v>121</v>
      </c>
      <c r="J16" s="79" t="s">
        <v>121</v>
      </c>
      <c r="K16" s="79" t="s">
        <v>121</v>
      </c>
      <c r="L16" s="79" t="s">
        <v>121</v>
      </c>
      <c r="M16" s="79" t="s">
        <v>121</v>
      </c>
      <c r="N16" s="79" t="s">
        <v>121</v>
      </c>
      <c r="O16" s="79" t="s">
        <v>121</v>
      </c>
      <c r="P16" s="79" t="s">
        <v>121</v>
      </c>
      <c r="Q16" s="79" t="s">
        <v>121</v>
      </c>
      <c r="R16" s="79" t="s">
        <v>121</v>
      </c>
    </row>
    <row r="17" spans="1:23" x14ac:dyDescent="0.25">
      <c r="A17" s="191" t="s">
        <v>289</v>
      </c>
      <c r="B17" s="79" t="s">
        <v>121</v>
      </c>
      <c r="C17" s="79" t="s">
        <v>121</v>
      </c>
      <c r="D17" s="79" t="s">
        <v>121</v>
      </c>
      <c r="E17" s="185">
        <v>10000</v>
      </c>
      <c r="F17" s="185">
        <v>10000</v>
      </c>
      <c r="G17" s="185">
        <v>10000</v>
      </c>
      <c r="H17" s="79" t="s">
        <v>121</v>
      </c>
      <c r="I17" s="79" t="s">
        <v>121</v>
      </c>
      <c r="J17" s="79" t="s">
        <v>121</v>
      </c>
      <c r="K17" s="79" t="s">
        <v>121</v>
      </c>
      <c r="L17" s="79" t="s">
        <v>121</v>
      </c>
      <c r="M17" s="79" t="s">
        <v>121</v>
      </c>
      <c r="N17" s="79" t="s">
        <v>121</v>
      </c>
      <c r="O17" s="79" t="s">
        <v>121</v>
      </c>
      <c r="P17" s="79" t="s">
        <v>121</v>
      </c>
      <c r="Q17" s="79" t="s">
        <v>121</v>
      </c>
      <c r="R17" s="79" t="s">
        <v>121</v>
      </c>
    </row>
    <row r="18" spans="1:23" x14ac:dyDescent="0.25">
      <c r="A18" s="163" t="s">
        <v>120</v>
      </c>
      <c r="B18" s="163"/>
      <c r="C18" s="175"/>
      <c r="D18" s="164">
        <f>SUM(D4:D17)</f>
        <v>0</v>
      </c>
      <c r="E18" s="165">
        <f>SUM(E4:E17)</f>
        <v>140000</v>
      </c>
      <c r="F18" s="166">
        <f>SUM(F4:F17)</f>
        <v>140000</v>
      </c>
      <c r="G18" s="167">
        <f>SUM(G4:G17)</f>
        <v>140000</v>
      </c>
      <c r="H18" s="168" t="s">
        <v>0</v>
      </c>
      <c r="I18" s="167">
        <f t="shared" ref="I18:Q18" si="0">SUM(I4:I17)</f>
        <v>0</v>
      </c>
      <c r="J18" s="176">
        <f t="shared" si="0"/>
        <v>0</v>
      </c>
      <c r="K18" s="177">
        <f t="shared" si="0"/>
        <v>0</v>
      </c>
      <c r="L18" s="176">
        <f t="shared" si="0"/>
        <v>0</v>
      </c>
      <c r="M18" s="177">
        <f t="shared" si="0"/>
        <v>0</v>
      </c>
      <c r="N18" s="176">
        <f t="shared" si="0"/>
        <v>0</v>
      </c>
      <c r="O18" s="177">
        <f t="shared" si="0"/>
        <v>0</v>
      </c>
      <c r="P18" s="178">
        <f t="shared" si="0"/>
        <v>0</v>
      </c>
      <c r="Q18" s="179">
        <f t="shared" si="0"/>
        <v>0</v>
      </c>
      <c r="R18" s="180">
        <f t="shared" ref="R18" si="1">P18-E18</f>
        <v>-140000</v>
      </c>
      <c r="S18" s="169"/>
      <c r="U18" s="170"/>
      <c r="V18" s="170"/>
      <c r="W18" s="65"/>
    </row>
    <row r="19" spans="1:23" s="65" customFormat="1" x14ac:dyDescent="0.25">
      <c r="C19" s="143"/>
      <c r="E19" s="181" t="s">
        <v>0</v>
      </c>
      <c r="F19" s="182"/>
      <c r="G19" s="182"/>
    </row>
    <row r="20" spans="1:23" s="65" customFormat="1" x14ac:dyDescent="0.25">
      <c r="A20" s="65" t="s">
        <v>0</v>
      </c>
      <c r="B20" s="65" t="s">
        <v>0</v>
      </c>
      <c r="C20" s="143"/>
      <c r="E20" s="182"/>
      <c r="F20" s="182"/>
      <c r="G20" s="182" t="s">
        <v>0</v>
      </c>
      <c r="J20" s="183" t="s">
        <v>0</v>
      </c>
      <c r="K20" s="183" t="s">
        <v>0</v>
      </c>
    </row>
    <row r="21" spans="1:23" s="65" customFormat="1" x14ac:dyDescent="0.25">
      <c r="A21" s="65" t="s">
        <v>0</v>
      </c>
      <c r="B21" s="65" t="s">
        <v>0</v>
      </c>
      <c r="C21" s="143"/>
      <c r="E21" s="182" t="s">
        <v>0</v>
      </c>
      <c r="F21" s="182"/>
      <c r="G21" s="182" t="s">
        <v>0</v>
      </c>
    </row>
    <row r="22" spans="1:23" s="65" customFormat="1" x14ac:dyDescent="0.25">
      <c r="A22" s="65" t="s">
        <v>0</v>
      </c>
      <c r="C22" s="143"/>
      <c r="D22" s="65" t="s">
        <v>0</v>
      </c>
      <c r="E22" s="182"/>
      <c r="F22" s="182"/>
      <c r="G22" s="182"/>
    </row>
    <row r="23" spans="1:23" s="65" customFormat="1" x14ac:dyDescent="0.25">
      <c r="B23" s="65" t="s">
        <v>0</v>
      </c>
      <c r="C23" s="143"/>
    </row>
    <row r="24" spans="1:23" s="65" customFormat="1" x14ac:dyDescent="0.25">
      <c r="A24" s="184" t="s">
        <v>0</v>
      </c>
      <c r="B24" s="65" t="s">
        <v>0</v>
      </c>
      <c r="C24" s="143"/>
    </row>
    <row r="25" spans="1:23" s="65" customFormat="1" x14ac:dyDescent="0.25">
      <c r="B25" s="65" t="s">
        <v>0</v>
      </c>
      <c r="C25" s="143"/>
    </row>
  </sheetData>
  <mergeCells count="1">
    <mergeCell ref="E2:F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AO233"/>
  <sheetViews>
    <sheetView topLeftCell="A15" zoomScale="70" zoomScaleNormal="70" workbookViewId="0">
      <selection activeCell="A15" sqref="A15"/>
    </sheetView>
  </sheetViews>
  <sheetFormatPr defaultRowHeight="15" x14ac:dyDescent="0.25"/>
  <cols>
    <col min="1" max="1" width="26.85546875" customWidth="1"/>
    <col min="2" max="2" width="13.140625" bestFit="1" customWidth="1"/>
    <col min="3" max="3" width="16.28515625" bestFit="1" customWidth="1"/>
    <col min="4" max="4" width="22.140625" customWidth="1"/>
    <col min="5" max="5" width="11.42578125" bestFit="1" customWidth="1"/>
    <col min="6" max="6" width="16.28515625" customWidth="1"/>
    <col min="7" max="7" width="21.42578125" customWidth="1"/>
    <col min="8" max="8" width="19.42578125" bestFit="1" customWidth="1"/>
    <col min="9" max="9" width="12.85546875" bestFit="1" customWidth="1"/>
    <col min="10" max="10" width="11.28515625" customWidth="1"/>
    <col min="11" max="11" width="16.140625" customWidth="1"/>
    <col min="12" max="12" width="9.85546875" bestFit="1" customWidth="1"/>
    <col min="13" max="13" width="11.5703125" bestFit="1" customWidth="1"/>
    <col min="14" max="15" width="10.140625" bestFit="1" customWidth="1"/>
    <col min="16" max="16" width="10.5703125" bestFit="1" customWidth="1"/>
    <col min="17" max="17" width="10.28515625" bestFit="1" customWidth="1"/>
    <col min="18" max="18" width="10.5703125" bestFit="1" customWidth="1"/>
    <col min="19" max="19" width="9.7109375" bestFit="1" customWidth="1"/>
    <col min="20" max="20" width="10.5703125" bestFit="1" customWidth="1"/>
    <col min="21" max="21" width="10" bestFit="1" customWidth="1"/>
    <col min="22" max="22" width="10.5703125" bestFit="1" customWidth="1"/>
    <col min="23" max="23" width="9.5703125" bestFit="1" customWidth="1"/>
    <col min="24" max="24" width="12" bestFit="1" customWidth="1"/>
    <col min="25" max="25" width="9.5703125" bestFit="1" customWidth="1"/>
    <col min="26" max="26" width="6.42578125" bestFit="1" customWidth="1"/>
    <col min="27" max="28" width="11.5703125" bestFit="1" customWidth="1"/>
    <col min="29" max="29" width="12" bestFit="1" customWidth="1"/>
    <col min="30" max="30" width="11.5703125" bestFit="1" customWidth="1"/>
    <col min="31" max="31" width="7.42578125" bestFit="1" customWidth="1"/>
    <col min="32" max="32" width="12" bestFit="1" customWidth="1"/>
    <col min="33" max="33" width="11.5703125" bestFit="1" customWidth="1"/>
    <col min="34" max="35" width="9" bestFit="1" customWidth="1"/>
    <col min="36" max="36" width="8.5703125" bestFit="1" customWidth="1"/>
    <col min="37" max="37" width="14.42578125" bestFit="1" customWidth="1"/>
    <col min="38" max="38" width="16.7109375" bestFit="1" customWidth="1"/>
    <col min="39" max="39" width="8.5703125" bestFit="1" customWidth="1"/>
    <col min="40" max="40" width="14.42578125" bestFit="1" customWidth="1"/>
    <col min="41" max="41" width="16.7109375" bestFit="1" customWidth="1"/>
  </cols>
  <sheetData>
    <row r="1" spans="1:41" s="65" customFormat="1" hidden="1" x14ac:dyDescent="0.25"/>
    <row r="2" spans="1:41" s="65" customFormat="1" hidden="1" x14ac:dyDescent="0.25"/>
    <row r="3" spans="1:41" s="65" customFormat="1" hidden="1" x14ac:dyDescent="0.25"/>
    <row r="4" spans="1:41" s="65" customFormat="1" hidden="1" x14ac:dyDescent="0.25"/>
    <row r="5" spans="1:41" s="65" customFormat="1" hidden="1" x14ac:dyDescent="0.25"/>
    <row r="6" spans="1:41" s="65" customFormat="1" hidden="1" x14ac:dyDescent="0.25"/>
    <row r="7" spans="1:41" s="65" customFormat="1" hidden="1" x14ac:dyDescent="0.25"/>
    <row r="8" spans="1:41" s="65" customFormat="1" hidden="1" x14ac:dyDescent="0.25"/>
    <row r="9" spans="1:41" s="65" customFormat="1" hidden="1" x14ac:dyDescent="0.25"/>
    <row r="10" spans="1:41" s="65" customFormat="1" hidden="1" x14ac:dyDescent="0.25"/>
    <row r="11" spans="1:41" s="65" customFormat="1" hidden="1" x14ac:dyDescent="0.25"/>
    <row r="12" spans="1:41" s="65" customFormat="1" hidden="1" x14ac:dyDescent="0.25"/>
    <row r="13" spans="1:41" s="65" customFormat="1" hidden="1" x14ac:dyDescent="0.25"/>
    <row r="14" spans="1:41" s="65" customFormat="1" hidden="1" x14ac:dyDescent="0.25"/>
    <row r="15" spans="1:41" s="14" customFormat="1" ht="21.75" customHeight="1" x14ac:dyDescent="0.25">
      <c r="A15" s="1"/>
      <c r="B15" s="1"/>
      <c r="C15" s="1"/>
      <c r="D15" s="1"/>
      <c r="E15" s="1"/>
      <c r="F15" s="2"/>
      <c r="G15" s="3"/>
      <c r="H15" s="3"/>
      <c r="I15" s="4"/>
      <c r="J15" s="5"/>
      <c r="K15" s="5"/>
      <c r="L15" s="6">
        <v>2023</v>
      </c>
      <c r="M15" s="7"/>
      <c r="N15" s="8"/>
      <c r="O15" s="9"/>
      <c r="P15" s="10"/>
      <c r="Q15" s="10"/>
      <c r="R15" s="10"/>
      <c r="S15" s="10"/>
      <c r="T15" s="10"/>
      <c r="U15" s="136"/>
      <c r="V15" s="137"/>
      <c r="W15" s="10"/>
      <c r="X15" s="11"/>
      <c r="Y15" s="11"/>
      <c r="Z15" s="11"/>
      <c r="AA15" s="12"/>
      <c r="AB15" s="12"/>
      <c r="AC15" s="11"/>
      <c r="AD15" s="11"/>
      <c r="AE15" s="11"/>
      <c r="AF15" s="11"/>
      <c r="AG15" s="11"/>
      <c r="AH15" s="13"/>
      <c r="AI15" s="13"/>
      <c r="AJ15" s="13"/>
      <c r="AK15" s="11"/>
      <c r="AL15" s="11"/>
      <c r="AM15" s="11"/>
      <c r="AN15" s="11"/>
      <c r="AO15" s="11"/>
    </row>
    <row r="16" spans="1:41" s="14" customFormat="1" ht="54.75" customHeight="1" x14ac:dyDescent="0.55000000000000004">
      <c r="A16" s="15" t="s">
        <v>0</v>
      </c>
      <c r="B16" s="15"/>
      <c r="C16" s="15"/>
      <c r="D16" s="15"/>
      <c r="E16" s="15"/>
      <c r="F16" s="16"/>
      <c r="G16" s="4"/>
      <c r="H16" s="4" t="s">
        <v>0</v>
      </c>
      <c r="I16" s="4" t="s">
        <v>0</v>
      </c>
      <c r="J16" s="15" t="s">
        <v>0</v>
      </c>
      <c r="K16" s="15"/>
      <c r="L16" s="133" t="s">
        <v>1</v>
      </c>
      <c r="M16" s="133" t="s">
        <v>2</v>
      </c>
      <c r="N16" s="133" t="s">
        <v>3</v>
      </c>
      <c r="O16" s="10"/>
      <c r="P16" s="545" t="s">
        <v>262</v>
      </c>
      <c r="Q16" s="545"/>
      <c r="R16" s="10"/>
      <c r="S16" s="10"/>
      <c r="T16" s="10"/>
      <c r="U16" s="138"/>
      <c r="V16" s="139"/>
      <c r="W16" s="10"/>
      <c r="X16" s="546" t="s">
        <v>79</v>
      </c>
      <c r="Y16" s="547"/>
      <c r="Z16" s="547"/>
      <c r="AA16" s="547"/>
      <c r="AB16" s="547"/>
      <c r="AC16" s="547"/>
      <c r="AD16" s="547"/>
      <c r="AE16" s="547"/>
      <c r="AF16" s="547"/>
      <c r="AG16" s="547"/>
      <c r="AH16" s="547"/>
      <c r="AI16" s="547"/>
      <c r="AJ16" s="547"/>
      <c r="AK16" s="547"/>
      <c r="AL16" s="547"/>
      <c r="AM16" s="547"/>
      <c r="AN16" s="547"/>
      <c r="AO16" s="548"/>
    </row>
    <row r="17" spans="1:41" s="14" customFormat="1" ht="21" customHeight="1" x14ac:dyDescent="0.35">
      <c r="A17" s="113" t="s">
        <v>4</v>
      </c>
      <c r="B17" s="114" t="s">
        <v>5</v>
      </c>
      <c r="C17" s="114" t="s">
        <v>5</v>
      </c>
      <c r="D17" s="113" t="s">
        <v>4</v>
      </c>
      <c r="E17" s="113" t="s">
        <v>4</v>
      </c>
      <c r="F17" s="113" t="s">
        <v>4</v>
      </c>
      <c r="G17" s="113" t="s">
        <v>4</v>
      </c>
      <c r="H17" s="113" t="s">
        <v>4</v>
      </c>
      <c r="I17" s="113" t="s">
        <v>4</v>
      </c>
      <c r="J17" s="115" t="s">
        <v>4</v>
      </c>
      <c r="K17" s="113" t="s">
        <v>4</v>
      </c>
      <c r="L17" s="134">
        <f>(SUBTOTAL(9,L19:W226))/147</f>
        <v>1109.591836734694</v>
      </c>
      <c r="M17" s="135">
        <f>+L17*147</f>
        <v>163110</v>
      </c>
      <c r="N17" s="135">
        <f>L17/12</f>
        <v>92.465986394557831</v>
      </c>
      <c r="O17" s="10"/>
      <c r="P17" s="503"/>
      <c r="Q17" s="10"/>
      <c r="R17" s="10"/>
      <c r="S17" s="10"/>
      <c r="T17" s="10"/>
      <c r="U17" s="7" t="s">
        <v>6</v>
      </c>
      <c r="V17" s="17">
        <f>Y227</f>
        <v>13990</v>
      </c>
      <c r="W17" s="10"/>
      <c r="X17" s="549" t="s">
        <v>7</v>
      </c>
      <c r="Y17" s="549"/>
      <c r="Z17" s="549"/>
      <c r="AA17" s="549"/>
      <c r="AB17" s="549"/>
      <c r="AC17" s="549" t="s">
        <v>8</v>
      </c>
      <c r="AD17" s="549"/>
      <c r="AE17" s="549"/>
      <c r="AF17" s="549"/>
      <c r="AG17" s="549"/>
      <c r="AH17" s="549"/>
      <c r="AI17" s="549"/>
      <c r="AJ17" s="549" t="s">
        <v>9</v>
      </c>
      <c r="AK17" s="549"/>
      <c r="AL17" s="549"/>
      <c r="AM17" s="550" t="s">
        <v>10</v>
      </c>
      <c r="AN17" s="551"/>
      <c r="AO17" s="552"/>
    </row>
    <row r="18" spans="1:41" s="14" customFormat="1" ht="57" customHeight="1" x14ac:dyDescent="0.25">
      <c r="A18" s="18" t="s">
        <v>11</v>
      </c>
      <c r="B18" s="18" t="s">
        <v>12</v>
      </c>
      <c r="C18" s="18" t="s">
        <v>13</v>
      </c>
      <c r="D18" s="19" t="s">
        <v>14</v>
      </c>
      <c r="E18" s="19" t="s">
        <v>15</v>
      </c>
      <c r="F18" s="19" t="s">
        <v>16</v>
      </c>
      <c r="G18" s="19" t="s">
        <v>17</v>
      </c>
      <c r="H18" s="19" t="s">
        <v>18</v>
      </c>
      <c r="I18" s="19" t="s">
        <v>19</v>
      </c>
      <c r="J18" s="20" t="s">
        <v>20</v>
      </c>
      <c r="K18" s="20" t="s">
        <v>21</v>
      </c>
      <c r="L18" s="124">
        <v>44927</v>
      </c>
      <c r="M18" s="125">
        <v>44958</v>
      </c>
      <c r="N18" s="124">
        <v>44986</v>
      </c>
      <c r="O18" s="125">
        <v>45017</v>
      </c>
      <c r="P18" s="505">
        <v>45047</v>
      </c>
      <c r="Q18" s="504">
        <v>45078</v>
      </c>
      <c r="R18" s="124">
        <v>45108</v>
      </c>
      <c r="S18" s="125">
        <v>45139</v>
      </c>
      <c r="T18" s="124">
        <v>45170</v>
      </c>
      <c r="U18" s="125">
        <v>45200</v>
      </c>
      <c r="V18" s="124">
        <v>45231</v>
      </c>
      <c r="W18" s="125">
        <v>45261</v>
      </c>
      <c r="X18" s="126" t="s">
        <v>22</v>
      </c>
      <c r="Y18" s="127" t="s">
        <v>23</v>
      </c>
      <c r="Z18" s="128" t="s">
        <v>24</v>
      </c>
      <c r="AA18" s="129" t="s">
        <v>25</v>
      </c>
      <c r="AB18" s="129" t="s">
        <v>26</v>
      </c>
      <c r="AC18" s="130" t="s">
        <v>27</v>
      </c>
      <c r="AD18" s="130" t="s">
        <v>28</v>
      </c>
      <c r="AE18" s="130" t="s">
        <v>29</v>
      </c>
      <c r="AF18" s="130" t="s">
        <v>30</v>
      </c>
      <c r="AG18" s="131" t="s">
        <v>31</v>
      </c>
      <c r="AH18" s="132" t="s">
        <v>32</v>
      </c>
      <c r="AI18" s="132" t="s">
        <v>33</v>
      </c>
      <c r="AJ18" s="21" t="s">
        <v>34</v>
      </c>
      <c r="AK18" s="21" t="s">
        <v>35</v>
      </c>
      <c r="AL18" s="21" t="s">
        <v>36</v>
      </c>
      <c r="AM18" s="21" t="s">
        <v>37</v>
      </c>
      <c r="AN18" s="21" t="s">
        <v>38</v>
      </c>
      <c r="AO18" s="21" t="s">
        <v>39</v>
      </c>
    </row>
    <row r="19" spans="1:41" s="14" customFormat="1" ht="27" customHeight="1" x14ac:dyDescent="0.25">
      <c r="A19" s="116" t="s">
        <v>141</v>
      </c>
      <c r="B19" s="117">
        <f>IFERROR(IF(VLOOKUP(A19,Table3[],MATCH('2023 sintesi '!I19,Table3[#Headers],0),0)=0,IFERROR(VLOOKUP($A19,Table1[],2,FALSE),0),VLOOKUP(A19,Table3[],MATCH('2023 sintesi '!I19,Table3[#Headers],0),0)),0)</f>
        <v>7</v>
      </c>
      <c r="C19" s="118" t="str">
        <f>IFERROR(VLOOKUP($A19,Table1[],3,FALSE),0)</f>
        <v>Consociate</v>
      </c>
      <c r="D19" s="116" t="s">
        <v>80</v>
      </c>
      <c r="E19" s="116" t="s">
        <v>43</v>
      </c>
      <c r="F19" s="119"/>
      <c r="G19" s="116" t="s">
        <v>86</v>
      </c>
      <c r="H19" s="116" t="s">
        <v>44</v>
      </c>
      <c r="I19" s="120" t="s">
        <v>273</v>
      </c>
      <c r="J19" s="121" t="s">
        <v>45</v>
      </c>
      <c r="K19" s="122" t="s">
        <v>49</v>
      </c>
      <c r="L19" s="24">
        <v>160</v>
      </c>
      <c r="M19" s="24">
        <v>160</v>
      </c>
      <c r="N19" s="24">
        <v>160</v>
      </c>
      <c r="O19" s="24">
        <v>160</v>
      </c>
      <c r="P19" s="24">
        <v>160</v>
      </c>
      <c r="Q19" s="24">
        <v>160</v>
      </c>
      <c r="R19" s="24">
        <v>160</v>
      </c>
      <c r="S19" s="24"/>
      <c r="T19" s="24"/>
      <c r="U19" s="24"/>
      <c r="V19" s="24"/>
      <c r="W19" s="24"/>
      <c r="X19" s="25">
        <f>IF($K19="ORE",SUM(L19:W19)/147,0)</f>
        <v>0</v>
      </c>
      <c r="Y19" s="26">
        <f xml:space="preserve"> IF($K19="ORE",SUM(L19:W19),0)</f>
        <v>0</v>
      </c>
      <c r="Z19" s="26"/>
      <c r="AA19" s="27">
        <f>$Y19*$B19</f>
        <v>0</v>
      </c>
      <c r="AB19" s="27">
        <f>IF($K19="LUMP SUM",SUM(L19:W19),0)</f>
        <v>1120</v>
      </c>
      <c r="AC19" s="28" t="str">
        <f>IFERROR(VLOOKUP($I19&amp;"|"&amp;$A19,Table2[],2,FALSE),"")</f>
        <v/>
      </c>
      <c r="AD19" s="29" t="str">
        <f>IFERROR(VLOOKUP($I19&amp;"|"&amp;$A19,Table2[],3,FALSE),"")</f>
        <v/>
      </c>
      <c r="AE19" s="28">
        <f t="shared" ref="AE19" si="0">COUNTIFS($A$19:$A$226,A19,$I$19:$I$226,I19)</f>
        <v>4</v>
      </c>
      <c r="AF19" s="28" t="str">
        <f>IFERROR(AC19/AE19,"")</f>
        <v/>
      </c>
      <c r="AG19" s="30" t="str">
        <f>IFERROR(AD19/AE19,"")</f>
        <v/>
      </c>
      <c r="AH19" s="28" t="str">
        <f>IFERROR(VLOOKUP($I19&amp;"|"&amp;$A19,Table2[],4,FALSE),"")</f>
        <v/>
      </c>
      <c r="AI19" s="28" t="str">
        <f>IFERROR(AH19/AE19,"")</f>
        <v/>
      </c>
      <c r="AJ19" s="123">
        <f>IF($K19="ORE",SUM(Q19:W19),0)</f>
        <v>0</v>
      </c>
      <c r="AK19" s="33">
        <f t="shared" ref="AK19:AK88" si="1">$AJ19*$B19</f>
        <v>0</v>
      </c>
      <c r="AL19" s="33">
        <f>IF($K19="LUMP SUM",SUM(Q19:W19),0)</f>
        <v>320</v>
      </c>
      <c r="AM19" s="123">
        <f>IF($K19="ORE",SUM(L19:P19),0)</f>
        <v>0</v>
      </c>
      <c r="AN19" s="33">
        <f t="shared" ref="AN19:AN88" si="2">$AM19*$B19</f>
        <v>0</v>
      </c>
      <c r="AO19" s="33">
        <f>IF($K19="LUMP SUM",SUM(L19:P19),0)</f>
        <v>800</v>
      </c>
    </row>
    <row r="20" spans="1:41" s="14" customFormat="1" ht="27" customHeight="1" x14ac:dyDescent="0.25">
      <c r="A20" s="102" t="s">
        <v>131</v>
      </c>
      <c r="B20" s="22">
        <f>IFERROR(IF(VLOOKUP(A20,Table3[],MATCH('2023 sintesi '!I20,Table3[#Headers],0),0)=0,IFERROR(VLOOKUP($A20,Table1[],2,FALSE),0),VLOOKUP(A20,Table3[],MATCH('2023 sintesi '!I20,Table3[#Headers],0),0)),0)</f>
        <v>2</v>
      </c>
      <c r="C20" s="23" t="str">
        <f>IFERROR(VLOOKUP($A20,Table1[],3,FALSE),0)</f>
        <v>Esterni "veri"</v>
      </c>
      <c r="D20" s="102" t="s">
        <v>80</v>
      </c>
      <c r="E20" s="102" t="s">
        <v>43</v>
      </c>
      <c r="F20" s="104"/>
      <c r="G20" s="116" t="s">
        <v>86</v>
      </c>
      <c r="H20" s="102" t="s">
        <v>40</v>
      </c>
      <c r="I20" s="120" t="s">
        <v>273</v>
      </c>
      <c r="J20" s="121" t="s">
        <v>45</v>
      </c>
      <c r="K20" s="107" t="s">
        <v>49</v>
      </c>
      <c r="L20" s="24"/>
      <c r="M20" s="34"/>
      <c r="N20" s="34"/>
      <c r="O20" s="34">
        <v>140</v>
      </c>
      <c r="P20" s="34">
        <v>140</v>
      </c>
      <c r="Q20" s="34">
        <v>140</v>
      </c>
      <c r="R20" s="34">
        <v>140</v>
      </c>
      <c r="S20" s="34">
        <v>140</v>
      </c>
      <c r="T20" s="34">
        <v>140</v>
      </c>
      <c r="U20" s="34">
        <v>140</v>
      </c>
      <c r="V20" s="34"/>
      <c r="W20" s="24"/>
      <c r="X20" s="25">
        <f t="shared" ref="X20:X83" si="3">IF($K20="ORE",SUM(L20:W20)/147,0)</f>
        <v>0</v>
      </c>
      <c r="Y20" s="26">
        <f t="shared" ref="Y20:Y83" si="4" xml:space="preserve"> IF($K20="ORE",SUM(L20:W20),0)</f>
        <v>0</v>
      </c>
      <c r="Z20" s="26"/>
      <c r="AA20" s="27">
        <f t="shared" ref="AA20:AA83" si="5">$Y20*$B20</f>
        <v>0</v>
      </c>
      <c r="AB20" s="27">
        <f t="shared" ref="AB20:AB83" si="6">IF($K20="LUMP SUM",SUM(L20:W20),0)</f>
        <v>980</v>
      </c>
      <c r="AC20" s="28" t="str">
        <f>IFERROR(VLOOKUP($I20&amp;"|"&amp;$A20,Table2[],2,FALSE),"")</f>
        <v/>
      </c>
      <c r="AD20" s="29" t="str">
        <f>IFERROR(VLOOKUP($I20&amp;"|"&amp;$A20,Table2[],3,FALSE),"")</f>
        <v/>
      </c>
      <c r="AE20" s="28">
        <f>COUNTIFS($A$19:$A$226,A20,$I$19:$I$226,I20)</f>
        <v>7</v>
      </c>
      <c r="AF20" s="28" t="str">
        <f t="shared" ref="AF20:AF83" si="7">IFERROR(AC20/AE20,"")</f>
        <v/>
      </c>
      <c r="AG20" s="30" t="str">
        <f t="shared" ref="AG20:AG83" si="8">IFERROR(AD20/AE20,"")</f>
        <v/>
      </c>
      <c r="AH20" s="28" t="str">
        <f>IFERROR(VLOOKUP($I20&amp;"|"&amp;$A20,Table2[],4,FALSE),"")</f>
        <v/>
      </c>
      <c r="AI20" s="28" t="str">
        <f t="shared" ref="AI20:AI83" si="9">IFERROR(AH20/AE20,"")</f>
        <v/>
      </c>
      <c r="AJ20" s="31">
        <f t="shared" ref="AJ20:AJ83" si="10">IF($K20="ORE",SUM(Q20:W20),0)</f>
        <v>0</v>
      </c>
      <c r="AK20" s="32">
        <f t="shared" si="1"/>
        <v>0</v>
      </c>
      <c r="AL20" s="33">
        <f t="shared" ref="AL20:AL83" si="11">IF($K20="LUMP SUM",SUM(Q20:W20),0)</f>
        <v>700</v>
      </c>
      <c r="AM20" s="31">
        <f t="shared" ref="AM20:AM83" si="12">IF($K20="ORE",SUM(L20:P20),0)</f>
        <v>0</v>
      </c>
      <c r="AN20" s="32">
        <f t="shared" si="2"/>
        <v>0</v>
      </c>
      <c r="AO20" s="33">
        <f t="shared" ref="AO20:AO83" si="13">IF($K20="LUMP SUM",SUM(L20:P20),0)</f>
        <v>280</v>
      </c>
    </row>
    <row r="21" spans="1:41" s="14" customFormat="1" ht="27" customHeight="1" x14ac:dyDescent="0.25">
      <c r="A21" s="102" t="s">
        <v>133</v>
      </c>
      <c r="B21" s="22">
        <f>IFERROR(IF(VLOOKUP(A21,Table3[],MATCH('2023 sintesi '!I21,Table3[#Headers],0),0)=0,IFERROR(VLOOKUP($A21,Table1[],2,FALSE),0),VLOOKUP(A21,Table3[],MATCH('2023 sintesi '!I21,Table3[#Headers],0),0)),0)</f>
        <v>3</v>
      </c>
      <c r="C21" s="23" t="str">
        <f>IFERROR(VLOOKUP($A21,Table1[],3,FALSE),0)</f>
        <v>Esterni "veri"</v>
      </c>
      <c r="D21" s="102" t="s">
        <v>81</v>
      </c>
      <c r="E21" s="102" t="s">
        <v>46</v>
      </c>
      <c r="F21" s="108"/>
      <c r="G21" s="116" t="s">
        <v>86</v>
      </c>
      <c r="H21" s="102" t="s">
        <v>44</v>
      </c>
      <c r="I21" s="120" t="s">
        <v>273</v>
      </c>
      <c r="J21" s="121" t="s">
        <v>45</v>
      </c>
      <c r="K21" s="107" t="s">
        <v>49</v>
      </c>
      <c r="L21" s="24"/>
      <c r="M21" s="34"/>
      <c r="N21" s="34"/>
      <c r="O21" s="34"/>
      <c r="P21" s="34"/>
      <c r="Q21" s="34">
        <v>10000</v>
      </c>
      <c r="R21" s="34"/>
      <c r="S21" s="24"/>
      <c r="T21" s="34"/>
      <c r="U21" s="34">
        <v>10000</v>
      </c>
      <c r="V21" s="34"/>
      <c r="W21" s="24"/>
      <c r="X21" s="25">
        <f t="shared" si="3"/>
        <v>0</v>
      </c>
      <c r="Y21" s="26">
        <f t="shared" si="4"/>
        <v>0</v>
      </c>
      <c r="Z21" s="26"/>
      <c r="AA21" s="27">
        <f t="shared" si="5"/>
        <v>0</v>
      </c>
      <c r="AB21" s="27">
        <f t="shared" si="6"/>
        <v>20000</v>
      </c>
      <c r="AC21" s="28" t="str">
        <f>IFERROR(VLOOKUP($I21&amp;"|"&amp;$A21,Table2[],2,FALSE),"")</f>
        <v/>
      </c>
      <c r="AD21" s="29" t="str">
        <f>IFERROR(VLOOKUP($I21&amp;"|"&amp;$A21,Table2[],3,FALSE),"")</f>
        <v/>
      </c>
      <c r="AE21" s="28">
        <f>COUNTIFS($A$19:$A$226,A21,$I$19:$I$226,I21)</f>
        <v>6</v>
      </c>
      <c r="AF21" s="28" t="str">
        <f t="shared" si="7"/>
        <v/>
      </c>
      <c r="AG21" s="30" t="str">
        <f t="shared" si="8"/>
        <v/>
      </c>
      <c r="AH21" s="28" t="str">
        <f>IFERROR(VLOOKUP($I21&amp;"|"&amp;$A21,Table2[],4,FALSE),"")</f>
        <v/>
      </c>
      <c r="AI21" s="28" t="str">
        <f t="shared" si="9"/>
        <v/>
      </c>
      <c r="AJ21" s="31">
        <f t="shared" si="10"/>
        <v>0</v>
      </c>
      <c r="AK21" s="32">
        <f t="shared" si="1"/>
        <v>0</v>
      </c>
      <c r="AL21" s="33">
        <f t="shared" si="11"/>
        <v>20000</v>
      </c>
      <c r="AM21" s="31">
        <f t="shared" si="12"/>
        <v>0</v>
      </c>
      <c r="AN21" s="32">
        <f t="shared" si="2"/>
        <v>0</v>
      </c>
      <c r="AO21" s="33">
        <f t="shared" si="13"/>
        <v>0</v>
      </c>
    </row>
    <row r="22" spans="1:41" s="14" customFormat="1" ht="27" customHeight="1" x14ac:dyDescent="0.25">
      <c r="A22" s="102" t="s">
        <v>135</v>
      </c>
      <c r="B22" s="22">
        <f>IFERROR(IF(VLOOKUP(A22,Table3[],MATCH('2023 sintesi '!I22,Table3[#Headers],0),0)=0,IFERROR(VLOOKUP($A22,Table1[],2,FALSE),0),VLOOKUP(A22,Table3[],MATCH('2023 sintesi '!I22,Table3[#Headers],0),0)),0)</f>
        <v>4</v>
      </c>
      <c r="C22" s="23" t="str">
        <f>IFERROR(VLOOKUP($A22,Table1[],3,FALSE),0)</f>
        <v>Esterni "veri"</v>
      </c>
      <c r="D22" s="102" t="s">
        <v>82</v>
      </c>
      <c r="E22" s="102" t="s">
        <v>47</v>
      </c>
      <c r="F22" s="104"/>
      <c r="G22" s="116" t="s">
        <v>86</v>
      </c>
      <c r="H22" s="102" t="s">
        <v>50</v>
      </c>
      <c r="I22" s="120" t="s">
        <v>273</v>
      </c>
      <c r="J22" s="121" t="s">
        <v>45</v>
      </c>
      <c r="K22" s="107" t="s">
        <v>42</v>
      </c>
      <c r="L22" s="35"/>
      <c r="M22" s="36"/>
      <c r="N22" s="36"/>
      <c r="O22" s="36"/>
      <c r="P22" s="36"/>
      <c r="Q22" s="36"/>
      <c r="R22" s="36">
        <v>5000</v>
      </c>
      <c r="S22" s="36"/>
      <c r="T22" s="36"/>
      <c r="U22" s="36"/>
      <c r="V22" s="36"/>
      <c r="W22" s="36">
        <v>5000</v>
      </c>
      <c r="X22" s="25">
        <f t="shared" si="3"/>
        <v>68.027210884353735</v>
      </c>
      <c r="Y22" s="26">
        <f t="shared" si="4"/>
        <v>10000</v>
      </c>
      <c r="Z22" s="26"/>
      <c r="AA22" s="27">
        <f t="shared" si="5"/>
        <v>40000</v>
      </c>
      <c r="AB22" s="27">
        <f t="shared" si="6"/>
        <v>0</v>
      </c>
      <c r="AC22" s="28" t="str">
        <f>IFERROR(VLOOKUP($I22&amp;"|"&amp;$A22,Table2[],2,FALSE),"")</f>
        <v/>
      </c>
      <c r="AD22" s="29" t="str">
        <f>IFERROR(VLOOKUP($I22&amp;"|"&amp;$A22,Table2[],3,FALSE),"")</f>
        <v/>
      </c>
      <c r="AE22" s="28">
        <f t="shared" ref="AE22:AE83" si="14">COUNTIFS($A$19:$A$226,A22,$I$19:$I$226,I22)</f>
        <v>2</v>
      </c>
      <c r="AF22" s="28" t="str">
        <f t="shared" si="7"/>
        <v/>
      </c>
      <c r="AG22" s="30" t="str">
        <f t="shared" si="8"/>
        <v/>
      </c>
      <c r="AH22" s="28" t="str">
        <f>IFERROR(VLOOKUP($I22&amp;"|"&amp;$A22,Table2[],4,FALSE),"")</f>
        <v/>
      </c>
      <c r="AI22" s="28" t="str">
        <f t="shared" si="9"/>
        <v/>
      </c>
      <c r="AJ22" s="31">
        <f t="shared" si="10"/>
        <v>10000</v>
      </c>
      <c r="AK22" s="32">
        <f t="shared" si="1"/>
        <v>40000</v>
      </c>
      <c r="AL22" s="33">
        <f t="shared" si="11"/>
        <v>0</v>
      </c>
      <c r="AM22" s="31">
        <f t="shared" si="12"/>
        <v>0</v>
      </c>
      <c r="AN22" s="32">
        <f t="shared" si="2"/>
        <v>0</v>
      </c>
      <c r="AO22" s="33">
        <f t="shared" si="13"/>
        <v>0</v>
      </c>
    </row>
    <row r="23" spans="1:41" s="14" customFormat="1" ht="27" customHeight="1" x14ac:dyDescent="0.25">
      <c r="A23" s="102" t="s">
        <v>139</v>
      </c>
      <c r="B23" s="22">
        <f>IFERROR(IF(VLOOKUP(A23,Table3[],MATCH('2023 sintesi '!I23,Table3[#Headers],0),0)=0,IFERROR(VLOOKUP($A23,Table1[],2,FALSE),0),VLOOKUP(A23,Table3[],MATCH('2023 sintesi '!I23,Table3[#Headers],0),0)),0)</f>
        <v>6.09</v>
      </c>
      <c r="C23" s="23" t="str">
        <f>IFERROR(VLOOKUP($A23,Table1[],3,FALSE),0)</f>
        <v>Esterni "veri"</v>
      </c>
      <c r="D23" s="102" t="s">
        <v>80</v>
      </c>
      <c r="E23" s="102" t="s">
        <v>43</v>
      </c>
      <c r="F23" s="104"/>
      <c r="G23" s="116" t="s">
        <v>86</v>
      </c>
      <c r="H23" s="102" t="s">
        <v>40</v>
      </c>
      <c r="I23" s="120" t="s">
        <v>273</v>
      </c>
      <c r="J23" s="121" t="s">
        <v>45</v>
      </c>
      <c r="K23" s="107" t="s">
        <v>49</v>
      </c>
      <c r="L23" s="35"/>
      <c r="M23" s="36"/>
      <c r="N23" s="36"/>
      <c r="O23" s="36">
        <v>80</v>
      </c>
      <c r="P23" s="36">
        <v>80</v>
      </c>
      <c r="Q23" s="36">
        <v>80</v>
      </c>
      <c r="R23" s="36">
        <v>80</v>
      </c>
      <c r="S23" s="36">
        <v>80</v>
      </c>
      <c r="T23" s="36"/>
      <c r="U23" s="36"/>
      <c r="V23" s="36">
        <v>80</v>
      </c>
      <c r="W23" s="36">
        <v>80</v>
      </c>
      <c r="X23" s="25">
        <f t="shared" si="3"/>
        <v>0</v>
      </c>
      <c r="Y23" s="26">
        <f t="shared" si="4"/>
        <v>0</v>
      </c>
      <c r="Z23" s="26"/>
      <c r="AA23" s="27">
        <f t="shared" si="5"/>
        <v>0</v>
      </c>
      <c r="AB23" s="27">
        <f t="shared" si="6"/>
        <v>560</v>
      </c>
      <c r="AC23" s="28" t="str">
        <f>IFERROR(VLOOKUP($I23&amp;"|"&amp;$A23,Table2[],2,FALSE),"")</f>
        <v/>
      </c>
      <c r="AD23" s="29" t="str">
        <f>IFERROR(VLOOKUP($I23&amp;"|"&amp;$A23,Table2[],3,FALSE),"")</f>
        <v/>
      </c>
      <c r="AE23" s="28">
        <f t="shared" si="14"/>
        <v>6</v>
      </c>
      <c r="AF23" s="28" t="str">
        <f t="shared" si="7"/>
        <v/>
      </c>
      <c r="AG23" s="30" t="str">
        <f t="shared" si="8"/>
        <v/>
      </c>
      <c r="AH23" s="28" t="str">
        <f>IFERROR(VLOOKUP($I23&amp;"|"&amp;$A23,Table2[],4,FALSE),"")</f>
        <v/>
      </c>
      <c r="AI23" s="28" t="str">
        <f t="shared" si="9"/>
        <v/>
      </c>
      <c r="AJ23" s="31">
        <f t="shared" si="10"/>
        <v>0</v>
      </c>
      <c r="AK23" s="32">
        <f t="shared" si="1"/>
        <v>0</v>
      </c>
      <c r="AL23" s="33">
        <f t="shared" si="11"/>
        <v>400</v>
      </c>
      <c r="AM23" s="31">
        <f t="shared" si="12"/>
        <v>0</v>
      </c>
      <c r="AN23" s="32">
        <f t="shared" si="2"/>
        <v>0</v>
      </c>
      <c r="AO23" s="33">
        <f t="shared" si="13"/>
        <v>160</v>
      </c>
    </row>
    <row r="24" spans="1:41" s="14" customFormat="1" ht="27" customHeight="1" x14ac:dyDescent="0.25">
      <c r="A24" s="102" t="s">
        <v>155</v>
      </c>
      <c r="B24" s="22">
        <f>IFERROR(IF(VLOOKUP(A24,Table3[],MATCH('2023 sintesi '!I24,Table3[#Headers],0),0)=0,IFERROR(VLOOKUP($A24,Table1[],2,FALSE),0),VLOOKUP(A24,Table3[],MATCH('2023 sintesi '!I24,Table3[#Headers],0),0)),0)</f>
        <v>14</v>
      </c>
      <c r="C24" s="23" t="str">
        <f>IFERROR(VLOOKUP($A24,Table1[],3,FALSE),0)</f>
        <v>Filiali GD</v>
      </c>
      <c r="D24" s="102" t="s">
        <v>83</v>
      </c>
      <c r="E24" s="102" t="s">
        <v>47</v>
      </c>
      <c r="F24" s="104"/>
      <c r="G24" s="116" t="s">
        <v>86</v>
      </c>
      <c r="H24" s="102" t="s">
        <v>56</v>
      </c>
      <c r="I24" s="120" t="s">
        <v>273</v>
      </c>
      <c r="J24" s="106" t="s">
        <v>41</v>
      </c>
      <c r="K24" s="107" t="s">
        <v>49</v>
      </c>
      <c r="L24" s="37">
        <v>40</v>
      </c>
      <c r="M24" s="38"/>
      <c r="N24" s="38">
        <v>40</v>
      </c>
      <c r="O24" s="38"/>
      <c r="P24" s="38">
        <v>40</v>
      </c>
      <c r="Q24" s="38"/>
      <c r="R24" s="38">
        <v>40</v>
      </c>
      <c r="S24" s="37"/>
      <c r="T24" s="38">
        <v>40</v>
      </c>
      <c r="U24" s="38"/>
      <c r="V24" s="38">
        <v>40</v>
      </c>
      <c r="W24" s="38"/>
      <c r="X24" s="25">
        <f t="shared" si="3"/>
        <v>0</v>
      </c>
      <c r="Y24" s="26">
        <f t="shared" si="4"/>
        <v>0</v>
      </c>
      <c r="Z24" s="26"/>
      <c r="AA24" s="27">
        <f t="shared" si="5"/>
        <v>0</v>
      </c>
      <c r="AB24" s="27">
        <f t="shared" si="6"/>
        <v>240</v>
      </c>
      <c r="AC24" s="28" t="str">
        <f>IFERROR(VLOOKUP($I24&amp;"|"&amp;$A24,Table2[],2,FALSE),"")</f>
        <v/>
      </c>
      <c r="AD24" s="29" t="str">
        <f>IFERROR(VLOOKUP($I24&amp;"|"&amp;$A24,Table2[],3,FALSE),"")</f>
        <v/>
      </c>
      <c r="AE24" s="28">
        <f t="shared" si="14"/>
        <v>3</v>
      </c>
      <c r="AF24" s="28" t="str">
        <f t="shared" si="7"/>
        <v/>
      </c>
      <c r="AG24" s="30" t="str">
        <f t="shared" si="8"/>
        <v/>
      </c>
      <c r="AH24" s="28" t="str">
        <f>IFERROR(VLOOKUP($I24&amp;"|"&amp;$A24,Table2[],4,FALSE),"")</f>
        <v/>
      </c>
      <c r="AI24" s="28" t="str">
        <f t="shared" si="9"/>
        <v/>
      </c>
      <c r="AJ24" s="31">
        <f t="shared" si="10"/>
        <v>0</v>
      </c>
      <c r="AK24" s="32">
        <f t="shared" si="1"/>
        <v>0</v>
      </c>
      <c r="AL24" s="33">
        <f t="shared" si="11"/>
        <v>120</v>
      </c>
      <c r="AM24" s="31">
        <f t="shared" si="12"/>
        <v>0</v>
      </c>
      <c r="AN24" s="32">
        <f t="shared" si="2"/>
        <v>0</v>
      </c>
      <c r="AO24" s="33">
        <f t="shared" si="13"/>
        <v>120</v>
      </c>
    </row>
    <row r="25" spans="1:41" s="14" customFormat="1" ht="27" customHeight="1" x14ac:dyDescent="0.25">
      <c r="A25" s="102" t="s">
        <v>131</v>
      </c>
      <c r="B25" s="22">
        <f>IFERROR(IF(VLOOKUP(A25,Table3[],MATCH('2023 sintesi '!I25,Table3[#Headers],0),0)=0,IFERROR(VLOOKUP($A25,Table1[],2,FALSE),0),VLOOKUP(A25,Table3[],MATCH('2023 sintesi '!I25,Table3[#Headers],0),0)),0)</f>
        <v>2</v>
      </c>
      <c r="C25" s="23" t="str">
        <f>IFERROR(VLOOKUP($A25,Table1[],3,FALSE),0)</f>
        <v>Esterni "veri"</v>
      </c>
      <c r="D25" s="102" t="s">
        <v>83</v>
      </c>
      <c r="E25" s="102" t="s">
        <v>47</v>
      </c>
      <c r="F25" s="108"/>
      <c r="G25" s="116" t="s">
        <v>86</v>
      </c>
      <c r="H25" s="102" t="s">
        <v>57</v>
      </c>
      <c r="I25" s="120" t="s">
        <v>273</v>
      </c>
      <c r="J25" s="106" t="s">
        <v>41</v>
      </c>
      <c r="K25" s="107" t="s">
        <v>49</v>
      </c>
      <c r="L25" s="39"/>
      <c r="M25" s="39">
        <v>100</v>
      </c>
      <c r="N25" s="39">
        <v>100</v>
      </c>
      <c r="O25" s="39">
        <v>100</v>
      </c>
      <c r="P25" s="39">
        <v>100</v>
      </c>
      <c r="Q25" s="39">
        <v>100</v>
      </c>
      <c r="R25" s="39">
        <v>100</v>
      </c>
      <c r="S25" s="39">
        <v>100</v>
      </c>
      <c r="T25" s="39">
        <v>100</v>
      </c>
      <c r="U25" s="39">
        <v>100</v>
      </c>
      <c r="V25" s="39"/>
      <c r="W25" s="39"/>
      <c r="X25" s="25">
        <f t="shared" si="3"/>
        <v>0</v>
      </c>
      <c r="Y25" s="26">
        <f t="shared" si="4"/>
        <v>0</v>
      </c>
      <c r="Z25" s="26"/>
      <c r="AA25" s="27">
        <f t="shared" si="5"/>
        <v>0</v>
      </c>
      <c r="AB25" s="27">
        <f t="shared" si="6"/>
        <v>900</v>
      </c>
      <c r="AC25" s="28" t="str">
        <f>IFERROR(VLOOKUP($I25&amp;"|"&amp;$A25,Table2[],2,FALSE),"")</f>
        <v/>
      </c>
      <c r="AD25" s="29" t="str">
        <f>IFERROR(VLOOKUP($I25&amp;"|"&amp;$A25,Table2[],3,FALSE),"")</f>
        <v/>
      </c>
      <c r="AE25" s="28">
        <f t="shared" si="14"/>
        <v>7</v>
      </c>
      <c r="AF25" s="28" t="str">
        <f t="shared" si="7"/>
        <v/>
      </c>
      <c r="AG25" s="30" t="str">
        <f t="shared" si="8"/>
        <v/>
      </c>
      <c r="AH25" s="28" t="str">
        <f>IFERROR(VLOOKUP($I25&amp;"|"&amp;$A25,Table2[],4,FALSE),"")</f>
        <v/>
      </c>
      <c r="AI25" s="28" t="str">
        <f t="shared" si="9"/>
        <v/>
      </c>
      <c r="AJ25" s="31">
        <f t="shared" si="10"/>
        <v>0</v>
      </c>
      <c r="AK25" s="32">
        <f t="shared" si="1"/>
        <v>0</v>
      </c>
      <c r="AL25" s="33">
        <f t="shared" si="11"/>
        <v>500</v>
      </c>
      <c r="AM25" s="31">
        <f t="shared" si="12"/>
        <v>0</v>
      </c>
      <c r="AN25" s="32">
        <f t="shared" si="2"/>
        <v>0</v>
      </c>
      <c r="AO25" s="33">
        <f t="shared" si="13"/>
        <v>400</v>
      </c>
    </row>
    <row r="26" spans="1:41" s="14" customFormat="1" ht="27" customHeight="1" x14ac:dyDescent="0.25">
      <c r="A26" s="102" t="s">
        <v>133</v>
      </c>
      <c r="B26" s="22">
        <f>IFERROR(IF(VLOOKUP(A26,Table3[],MATCH('2023 sintesi '!I26,Table3[#Headers],0),0)=0,IFERROR(VLOOKUP($A26,Table1[],2,FALSE),0),VLOOKUP(A26,Table3[],MATCH('2023 sintesi '!I26,Table3[#Headers],0),0)),0)</f>
        <v>3</v>
      </c>
      <c r="C26" s="23" t="str">
        <f>IFERROR(VLOOKUP($A26,Table1[],3,FALSE),0)</f>
        <v>Esterni "veri"</v>
      </c>
      <c r="D26" s="102" t="s">
        <v>81</v>
      </c>
      <c r="E26" s="102" t="s">
        <v>46</v>
      </c>
      <c r="F26" s="104"/>
      <c r="G26" s="116" t="s">
        <v>86</v>
      </c>
      <c r="H26" s="102" t="s">
        <v>53</v>
      </c>
      <c r="I26" s="120" t="s">
        <v>273</v>
      </c>
      <c r="J26" s="106" t="s">
        <v>41</v>
      </c>
      <c r="K26" s="107" t="s">
        <v>49</v>
      </c>
      <c r="L26" s="35"/>
      <c r="M26" s="36"/>
      <c r="N26" s="36"/>
      <c r="O26" s="36">
        <v>140</v>
      </c>
      <c r="P26" s="36"/>
      <c r="Q26" s="36"/>
      <c r="R26" s="36"/>
      <c r="S26" s="36">
        <v>140</v>
      </c>
      <c r="T26" s="36"/>
      <c r="U26" s="36"/>
      <c r="V26" s="36"/>
      <c r="W26" s="36">
        <v>140</v>
      </c>
      <c r="X26" s="25">
        <f t="shared" si="3"/>
        <v>0</v>
      </c>
      <c r="Y26" s="26">
        <f t="shared" si="4"/>
        <v>0</v>
      </c>
      <c r="Z26" s="26"/>
      <c r="AA26" s="27">
        <f t="shared" si="5"/>
        <v>0</v>
      </c>
      <c r="AB26" s="27">
        <f t="shared" si="6"/>
        <v>420</v>
      </c>
      <c r="AC26" s="28" t="str">
        <f>IFERROR(VLOOKUP($I26&amp;"|"&amp;$A26,Table2[],2,FALSE),"")</f>
        <v/>
      </c>
      <c r="AD26" s="29" t="str">
        <f>IFERROR(VLOOKUP($I26&amp;"|"&amp;$A26,Table2[],3,FALSE),"")</f>
        <v/>
      </c>
      <c r="AE26" s="28">
        <f t="shared" si="14"/>
        <v>6</v>
      </c>
      <c r="AF26" s="28" t="str">
        <f t="shared" si="7"/>
        <v/>
      </c>
      <c r="AG26" s="30" t="str">
        <f t="shared" si="8"/>
        <v/>
      </c>
      <c r="AH26" s="28" t="str">
        <f>IFERROR(VLOOKUP($I26&amp;"|"&amp;$A26,Table2[],4,FALSE),"")</f>
        <v/>
      </c>
      <c r="AI26" s="28" t="str">
        <f t="shared" si="9"/>
        <v/>
      </c>
      <c r="AJ26" s="31">
        <f t="shared" si="10"/>
        <v>0</v>
      </c>
      <c r="AK26" s="32">
        <f t="shared" si="1"/>
        <v>0</v>
      </c>
      <c r="AL26" s="33">
        <f t="shared" si="11"/>
        <v>280</v>
      </c>
      <c r="AM26" s="31">
        <f t="shared" si="12"/>
        <v>0</v>
      </c>
      <c r="AN26" s="32">
        <f t="shared" si="2"/>
        <v>0</v>
      </c>
      <c r="AO26" s="33">
        <f t="shared" si="13"/>
        <v>140</v>
      </c>
    </row>
    <row r="27" spans="1:41" s="14" customFormat="1" ht="27" customHeight="1" x14ac:dyDescent="0.25">
      <c r="A27" s="102" t="s">
        <v>139</v>
      </c>
      <c r="B27" s="22">
        <f>IFERROR(IF(VLOOKUP(A27,Table3[],MATCH('2023 sintesi '!I27,Table3[#Headers],0),0)=0,IFERROR(VLOOKUP($A27,Table1[],2,FALSE),0),VLOOKUP(A27,Table3[],MATCH('2023 sintesi '!I27,Table3[#Headers],0),0)),0)</f>
        <v>6.09</v>
      </c>
      <c r="C27" s="23" t="str">
        <f>IFERROR(VLOOKUP($A27,Table1[],3,FALSE),0)</f>
        <v>Esterni "veri"</v>
      </c>
      <c r="D27" s="102" t="s">
        <v>82</v>
      </c>
      <c r="E27" s="102" t="s">
        <v>47</v>
      </c>
      <c r="F27" s="108"/>
      <c r="G27" s="116" t="s">
        <v>86</v>
      </c>
      <c r="H27" s="102" t="s">
        <v>53</v>
      </c>
      <c r="I27" s="120" t="s">
        <v>273</v>
      </c>
      <c r="J27" s="106" t="s">
        <v>48</v>
      </c>
      <c r="K27" s="107" t="s">
        <v>49</v>
      </c>
      <c r="L27" s="35">
        <v>112</v>
      </c>
      <c r="M27" s="35">
        <v>112</v>
      </c>
      <c r="N27" s="35">
        <v>112</v>
      </c>
      <c r="O27" s="35">
        <v>112</v>
      </c>
      <c r="P27" s="35">
        <v>112</v>
      </c>
      <c r="Q27" s="35"/>
      <c r="R27" s="35"/>
      <c r="S27" s="35"/>
      <c r="T27" s="35"/>
      <c r="U27" s="35"/>
      <c r="V27" s="35"/>
      <c r="W27" s="35"/>
      <c r="X27" s="25">
        <f t="shared" si="3"/>
        <v>0</v>
      </c>
      <c r="Y27" s="26">
        <f t="shared" si="4"/>
        <v>0</v>
      </c>
      <c r="Z27" s="26"/>
      <c r="AA27" s="27">
        <f t="shared" si="5"/>
        <v>0</v>
      </c>
      <c r="AB27" s="27">
        <f t="shared" si="6"/>
        <v>560</v>
      </c>
      <c r="AC27" s="28" t="str">
        <f>IFERROR(VLOOKUP($I27&amp;"|"&amp;$A27,Table2[],2,FALSE),"")</f>
        <v/>
      </c>
      <c r="AD27" s="29" t="str">
        <f>IFERROR(VLOOKUP($I27&amp;"|"&amp;$A27,Table2[],3,FALSE),"")</f>
        <v/>
      </c>
      <c r="AE27" s="28">
        <f t="shared" si="14"/>
        <v>6</v>
      </c>
      <c r="AF27" s="28" t="str">
        <f t="shared" si="7"/>
        <v/>
      </c>
      <c r="AG27" s="30" t="str">
        <f t="shared" si="8"/>
        <v/>
      </c>
      <c r="AH27" s="28" t="str">
        <f>IFERROR(VLOOKUP($I27&amp;"|"&amp;$A27,Table2[],4,FALSE),"")</f>
        <v/>
      </c>
      <c r="AI27" s="28" t="str">
        <f t="shared" si="9"/>
        <v/>
      </c>
      <c r="AJ27" s="31">
        <f t="shared" si="10"/>
        <v>0</v>
      </c>
      <c r="AK27" s="32">
        <f t="shared" si="1"/>
        <v>0</v>
      </c>
      <c r="AL27" s="33">
        <f t="shared" si="11"/>
        <v>0</v>
      </c>
      <c r="AM27" s="31">
        <f t="shared" si="12"/>
        <v>0</v>
      </c>
      <c r="AN27" s="32">
        <f t="shared" si="2"/>
        <v>0</v>
      </c>
      <c r="AO27" s="33">
        <f t="shared" si="13"/>
        <v>560</v>
      </c>
    </row>
    <row r="28" spans="1:41" s="14" customFormat="1" ht="27" customHeight="1" x14ac:dyDescent="0.25">
      <c r="A28" s="102" t="s">
        <v>141</v>
      </c>
      <c r="B28" s="22">
        <f>IFERROR(IF(VLOOKUP(A28,Table3[],MATCH('2023 sintesi '!I28,Table3[#Headers],0),0)=0,IFERROR(VLOOKUP($A28,Table1[],2,FALSE),0),VLOOKUP(A28,Table3[],MATCH('2023 sintesi '!I28,Table3[#Headers],0),0)),0)</f>
        <v>7</v>
      </c>
      <c r="C28" s="23" t="str">
        <f>IFERROR(VLOOKUP($A28,Table1[],3,FALSE),0)</f>
        <v>Consociate</v>
      </c>
      <c r="D28" s="102" t="s">
        <v>82</v>
      </c>
      <c r="E28" s="102" t="s">
        <v>47</v>
      </c>
      <c r="F28" s="104"/>
      <c r="G28" s="116" t="s">
        <v>86</v>
      </c>
      <c r="H28" s="102" t="s">
        <v>40</v>
      </c>
      <c r="I28" s="120" t="s">
        <v>273</v>
      </c>
      <c r="J28" s="106" t="s">
        <v>48</v>
      </c>
      <c r="K28" s="107" t="s">
        <v>49</v>
      </c>
      <c r="L28" s="39"/>
      <c r="M28" s="40"/>
      <c r="N28" s="40"/>
      <c r="O28" s="40"/>
      <c r="P28" s="40"/>
      <c r="Q28" s="40">
        <v>10000</v>
      </c>
      <c r="R28" s="40"/>
      <c r="S28" s="37"/>
      <c r="T28" s="38"/>
      <c r="U28" s="38">
        <v>10000</v>
      </c>
      <c r="V28" s="38"/>
      <c r="W28" s="38"/>
      <c r="X28" s="25">
        <f t="shared" si="3"/>
        <v>0</v>
      </c>
      <c r="Y28" s="26">
        <f t="shared" si="4"/>
        <v>0</v>
      </c>
      <c r="Z28" s="26"/>
      <c r="AA28" s="27">
        <f t="shared" si="5"/>
        <v>0</v>
      </c>
      <c r="AB28" s="27">
        <f t="shared" si="6"/>
        <v>20000</v>
      </c>
      <c r="AC28" s="28" t="str">
        <f>IFERROR(VLOOKUP($I28&amp;"|"&amp;$A28,Table2[],2,FALSE),"")</f>
        <v/>
      </c>
      <c r="AD28" s="29" t="str">
        <f>IFERROR(VLOOKUP($I28&amp;"|"&amp;$A28,Table2[],3,FALSE),"")</f>
        <v/>
      </c>
      <c r="AE28" s="28">
        <f t="shared" si="14"/>
        <v>4</v>
      </c>
      <c r="AF28" s="28" t="str">
        <f t="shared" si="7"/>
        <v/>
      </c>
      <c r="AG28" s="30" t="str">
        <f t="shared" si="8"/>
        <v/>
      </c>
      <c r="AH28" s="28" t="str">
        <f>IFERROR(VLOOKUP($I28&amp;"|"&amp;$A28,Table2[],4,FALSE),"")</f>
        <v/>
      </c>
      <c r="AI28" s="28" t="str">
        <f t="shared" si="9"/>
        <v/>
      </c>
      <c r="AJ28" s="31">
        <f t="shared" si="10"/>
        <v>0</v>
      </c>
      <c r="AK28" s="32">
        <f t="shared" si="1"/>
        <v>0</v>
      </c>
      <c r="AL28" s="33">
        <f t="shared" si="11"/>
        <v>20000</v>
      </c>
      <c r="AM28" s="31">
        <f t="shared" si="12"/>
        <v>0</v>
      </c>
      <c r="AN28" s="32">
        <f t="shared" si="2"/>
        <v>0</v>
      </c>
      <c r="AO28" s="33">
        <f t="shared" si="13"/>
        <v>0</v>
      </c>
    </row>
    <row r="29" spans="1:41" s="14" customFormat="1" ht="27" customHeight="1" x14ac:dyDescent="0.25">
      <c r="A29" s="102" t="s">
        <v>151</v>
      </c>
      <c r="B29" s="22">
        <f>IFERROR(IF(VLOOKUP(A29,Table3[],MATCH('2023 sintesi '!I29,Table3[#Headers],0),0)=0,IFERROR(VLOOKUP($A29,Table1[],2,FALSE),0),VLOOKUP(A29,Table3[],MATCH('2023 sintesi '!I29,Table3[#Headers],0),0)),0)</f>
        <v>12</v>
      </c>
      <c r="C29" s="23" t="str">
        <f>IFERROR(VLOOKUP($A29,Table1[],3,FALSE),0)</f>
        <v>Esterni "veri"</v>
      </c>
      <c r="D29" s="102" t="s">
        <v>80</v>
      </c>
      <c r="E29" s="102" t="s">
        <v>43</v>
      </c>
      <c r="F29" s="104"/>
      <c r="G29" s="116" t="s">
        <v>86</v>
      </c>
      <c r="H29" s="102" t="s">
        <v>57</v>
      </c>
      <c r="I29" s="120" t="s">
        <v>273</v>
      </c>
      <c r="J29" s="106" t="s">
        <v>45</v>
      </c>
      <c r="K29" s="107" t="s">
        <v>49</v>
      </c>
      <c r="L29" s="24">
        <v>5000</v>
      </c>
      <c r="M29" s="34"/>
      <c r="N29" s="34"/>
      <c r="O29" s="34"/>
      <c r="P29" s="34"/>
      <c r="Q29" s="34"/>
      <c r="R29" s="34"/>
      <c r="S29" s="24"/>
      <c r="T29" s="34"/>
      <c r="U29" s="34"/>
      <c r="V29" s="34"/>
      <c r="W29" s="24"/>
      <c r="X29" s="25">
        <f t="shared" si="3"/>
        <v>0</v>
      </c>
      <c r="Y29" s="26">
        <f t="shared" si="4"/>
        <v>0</v>
      </c>
      <c r="Z29" s="26"/>
      <c r="AA29" s="27">
        <f t="shared" si="5"/>
        <v>0</v>
      </c>
      <c r="AB29" s="27">
        <f t="shared" si="6"/>
        <v>5000</v>
      </c>
      <c r="AC29" s="28" t="str">
        <f>IFERROR(VLOOKUP($I29&amp;"|"&amp;$A29,Table2[],2,FALSE),"")</f>
        <v/>
      </c>
      <c r="AD29" s="29" t="str">
        <f>IFERROR(VLOOKUP($I29&amp;"|"&amp;$A29,Table2[],3,FALSE),"")</f>
        <v/>
      </c>
      <c r="AE29" s="28">
        <f t="shared" si="14"/>
        <v>1</v>
      </c>
      <c r="AF29" s="28" t="str">
        <f t="shared" si="7"/>
        <v/>
      </c>
      <c r="AG29" s="30" t="str">
        <f t="shared" si="8"/>
        <v/>
      </c>
      <c r="AH29" s="28" t="str">
        <f>IFERROR(VLOOKUP($I29&amp;"|"&amp;$A29,Table2[],4,FALSE),"")</f>
        <v/>
      </c>
      <c r="AI29" s="28" t="str">
        <f t="shared" si="9"/>
        <v/>
      </c>
      <c r="AJ29" s="31">
        <f t="shared" si="10"/>
        <v>0</v>
      </c>
      <c r="AK29" s="32">
        <f t="shared" si="1"/>
        <v>0</v>
      </c>
      <c r="AL29" s="33">
        <f t="shared" si="11"/>
        <v>0</v>
      </c>
      <c r="AM29" s="31">
        <f t="shared" si="12"/>
        <v>0</v>
      </c>
      <c r="AN29" s="32">
        <f t="shared" si="2"/>
        <v>0</v>
      </c>
      <c r="AO29" s="33">
        <f t="shared" si="13"/>
        <v>5000</v>
      </c>
    </row>
    <row r="30" spans="1:41" s="14" customFormat="1" ht="27" customHeight="1" x14ac:dyDescent="0.25">
      <c r="A30" s="102" t="s">
        <v>155</v>
      </c>
      <c r="B30" s="22">
        <f>IFERROR(IF(VLOOKUP(A30,Table3[],MATCH('2023 sintesi '!I30,Table3[#Headers],0),0)=0,IFERROR(VLOOKUP($A30,Table1[],2,FALSE),0),VLOOKUP(A30,Table3[],MATCH('2023 sintesi '!I30,Table3[#Headers],0),0)),0)</f>
        <v>14</v>
      </c>
      <c r="C30" s="23" t="str">
        <f>IFERROR(VLOOKUP($A30,Table1[],3,FALSE),0)</f>
        <v>Filiali GD</v>
      </c>
      <c r="D30" s="102" t="s">
        <v>83</v>
      </c>
      <c r="E30" s="102" t="s">
        <v>47</v>
      </c>
      <c r="F30" s="108"/>
      <c r="G30" s="116" t="s">
        <v>86</v>
      </c>
      <c r="H30" s="102" t="s">
        <v>55</v>
      </c>
      <c r="I30" s="120" t="s">
        <v>273</v>
      </c>
      <c r="J30" s="106" t="s">
        <v>41</v>
      </c>
      <c r="K30" s="107" t="s">
        <v>49</v>
      </c>
      <c r="L30" s="24"/>
      <c r="M30" s="34"/>
      <c r="N30" s="34"/>
      <c r="O30" s="34"/>
      <c r="P30" s="34"/>
      <c r="Q30" s="34"/>
      <c r="R30" s="34">
        <v>1000</v>
      </c>
      <c r="S30" s="24"/>
      <c r="T30" s="34"/>
      <c r="U30" s="34"/>
      <c r="V30" s="34">
        <v>1000</v>
      </c>
      <c r="W30" s="24"/>
      <c r="X30" s="25">
        <f t="shared" si="3"/>
        <v>0</v>
      </c>
      <c r="Y30" s="26">
        <f t="shared" si="4"/>
        <v>0</v>
      </c>
      <c r="Z30" s="26"/>
      <c r="AA30" s="27">
        <f t="shared" si="5"/>
        <v>0</v>
      </c>
      <c r="AB30" s="27">
        <f t="shared" si="6"/>
        <v>2000</v>
      </c>
      <c r="AC30" s="28" t="str">
        <f>IFERROR(VLOOKUP($I30&amp;"|"&amp;$A30,Table2[],2,FALSE),"")</f>
        <v/>
      </c>
      <c r="AD30" s="29" t="str">
        <f>IFERROR(VLOOKUP($I30&amp;"|"&amp;$A30,Table2[],3,FALSE),"")</f>
        <v/>
      </c>
      <c r="AE30" s="28">
        <f t="shared" si="14"/>
        <v>3</v>
      </c>
      <c r="AF30" s="28" t="str">
        <f t="shared" si="7"/>
        <v/>
      </c>
      <c r="AG30" s="30" t="str">
        <f t="shared" si="8"/>
        <v/>
      </c>
      <c r="AH30" s="28" t="str">
        <f>IFERROR(VLOOKUP($I30&amp;"|"&amp;$A30,Table2[],4,FALSE),"")</f>
        <v/>
      </c>
      <c r="AI30" s="28" t="str">
        <f t="shared" si="9"/>
        <v/>
      </c>
      <c r="AJ30" s="31">
        <f t="shared" si="10"/>
        <v>0</v>
      </c>
      <c r="AK30" s="32">
        <f t="shared" si="1"/>
        <v>0</v>
      </c>
      <c r="AL30" s="33">
        <f t="shared" si="11"/>
        <v>2000</v>
      </c>
      <c r="AM30" s="31">
        <f t="shared" si="12"/>
        <v>0</v>
      </c>
      <c r="AN30" s="32">
        <f t="shared" si="2"/>
        <v>0</v>
      </c>
      <c r="AO30" s="33">
        <f t="shared" si="13"/>
        <v>0</v>
      </c>
    </row>
    <row r="31" spans="1:41" s="14" customFormat="1" ht="27" customHeight="1" x14ac:dyDescent="0.25">
      <c r="A31" s="102" t="s">
        <v>131</v>
      </c>
      <c r="B31" s="22">
        <f>IFERROR(IF(VLOOKUP(A31,Table3[],MATCH('2023 sintesi '!I31,Table3[#Headers],0),0)=0,IFERROR(VLOOKUP($A31,Table1[],2,FALSE),0),VLOOKUP(A31,Table3[],MATCH('2023 sintesi '!I31,Table3[#Headers],0),0)),0)</f>
        <v>2</v>
      </c>
      <c r="C31" s="23" t="str">
        <f>IFERROR(VLOOKUP($A31,Table1[],3,FALSE),0)</f>
        <v>Esterni "veri"</v>
      </c>
      <c r="D31" s="102" t="s">
        <v>84</v>
      </c>
      <c r="E31" s="102" t="s">
        <v>43</v>
      </c>
      <c r="F31" s="108"/>
      <c r="G31" s="116" t="s">
        <v>86</v>
      </c>
      <c r="H31" s="102" t="s">
        <v>53</v>
      </c>
      <c r="I31" s="120" t="s">
        <v>273</v>
      </c>
      <c r="J31" s="106" t="s">
        <v>41</v>
      </c>
      <c r="K31" s="107" t="s">
        <v>49</v>
      </c>
      <c r="L31" s="39"/>
      <c r="M31" s="40"/>
      <c r="N31" s="40"/>
      <c r="O31" s="40"/>
      <c r="P31" s="34">
        <v>1000</v>
      </c>
      <c r="Q31" s="34"/>
      <c r="R31" s="41"/>
      <c r="S31" s="42"/>
      <c r="T31" s="42"/>
      <c r="U31" s="42"/>
      <c r="V31" s="42"/>
      <c r="W31" s="42"/>
      <c r="X31" s="25">
        <f t="shared" si="3"/>
        <v>0</v>
      </c>
      <c r="Y31" s="26">
        <f t="shared" si="4"/>
        <v>0</v>
      </c>
      <c r="Z31" s="26"/>
      <c r="AA31" s="27">
        <f t="shared" si="5"/>
        <v>0</v>
      </c>
      <c r="AB31" s="27">
        <f t="shared" si="6"/>
        <v>1000</v>
      </c>
      <c r="AC31" s="28" t="str">
        <f>IFERROR(VLOOKUP($I31&amp;"|"&amp;$A31,Table2[],2,FALSE),"")</f>
        <v/>
      </c>
      <c r="AD31" s="29" t="str">
        <f>IFERROR(VLOOKUP($I31&amp;"|"&amp;$A31,Table2[],3,FALSE),"")</f>
        <v/>
      </c>
      <c r="AE31" s="28">
        <f t="shared" si="14"/>
        <v>7</v>
      </c>
      <c r="AF31" s="28" t="str">
        <f t="shared" si="7"/>
        <v/>
      </c>
      <c r="AG31" s="30" t="str">
        <f t="shared" si="8"/>
        <v/>
      </c>
      <c r="AH31" s="28" t="str">
        <f>IFERROR(VLOOKUP($I31&amp;"|"&amp;$A31,Table2[],4,FALSE),"")</f>
        <v/>
      </c>
      <c r="AI31" s="28" t="str">
        <f t="shared" si="9"/>
        <v/>
      </c>
      <c r="AJ31" s="31">
        <f t="shared" si="10"/>
        <v>0</v>
      </c>
      <c r="AK31" s="32">
        <f t="shared" si="1"/>
        <v>0</v>
      </c>
      <c r="AL31" s="33">
        <f t="shared" si="11"/>
        <v>0</v>
      </c>
      <c r="AM31" s="31">
        <f t="shared" si="12"/>
        <v>0</v>
      </c>
      <c r="AN31" s="32">
        <f t="shared" si="2"/>
        <v>0</v>
      </c>
      <c r="AO31" s="33">
        <f t="shared" si="13"/>
        <v>1000</v>
      </c>
    </row>
    <row r="32" spans="1:41" s="14" customFormat="1" ht="27" customHeight="1" x14ac:dyDescent="0.25">
      <c r="A32" s="102" t="s">
        <v>133</v>
      </c>
      <c r="B32" s="22">
        <f>IFERROR(IF(VLOOKUP(A32,Table3[],MATCH('2023 sintesi '!I32,Table3[#Headers],0),0)=0,IFERROR(VLOOKUP($A32,Table1[],2,FALSE),0),VLOOKUP(A32,Table3[],MATCH('2023 sintesi '!I32,Table3[#Headers],0),0)),0)</f>
        <v>3</v>
      </c>
      <c r="C32" s="23" t="str">
        <f>IFERROR(VLOOKUP($A32,Table1[],3,FALSE),0)</f>
        <v>Esterni "veri"</v>
      </c>
      <c r="D32" s="102" t="s">
        <v>85</v>
      </c>
      <c r="E32" s="102" t="s">
        <v>43</v>
      </c>
      <c r="F32" s="104"/>
      <c r="G32" s="116" t="s">
        <v>86</v>
      </c>
      <c r="H32" s="102" t="s">
        <v>54</v>
      </c>
      <c r="I32" s="120" t="s">
        <v>273</v>
      </c>
      <c r="J32" s="106" t="s">
        <v>41</v>
      </c>
      <c r="K32" s="107" t="s">
        <v>49</v>
      </c>
      <c r="L32" s="35"/>
      <c r="M32" s="36"/>
      <c r="N32" s="36">
        <v>80</v>
      </c>
      <c r="O32" s="36"/>
      <c r="P32" s="36"/>
      <c r="Q32" s="36"/>
      <c r="R32" s="36"/>
      <c r="S32" s="36"/>
      <c r="T32" s="36"/>
      <c r="U32" s="36"/>
      <c r="V32" s="36"/>
      <c r="W32" s="36"/>
      <c r="X32" s="25">
        <f t="shared" si="3"/>
        <v>0</v>
      </c>
      <c r="Y32" s="26">
        <f t="shared" si="4"/>
        <v>0</v>
      </c>
      <c r="Z32" s="26"/>
      <c r="AA32" s="27">
        <f t="shared" si="5"/>
        <v>0</v>
      </c>
      <c r="AB32" s="27">
        <f t="shared" si="6"/>
        <v>80</v>
      </c>
      <c r="AC32" s="28" t="str">
        <f>IFERROR(VLOOKUP($I32&amp;"|"&amp;$A32,Table2[],2,FALSE),"")</f>
        <v/>
      </c>
      <c r="AD32" s="29" t="str">
        <f>IFERROR(VLOOKUP($I32&amp;"|"&amp;$A32,Table2[],3,FALSE),"")</f>
        <v/>
      </c>
      <c r="AE32" s="28">
        <f t="shared" si="14"/>
        <v>6</v>
      </c>
      <c r="AF32" s="28" t="str">
        <f t="shared" si="7"/>
        <v/>
      </c>
      <c r="AG32" s="30" t="str">
        <f t="shared" si="8"/>
        <v/>
      </c>
      <c r="AH32" s="28" t="str">
        <f>IFERROR(VLOOKUP($I32&amp;"|"&amp;$A32,Table2[],4,FALSE),"")</f>
        <v/>
      </c>
      <c r="AI32" s="28" t="str">
        <f t="shared" si="9"/>
        <v/>
      </c>
      <c r="AJ32" s="31">
        <f t="shared" si="10"/>
        <v>0</v>
      </c>
      <c r="AK32" s="32">
        <f t="shared" si="1"/>
        <v>0</v>
      </c>
      <c r="AL32" s="33">
        <f t="shared" si="11"/>
        <v>0</v>
      </c>
      <c r="AM32" s="31">
        <f t="shared" si="12"/>
        <v>0</v>
      </c>
      <c r="AN32" s="32">
        <f t="shared" si="2"/>
        <v>0</v>
      </c>
      <c r="AO32" s="33">
        <f t="shared" si="13"/>
        <v>80</v>
      </c>
    </row>
    <row r="33" spans="1:41" s="14" customFormat="1" ht="27" customHeight="1" x14ac:dyDescent="0.25">
      <c r="A33" s="102" t="s">
        <v>139</v>
      </c>
      <c r="B33" s="22">
        <f>IFERROR(IF(VLOOKUP(A33,Table3[],MATCH('2023 sintesi '!I33,Table3[#Headers],0),0)=0,IFERROR(VLOOKUP($A33,Table1[],2,FALSE),0),VLOOKUP(A33,Table3[],MATCH('2023 sintesi '!I33,Table3[#Headers],0),0)),0)</f>
        <v>6.09</v>
      </c>
      <c r="C33" s="23" t="str">
        <f>IFERROR(VLOOKUP($A33,Table1[],3,FALSE),0)</f>
        <v>Esterni "veri"</v>
      </c>
      <c r="D33" s="102" t="s">
        <v>85</v>
      </c>
      <c r="E33" s="102" t="s">
        <v>43</v>
      </c>
      <c r="F33" s="104"/>
      <c r="G33" s="116" t="s">
        <v>86</v>
      </c>
      <c r="H33" s="102" t="s">
        <v>57</v>
      </c>
      <c r="I33" s="120" t="s">
        <v>273</v>
      </c>
      <c r="J33" s="106" t="s">
        <v>41</v>
      </c>
      <c r="K33" s="107" t="s">
        <v>49</v>
      </c>
      <c r="L33" s="35"/>
      <c r="M33" s="36"/>
      <c r="N33" s="36"/>
      <c r="O33" s="36"/>
      <c r="P33" s="36"/>
      <c r="Q33" s="36"/>
      <c r="R33" s="36"/>
      <c r="S33" s="36"/>
      <c r="T33" s="36">
        <v>40</v>
      </c>
      <c r="U33" s="36">
        <v>40</v>
      </c>
      <c r="V33" s="36">
        <v>40</v>
      </c>
      <c r="W33" s="36">
        <v>40</v>
      </c>
      <c r="X33" s="25">
        <f t="shared" si="3"/>
        <v>0</v>
      </c>
      <c r="Y33" s="26">
        <f t="shared" si="4"/>
        <v>0</v>
      </c>
      <c r="Z33" s="26"/>
      <c r="AA33" s="27">
        <f t="shared" si="5"/>
        <v>0</v>
      </c>
      <c r="AB33" s="27">
        <f t="shared" si="6"/>
        <v>160</v>
      </c>
      <c r="AC33" s="28" t="str">
        <f>IFERROR(VLOOKUP($I33&amp;"|"&amp;$A33,Table2[],2,FALSE),"")</f>
        <v/>
      </c>
      <c r="AD33" s="29" t="str">
        <f>IFERROR(VLOOKUP($I33&amp;"|"&amp;$A33,Table2[],3,FALSE),"")</f>
        <v/>
      </c>
      <c r="AE33" s="28">
        <f t="shared" si="14"/>
        <v>6</v>
      </c>
      <c r="AF33" s="28" t="str">
        <f t="shared" si="7"/>
        <v/>
      </c>
      <c r="AG33" s="30" t="str">
        <f t="shared" si="8"/>
        <v/>
      </c>
      <c r="AH33" s="28" t="str">
        <f>IFERROR(VLOOKUP($I33&amp;"|"&amp;$A33,Table2[],4,FALSE),"")</f>
        <v/>
      </c>
      <c r="AI33" s="28" t="str">
        <f t="shared" si="9"/>
        <v/>
      </c>
      <c r="AJ33" s="31">
        <f t="shared" si="10"/>
        <v>0</v>
      </c>
      <c r="AK33" s="32">
        <f t="shared" si="1"/>
        <v>0</v>
      </c>
      <c r="AL33" s="33">
        <f t="shared" si="11"/>
        <v>160</v>
      </c>
      <c r="AM33" s="31">
        <f t="shared" si="12"/>
        <v>0</v>
      </c>
      <c r="AN33" s="32">
        <f t="shared" si="2"/>
        <v>0</v>
      </c>
      <c r="AO33" s="33">
        <f t="shared" si="13"/>
        <v>0</v>
      </c>
    </row>
    <row r="34" spans="1:41" s="14" customFormat="1" ht="27" customHeight="1" x14ac:dyDescent="0.25">
      <c r="A34" s="102" t="s">
        <v>153</v>
      </c>
      <c r="B34" s="22">
        <f>IFERROR(IF(VLOOKUP(A34,Table3[],MATCH('2023 sintesi '!I34,Table3[#Headers],0),0)=0,IFERROR(VLOOKUP($A34,Table1[],2,FALSE),0),VLOOKUP(A34,Table3[],MATCH('2023 sintesi '!I34,Table3[#Headers],0),0)),0)</f>
        <v>13</v>
      </c>
      <c r="C34" s="23" t="str">
        <f>IFERROR(VLOOKUP($A34,Table1[],3,FALSE),0)</f>
        <v>Filiali GD</v>
      </c>
      <c r="D34" s="102" t="s">
        <v>85</v>
      </c>
      <c r="E34" s="102" t="s">
        <v>43</v>
      </c>
      <c r="F34" s="104"/>
      <c r="G34" s="116" t="s">
        <v>86</v>
      </c>
      <c r="H34" s="102" t="s">
        <v>53</v>
      </c>
      <c r="I34" s="120" t="s">
        <v>273</v>
      </c>
      <c r="J34" s="106" t="s">
        <v>41</v>
      </c>
      <c r="K34" s="107" t="s">
        <v>49</v>
      </c>
      <c r="L34" s="35"/>
      <c r="M34" s="36"/>
      <c r="N34" s="36"/>
      <c r="O34" s="36"/>
      <c r="P34" s="36"/>
      <c r="Q34" s="36">
        <v>5000</v>
      </c>
      <c r="R34" s="36"/>
      <c r="S34" s="36"/>
      <c r="T34" s="36"/>
      <c r="U34" s="36"/>
      <c r="V34" s="36"/>
      <c r="W34" s="36"/>
      <c r="X34" s="25">
        <f t="shared" si="3"/>
        <v>0</v>
      </c>
      <c r="Y34" s="26">
        <f t="shared" si="4"/>
        <v>0</v>
      </c>
      <c r="Z34" s="26"/>
      <c r="AA34" s="27">
        <f t="shared" si="5"/>
        <v>0</v>
      </c>
      <c r="AB34" s="27">
        <f t="shared" si="6"/>
        <v>5000</v>
      </c>
      <c r="AC34" s="28" t="str">
        <f>IFERROR(VLOOKUP($I34&amp;"|"&amp;$A34,Table2[],2,FALSE),"")</f>
        <v/>
      </c>
      <c r="AD34" s="29" t="str">
        <f>IFERROR(VLOOKUP($I34&amp;"|"&amp;$A34,Table2[],3,FALSE),"")</f>
        <v/>
      </c>
      <c r="AE34" s="28">
        <f t="shared" si="14"/>
        <v>2</v>
      </c>
      <c r="AF34" s="28" t="str">
        <f t="shared" si="7"/>
        <v/>
      </c>
      <c r="AG34" s="30" t="str">
        <f t="shared" si="8"/>
        <v/>
      </c>
      <c r="AH34" s="28" t="str">
        <f>IFERROR(VLOOKUP($I34&amp;"|"&amp;$A34,Table2[],4,FALSE),"")</f>
        <v/>
      </c>
      <c r="AI34" s="28" t="str">
        <f t="shared" si="9"/>
        <v/>
      </c>
      <c r="AJ34" s="31">
        <f t="shared" si="10"/>
        <v>0</v>
      </c>
      <c r="AK34" s="32">
        <f t="shared" si="1"/>
        <v>0</v>
      </c>
      <c r="AL34" s="33">
        <f t="shared" si="11"/>
        <v>5000</v>
      </c>
      <c r="AM34" s="31">
        <f t="shared" si="12"/>
        <v>0</v>
      </c>
      <c r="AN34" s="32">
        <f t="shared" si="2"/>
        <v>0</v>
      </c>
      <c r="AO34" s="33">
        <f t="shared" si="13"/>
        <v>0</v>
      </c>
    </row>
    <row r="35" spans="1:41" s="14" customFormat="1" ht="27" customHeight="1" x14ac:dyDescent="0.25">
      <c r="A35" s="102" t="s">
        <v>129</v>
      </c>
      <c r="B35" s="22">
        <f>IFERROR(IF(VLOOKUP(A35,Table3[],MATCH('2023 sintesi '!I35,Table3[#Headers],0),0)=0,IFERROR(VLOOKUP($A35,Table1[],2,FALSE),0),VLOOKUP(A35,Table3[],MATCH('2023 sintesi '!I35,Table3[#Headers],0),0)),0)</f>
        <v>1.0900000000000001</v>
      </c>
      <c r="C35" s="23" t="str">
        <f>IFERROR(VLOOKUP($A35,Table1[],3,FALSE),0)</f>
        <v>Esterni "veri"</v>
      </c>
      <c r="D35" s="102" t="s">
        <v>85</v>
      </c>
      <c r="E35" s="102" t="s">
        <v>43</v>
      </c>
      <c r="F35" s="104"/>
      <c r="G35" s="116" t="s">
        <v>86</v>
      </c>
      <c r="H35" s="102" t="s">
        <v>40</v>
      </c>
      <c r="I35" s="120" t="s">
        <v>273</v>
      </c>
      <c r="J35" s="106" t="s">
        <v>41</v>
      </c>
      <c r="K35" s="111" t="s">
        <v>42</v>
      </c>
      <c r="L35" s="35">
        <v>50</v>
      </c>
      <c r="M35" s="35">
        <v>50</v>
      </c>
      <c r="N35" s="35">
        <v>50</v>
      </c>
      <c r="O35" s="35">
        <v>50</v>
      </c>
      <c r="P35" s="35">
        <v>50</v>
      </c>
      <c r="Q35" s="35">
        <v>50</v>
      </c>
      <c r="R35" s="36"/>
      <c r="S35" s="36"/>
      <c r="T35" s="36"/>
      <c r="U35" s="36"/>
      <c r="V35" s="36"/>
      <c r="W35" s="36"/>
      <c r="X35" s="25">
        <f t="shared" si="3"/>
        <v>2.0408163265306123</v>
      </c>
      <c r="Y35" s="26">
        <f t="shared" si="4"/>
        <v>300</v>
      </c>
      <c r="Z35" s="26"/>
      <c r="AA35" s="27">
        <f t="shared" si="5"/>
        <v>327</v>
      </c>
      <c r="AB35" s="27">
        <f t="shared" si="6"/>
        <v>0</v>
      </c>
      <c r="AC35" s="28" t="str">
        <f>IFERROR(VLOOKUP($I35&amp;"|"&amp;$A35,Table2[],2,FALSE),"")</f>
        <v/>
      </c>
      <c r="AD35" s="29" t="str">
        <f>IFERROR(VLOOKUP($I35&amp;"|"&amp;$A35,Table2[],3,FALSE),"")</f>
        <v/>
      </c>
      <c r="AE35" s="28">
        <f t="shared" si="14"/>
        <v>1</v>
      </c>
      <c r="AF35" s="28" t="str">
        <f t="shared" si="7"/>
        <v/>
      </c>
      <c r="AG35" s="30" t="str">
        <f t="shared" si="8"/>
        <v/>
      </c>
      <c r="AH35" s="28" t="str">
        <f>IFERROR(VLOOKUP($I35&amp;"|"&amp;$A35,Table2[],4,FALSE),"")</f>
        <v/>
      </c>
      <c r="AI35" s="28" t="str">
        <f t="shared" si="9"/>
        <v/>
      </c>
      <c r="AJ35" s="31">
        <f t="shared" si="10"/>
        <v>50</v>
      </c>
      <c r="AK35" s="32">
        <f t="shared" si="1"/>
        <v>54.500000000000007</v>
      </c>
      <c r="AL35" s="33">
        <f t="shared" si="11"/>
        <v>0</v>
      </c>
      <c r="AM35" s="31">
        <f t="shared" si="12"/>
        <v>250</v>
      </c>
      <c r="AN35" s="32">
        <f t="shared" si="2"/>
        <v>272.5</v>
      </c>
      <c r="AO35" s="33">
        <f t="shared" si="13"/>
        <v>0</v>
      </c>
    </row>
    <row r="36" spans="1:41" s="14" customFormat="1" ht="27" customHeight="1" x14ac:dyDescent="0.25">
      <c r="A36" s="102" t="s">
        <v>131</v>
      </c>
      <c r="B36" s="22">
        <f>IFERROR(IF(VLOOKUP(A36,Table3[],MATCH('2023 sintesi '!I36,Table3[#Headers],0),0)=0,IFERROR(VLOOKUP($A36,Table1[],2,FALSE),0),VLOOKUP(A36,Table3[],MATCH('2023 sintesi '!I36,Table3[#Headers],0),0)),0)</f>
        <v>2</v>
      </c>
      <c r="C36" s="23" t="str">
        <f>IFERROR(VLOOKUP($A36,Table1[],3,FALSE),0)</f>
        <v>Esterni "veri"</v>
      </c>
      <c r="D36" s="102" t="s">
        <v>85</v>
      </c>
      <c r="E36" s="102" t="s">
        <v>43</v>
      </c>
      <c r="F36" s="104"/>
      <c r="G36" s="116" t="s">
        <v>86</v>
      </c>
      <c r="H36" s="102" t="s">
        <v>57</v>
      </c>
      <c r="I36" s="120" t="s">
        <v>273</v>
      </c>
      <c r="J36" s="106" t="s">
        <v>41</v>
      </c>
      <c r="K36" s="111" t="s">
        <v>42</v>
      </c>
      <c r="L36" s="35"/>
      <c r="M36" s="35"/>
      <c r="N36" s="40"/>
      <c r="O36" s="40"/>
      <c r="P36" s="40"/>
      <c r="Q36" s="35"/>
      <c r="R36" s="35">
        <v>50</v>
      </c>
      <c r="S36" s="35">
        <v>50</v>
      </c>
      <c r="T36" s="35">
        <v>50</v>
      </c>
      <c r="U36" s="35">
        <v>50</v>
      </c>
      <c r="V36" s="35">
        <v>50</v>
      </c>
      <c r="W36" s="35">
        <v>50</v>
      </c>
      <c r="X36" s="25">
        <f t="shared" si="3"/>
        <v>2.0408163265306123</v>
      </c>
      <c r="Y36" s="26">
        <f t="shared" si="4"/>
        <v>300</v>
      </c>
      <c r="Z36" s="26"/>
      <c r="AA36" s="27">
        <f t="shared" si="5"/>
        <v>600</v>
      </c>
      <c r="AB36" s="27">
        <f t="shared" si="6"/>
        <v>0</v>
      </c>
      <c r="AC36" s="28" t="str">
        <f>IFERROR(VLOOKUP($I36&amp;"|"&amp;$A36,Table2[],2,FALSE),"")</f>
        <v/>
      </c>
      <c r="AD36" s="29" t="str">
        <f>IFERROR(VLOOKUP($I36&amp;"|"&amp;$A36,Table2[],3,FALSE),"")</f>
        <v/>
      </c>
      <c r="AE36" s="28">
        <f t="shared" si="14"/>
        <v>7</v>
      </c>
      <c r="AF36" s="28" t="str">
        <f t="shared" si="7"/>
        <v/>
      </c>
      <c r="AG36" s="30" t="str">
        <f t="shared" si="8"/>
        <v/>
      </c>
      <c r="AH36" s="28" t="str">
        <f>IFERROR(VLOOKUP($I36&amp;"|"&amp;$A36,Table2[],4,FALSE),"")</f>
        <v/>
      </c>
      <c r="AI36" s="28" t="str">
        <f t="shared" si="9"/>
        <v/>
      </c>
      <c r="AJ36" s="31">
        <f t="shared" si="10"/>
        <v>300</v>
      </c>
      <c r="AK36" s="32">
        <f t="shared" si="1"/>
        <v>600</v>
      </c>
      <c r="AL36" s="33">
        <f t="shared" si="11"/>
        <v>0</v>
      </c>
      <c r="AM36" s="31">
        <f t="shared" si="12"/>
        <v>0</v>
      </c>
      <c r="AN36" s="32">
        <f t="shared" si="2"/>
        <v>0</v>
      </c>
      <c r="AO36" s="33">
        <f t="shared" si="13"/>
        <v>0</v>
      </c>
    </row>
    <row r="37" spans="1:41" s="14" customFormat="1" ht="27" customHeight="1" x14ac:dyDescent="0.25">
      <c r="A37" s="102" t="s">
        <v>133</v>
      </c>
      <c r="B37" s="22">
        <f>IFERROR(IF(VLOOKUP(A37,Table3[],MATCH('2023 sintesi '!I37,Table3[#Headers],0),0)=0,IFERROR(VLOOKUP($A37,Table1[],2,FALSE),0),VLOOKUP(A37,Table3[],MATCH('2023 sintesi '!I37,Table3[#Headers],0),0)),0)</f>
        <v>3</v>
      </c>
      <c r="C37" s="23" t="str">
        <f>IFERROR(VLOOKUP($A37,Table1[],3,FALSE),0)</f>
        <v>Esterni "veri"</v>
      </c>
      <c r="D37" s="102" t="s">
        <v>85</v>
      </c>
      <c r="E37" s="102" t="s">
        <v>43</v>
      </c>
      <c r="F37" s="104"/>
      <c r="G37" s="116" t="s">
        <v>86</v>
      </c>
      <c r="H37" s="102" t="s">
        <v>55</v>
      </c>
      <c r="I37" s="120" t="s">
        <v>273</v>
      </c>
      <c r="J37" s="106" t="s">
        <v>41</v>
      </c>
      <c r="K37" s="111" t="s">
        <v>42</v>
      </c>
      <c r="L37" s="35">
        <v>120</v>
      </c>
      <c r="M37" s="35">
        <v>120</v>
      </c>
      <c r="N37" s="35">
        <v>120</v>
      </c>
      <c r="O37" s="35">
        <v>120</v>
      </c>
      <c r="P37" s="35">
        <v>120</v>
      </c>
      <c r="Q37" s="35">
        <v>120</v>
      </c>
      <c r="R37" s="35">
        <v>120</v>
      </c>
      <c r="S37" s="35">
        <v>120</v>
      </c>
      <c r="T37" s="35">
        <v>120</v>
      </c>
      <c r="U37" s="35">
        <v>120</v>
      </c>
      <c r="V37" s="35">
        <v>120</v>
      </c>
      <c r="W37" s="35">
        <v>120</v>
      </c>
      <c r="X37" s="25">
        <f t="shared" si="3"/>
        <v>9.795918367346939</v>
      </c>
      <c r="Y37" s="26">
        <f t="shared" si="4"/>
        <v>1440</v>
      </c>
      <c r="Z37" s="26"/>
      <c r="AA37" s="27">
        <f t="shared" si="5"/>
        <v>4320</v>
      </c>
      <c r="AB37" s="27">
        <f t="shared" si="6"/>
        <v>0</v>
      </c>
      <c r="AC37" s="28" t="str">
        <f>IFERROR(VLOOKUP($I37&amp;"|"&amp;$A37,Table2[],2,FALSE),"")</f>
        <v/>
      </c>
      <c r="AD37" s="29" t="str">
        <f>IFERROR(VLOOKUP($I37&amp;"|"&amp;$A37,Table2[],3,FALSE),"")</f>
        <v/>
      </c>
      <c r="AE37" s="28">
        <f t="shared" si="14"/>
        <v>6</v>
      </c>
      <c r="AF37" s="28" t="str">
        <f t="shared" si="7"/>
        <v/>
      </c>
      <c r="AG37" s="30" t="str">
        <f t="shared" si="8"/>
        <v/>
      </c>
      <c r="AH37" s="28" t="str">
        <f>IFERROR(VLOOKUP($I37&amp;"|"&amp;$A37,Table2[],4,FALSE),"")</f>
        <v/>
      </c>
      <c r="AI37" s="28" t="str">
        <f t="shared" si="9"/>
        <v/>
      </c>
      <c r="AJ37" s="31">
        <f t="shared" si="10"/>
        <v>840</v>
      </c>
      <c r="AK37" s="32">
        <f t="shared" si="1"/>
        <v>2520</v>
      </c>
      <c r="AL37" s="33">
        <f t="shared" si="11"/>
        <v>0</v>
      </c>
      <c r="AM37" s="31">
        <f t="shared" si="12"/>
        <v>600</v>
      </c>
      <c r="AN37" s="32">
        <f t="shared" si="2"/>
        <v>1800</v>
      </c>
      <c r="AO37" s="33">
        <f t="shared" si="13"/>
        <v>0</v>
      </c>
    </row>
    <row r="38" spans="1:41" s="14" customFormat="1" ht="27" customHeight="1" x14ac:dyDescent="0.25">
      <c r="A38" s="102" t="s">
        <v>135</v>
      </c>
      <c r="B38" s="22">
        <f>IFERROR(IF(VLOOKUP(A38,Table3[],MATCH('2023 sintesi '!I38,Table3[#Headers],0),0)=0,IFERROR(VLOOKUP($A38,Table1[],2,FALSE),0),VLOOKUP(A38,Table3[],MATCH('2023 sintesi '!I38,Table3[#Headers],0),0)),0)</f>
        <v>4</v>
      </c>
      <c r="C38" s="23" t="str">
        <f>IFERROR(VLOOKUP($A38,Table1[],3,FALSE),0)</f>
        <v>Esterni "veri"</v>
      </c>
      <c r="D38" s="102" t="s">
        <v>85</v>
      </c>
      <c r="E38" s="102" t="s">
        <v>43</v>
      </c>
      <c r="F38" s="104"/>
      <c r="G38" s="116" t="s">
        <v>86</v>
      </c>
      <c r="H38" s="102" t="s">
        <v>53</v>
      </c>
      <c r="I38" s="120" t="s">
        <v>273</v>
      </c>
      <c r="J38" s="106" t="s">
        <v>41</v>
      </c>
      <c r="K38" s="111" t="s">
        <v>42</v>
      </c>
      <c r="L38" s="35">
        <v>150</v>
      </c>
      <c r="M38" s="35">
        <v>150</v>
      </c>
      <c r="N38" s="35">
        <v>150</v>
      </c>
      <c r="O38" s="35">
        <v>150</v>
      </c>
      <c r="P38" s="35">
        <v>150</v>
      </c>
      <c r="Q38" s="35">
        <v>150</v>
      </c>
      <c r="R38" s="36"/>
      <c r="S38" s="36"/>
      <c r="T38" s="36"/>
      <c r="U38" s="36"/>
      <c r="V38" s="36"/>
      <c r="W38" s="36"/>
      <c r="X38" s="25">
        <f t="shared" si="3"/>
        <v>6.1224489795918364</v>
      </c>
      <c r="Y38" s="26">
        <f t="shared" si="4"/>
        <v>900</v>
      </c>
      <c r="Z38" s="26"/>
      <c r="AA38" s="27">
        <f t="shared" si="5"/>
        <v>3600</v>
      </c>
      <c r="AB38" s="27">
        <f t="shared" si="6"/>
        <v>0</v>
      </c>
      <c r="AC38" s="28" t="str">
        <f>IFERROR(VLOOKUP($I38&amp;"|"&amp;$A38,Table2[],2,FALSE),"")</f>
        <v/>
      </c>
      <c r="AD38" s="29" t="str">
        <f>IFERROR(VLOOKUP($I38&amp;"|"&amp;$A38,Table2[],3,FALSE),"")</f>
        <v/>
      </c>
      <c r="AE38" s="28">
        <f t="shared" si="14"/>
        <v>2</v>
      </c>
      <c r="AF38" s="28" t="str">
        <f t="shared" si="7"/>
        <v/>
      </c>
      <c r="AG38" s="30" t="str">
        <f t="shared" si="8"/>
        <v/>
      </c>
      <c r="AH38" s="28" t="str">
        <f>IFERROR(VLOOKUP($I38&amp;"|"&amp;$A38,Table2[],4,FALSE),"")</f>
        <v/>
      </c>
      <c r="AI38" s="28" t="str">
        <f t="shared" si="9"/>
        <v/>
      </c>
      <c r="AJ38" s="31">
        <f t="shared" si="10"/>
        <v>150</v>
      </c>
      <c r="AK38" s="32">
        <f t="shared" si="1"/>
        <v>600</v>
      </c>
      <c r="AL38" s="33">
        <f t="shared" si="11"/>
        <v>0</v>
      </c>
      <c r="AM38" s="31">
        <f t="shared" si="12"/>
        <v>750</v>
      </c>
      <c r="AN38" s="32">
        <f t="shared" si="2"/>
        <v>3000</v>
      </c>
      <c r="AO38" s="33">
        <f t="shared" si="13"/>
        <v>0</v>
      </c>
    </row>
    <row r="39" spans="1:41" s="14" customFormat="1" ht="27" customHeight="1" x14ac:dyDescent="0.25">
      <c r="A39" s="102" t="s">
        <v>139</v>
      </c>
      <c r="B39" s="22">
        <f>IFERROR(IF(VLOOKUP(A39,Table3[],MATCH('2023 sintesi '!I39,Table3[#Headers],0),0)=0,IFERROR(VLOOKUP($A39,Table1[],2,FALSE),0),VLOOKUP(A39,Table3[],MATCH('2023 sintesi '!I39,Table3[#Headers],0),0)),0)</f>
        <v>6.09</v>
      </c>
      <c r="C39" s="23" t="str">
        <f>IFERROR(VLOOKUP($A39,Table1[],3,FALSE),0)</f>
        <v>Esterni "veri"</v>
      </c>
      <c r="D39" s="102" t="s">
        <v>85</v>
      </c>
      <c r="E39" s="102" t="s">
        <v>43</v>
      </c>
      <c r="F39" s="104"/>
      <c r="G39" s="116" t="s">
        <v>86</v>
      </c>
      <c r="H39" s="102" t="s">
        <v>54</v>
      </c>
      <c r="I39" s="120" t="s">
        <v>273</v>
      </c>
      <c r="J39" s="106" t="s">
        <v>41</v>
      </c>
      <c r="K39" s="111" t="s">
        <v>42</v>
      </c>
      <c r="L39" s="35"/>
      <c r="M39" s="36"/>
      <c r="N39" s="36"/>
      <c r="O39" s="36"/>
      <c r="P39" s="36"/>
      <c r="Q39" s="36"/>
      <c r="R39" s="36">
        <v>150</v>
      </c>
      <c r="S39" s="36">
        <v>150</v>
      </c>
      <c r="T39" s="36">
        <v>150</v>
      </c>
      <c r="U39" s="36">
        <v>150</v>
      </c>
      <c r="V39" s="36">
        <v>150</v>
      </c>
      <c r="W39" s="36">
        <v>150</v>
      </c>
      <c r="X39" s="25">
        <f t="shared" si="3"/>
        <v>6.1224489795918364</v>
      </c>
      <c r="Y39" s="26">
        <f t="shared" si="4"/>
        <v>900</v>
      </c>
      <c r="Z39" s="26"/>
      <c r="AA39" s="27">
        <f t="shared" si="5"/>
        <v>5481</v>
      </c>
      <c r="AB39" s="27">
        <f t="shared" si="6"/>
        <v>0</v>
      </c>
      <c r="AC39" s="28" t="str">
        <f>IFERROR(VLOOKUP($I39&amp;"|"&amp;$A39,Table2[],2,FALSE),"")</f>
        <v/>
      </c>
      <c r="AD39" s="29" t="str">
        <f>IFERROR(VLOOKUP($I39&amp;"|"&amp;$A39,Table2[],3,FALSE),"")</f>
        <v/>
      </c>
      <c r="AE39" s="28">
        <f t="shared" si="14"/>
        <v>6</v>
      </c>
      <c r="AF39" s="28" t="str">
        <f t="shared" si="7"/>
        <v/>
      </c>
      <c r="AG39" s="30" t="str">
        <f t="shared" si="8"/>
        <v/>
      </c>
      <c r="AH39" s="28" t="str">
        <f>IFERROR(VLOOKUP($I39&amp;"|"&amp;$A39,Table2[],4,FALSE),"")</f>
        <v/>
      </c>
      <c r="AI39" s="28" t="str">
        <f t="shared" si="9"/>
        <v/>
      </c>
      <c r="AJ39" s="31">
        <f t="shared" si="10"/>
        <v>900</v>
      </c>
      <c r="AK39" s="32">
        <f t="shared" si="1"/>
        <v>5481</v>
      </c>
      <c r="AL39" s="33">
        <f t="shared" si="11"/>
        <v>0</v>
      </c>
      <c r="AM39" s="31">
        <f t="shared" si="12"/>
        <v>0</v>
      </c>
      <c r="AN39" s="32">
        <f t="shared" si="2"/>
        <v>0</v>
      </c>
      <c r="AO39" s="33">
        <f t="shared" si="13"/>
        <v>0</v>
      </c>
    </row>
    <row r="40" spans="1:41" s="14" customFormat="1" ht="27" customHeight="1" x14ac:dyDescent="0.25">
      <c r="A40" s="102" t="s">
        <v>147</v>
      </c>
      <c r="B40" s="22">
        <f>IFERROR(IF(VLOOKUP(A40,Table3[],MATCH('2023 sintesi '!I40,Table3[#Headers],0),0)=0,IFERROR(VLOOKUP($A40,Table1[],2,FALSE),0),VLOOKUP(A40,Table3[],MATCH('2023 sintesi '!I40,Table3[#Headers],0),0)),0)</f>
        <v>10.09</v>
      </c>
      <c r="C40" s="23" t="str">
        <f>IFERROR(VLOOKUP($A40,Table1[],3,FALSE),0)</f>
        <v>Esterni "veri"</v>
      </c>
      <c r="D40" s="102" t="s">
        <v>85</v>
      </c>
      <c r="E40" s="102" t="s">
        <v>43</v>
      </c>
      <c r="F40" s="104"/>
      <c r="G40" s="116" t="s">
        <v>86</v>
      </c>
      <c r="H40" s="102" t="s">
        <v>57</v>
      </c>
      <c r="I40" s="120" t="s">
        <v>273</v>
      </c>
      <c r="J40" s="106" t="s">
        <v>41</v>
      </c>
      <c r="K40" s="111" t="s">
        <v>42</v>
      </c>
      <c r="L40" s="35"/>
      <c r="M40" s="36"/>
      <c r="N40" s="36"/>
      <c r="O40" s="36"/>
      <c r="P40" s="36"/>
      <c r="Q40" s="36"/>
      <c r="R40" s="36">
        <v>25</v>
      </c>
      <c r="S40" s="36">
        <v>25</v>
      </c>
      <c r="T40" s="36">
        <v>25</v>
      </c>
      <c r="U40" s="36">
        <v>25</v>
      </c>
      <c r="V40" s="36">
        <v>25</v>
      </c>
      <c r="W40" s="36">
        <v>25</v>
      </c>
      <c r="X40" s="25">
        <f t="shared" si="3"/>
        <v>1.0204081632653061</v>
      </c>
      <c r="Y40" s="26">
        <f t="shared" si="4"/>
        <v>150</v>
      </c>
      <c r="Z40" s="26"/>
      <c r="AA40" s="27">
        <f t="shared" si="5"/>
        <v>1513.5</v>
      </c>
      <c r="AB40" s="27">
        <f t="shared" si="6"/>
        <v>0</v>
      </c>
      <c r="AC40" s="28" t="str">
        <f>IFERROR(VLOOKUP($I40&amp;"|"&amp;$A40,Table2[],2,FALSE),"")</f>
        <v/>
      </c>
      <c r="AD40" s="29" t="str">
        <f>IFERROR(VLOOKUP($I40&amp;"|"&amp;$A40,Table2[],3,FALSE),"")</f>
        <v/>
      </c>
      <c r="AE40" s="28">
        <f t="shared" si="14"/>
        <v>1</v>
      </c>
      <c r="AF40" s="28" t="str">
        <f t="shared" si="7"/>
        <v/>
      </c>
      <c r="AG40" s="30" t="str">
        <f t="shared" si="8"/>
        <v/>
      </c>
      <c r="AH40" s="28" t="str">
        <f>IFERROR(VLOOKUP($I40&amp;"|"&amp;$A40,Table2[],4,FALSE),"")</f>
        <v/>
      </c>
      <c r="AI40" s="28" t="str">
        <f t="shared" si="9"/>
        <v/>
      </c>
      <c r="AJ40" s="31">
        <f t="shared" si="10"/>
        <v>150</v>
      </c>
      <c r="AK40" s="32">
        <f t="shared" si="1"/>
        <v>1513.5</v>
      </c>
      <c r="AL40" s="33">
        <f t="shared" si="11"/>
        <v>0</v>
      </c>
      <c r="AM40" s="31">
        <f t="shared" si="12"/>
        <v>0</v>
      </c>
      <c r="AN40" s="32">
        <f t="shared" si="2"/>
        <v>0</v>
      </c>
      <c r="AO40" s="33">
        <f t="shared" si="13"/>
        <v>0</v>
      </c>
    </row>
    <row r="41" spans="1:41" s="14" customFormat="1" ht="27" customHeight="1" x14ac:dyDescent="0.25">
      <c r="A41" s="102" t="s">
        <v>131</v>
      </c>
      <c r="B41" s="22">
        <f>IFERROR(IF(VLOOKUP(A41,Table3[],MATCH('2023 sintesi '!I41,Table3[#Headers],0),0)=0,IFERROR(VLOOKUP($A41,Table1[],2,FALSE),0),VLOOKUP(A41,Table3[],MATCH('2023 sintesi '!I41,Table3[#Headers],0),0)),0)</f>
        <v>2</v>
      </c>
      <c r="C41" s="23" t="str">
        <f>IFERROR(VLOOKUP($A41,Table1[],3,FALSE),0)</f>
        <v>Esterni "veri"</v>
      </c>
      <c r="D41" s="102" t="s">
        <v>85</v>
      </c>
      <c r="E41" s="102" t="s">
        <v>43</v>
      </c>
      <c r="F41" s="104"/>
      <c r="G41" s="116" t="s">
        <v>86</v>
      </c>
      <c r="H41" s="102" t="s">
        <v>53</v>
      </c>
      <c r="I41" s="120" t="s">
        <v>273</v>
      </c>
      <c r="J41" s="106" t="s">
        <v>41</v>
      </c>
      <c r="K41" s="111" t="s">
        <v>49</v>
      </c>
      <c r="L41" s="35"/>
      <c r="M41" s="36">
        <v>2500</v>
      </c>
      <c r="N41" s="36"/>
      <c r="O41" s="36"/>
      <c r="P41" s="36"/>
      <c r="Q41" s="36"/>
      <c r="R41" s="36"/>
      <c r="S41" s="36"/>
      <c r="T41" s="36"/>
      <c r="U41" s="36"/>
      <c r="V41" s="36"/>
      <c r="W41" s="36"/>
      <c r="X41" s="25">
        <f t="shared" si="3"/>
        <v>0</v>
      </c>
      <c r="Y41" s="26">
        <f t="shared" si="4"/>
        <v>0</v>
      </c>
      <c r="Z41" s="26"/>
      <c r="AA41" s="27">
        <f t="shared" si="5"/>
        <v>0</v>
      </c>
      <c r="AB41" s="27">
        <f t="shared" si="6"/>
        <v>2500</v>
      </c>
      <c r="AC41" s="28" t="str">
        <f>IFERROR(VLOOKUP($I41&amp;"|"&amp;$A41,Table2[],2,FALSE),"")</f>
        <v/>
      </c>
      <c r="AD41" s="29" t="str">
        <f>IFERROR(VLOOKUP($I41&amp;"|"&amp;$A41,Table2[],3,FALSE),"")</f>
        <v/>
      </c>
      <c r="AE41" s="28">
        <f t="shared" si="14"/>
        <v>7</v>
      </c>
      <c r="AF41" s="28" t="str">
        <f t="shared" si="7"/>
        <v/>
      </c>
      <c r="AG41" s="30" t="str">
        <f t="shared" si="8"/>
        <v/>
      </c>
      <c r="AH41" s="28" t="str">
        <f>IFERROR(VLOOKUP($I41&amp;"|"&amp;$A41,Table2[],4,FALSE),"")</f>
        <v/>
      </c>
      <c r="AI41" s="28" t="str">
        <f t="shared" si="9"/>
        <v/>
      </c>
      <c r="AJ41" s="31">
        <f t="shared" si="10"/>
        <v>0</v>
      </c>
      <c r="AK41" s="32">
        <f t="shared" si="1"/>
        <v>0</v>
      </c>
      <c r="AL41" s="33">
        <f t="shared" si="11"/>
        <v>0</v>
      </c>
      <c r="AM41" s="31">
        <f t="shared" si="12"/>
        <v>0</v>
      </c>
      <c r="AN41" s="32">
        <f t="shared" si="2"/>
        <v>0</v>
      </c>
      <c r="AO41" s="33">
        <f t="shared" si="13"/>
        <v>2500</v>
      </c>
    </row>
    <row r="42" spans="1:41" s="14" customFormat="1" ht="27" customHeight="1" x14ac:dyDescent="0.25">
      <c r="A42" s="102" t="s">
        <v>133</v>
      </c>
      <c r="B42" s="22">
        <f>IFERROR(IF(VLOOKUP(A42,Table3[],MATCH('2023 sintesi '!I42,Table3[#Headers],0),0)=0,IFERROR(VLOOKUP($A42,Table1[],2,FALSE),0),VLOOKUP(A42,Table3[],MATCH('2023 sintesi '!I42,Table3[#Headers],0),0)),0)</f>
        <v>3</v>
      </c>
      <c r="C42" s="23" t="str">
        <f>IFERROR(VLOOKUP($A42,Table1[],3,FALSE),0)</f>
        <v>Esterni "veri"</v>
      </c>
      <c r="D42" s="102" t="s">
        <v>85</v>
      </c>
      <c r="E42" s="102" t="s">
        <v>43</v>
      </c>
      <c r="F42" s="104"/>
      <c r="G42" s="116" t="s">
        <v>86</v>
      </c>
      <c r="H42" s="102" t="s">
        <v>40</v>
      </c>
      <c r="I42" s="120" t="s">
        <v>273</v>
      </c>
      <c r="J42" s="106" t="s">
        <v>41</v>
      </c>
      <c r="K42" s="111" t="s">
        <v>49</v>
      </c>
      <c r="L42" s="35"/>
      <c r="M42" s="36"/>
      <c r="N42" s="36">
        <v>100</v>
      </c>
      <c r="O42" s="36">
        <v>100</v>
      </c>
      <c r="P42" s="36">
        <v>100</v>
      </c>
      <c r="Q42" s="36">
        <v>100</v>
      </c>
      <c r="R42" s="36">
        <v>100</v>
      </c>
      <c r="S42" s="36">
        <v>100</v>
      </c>
      <c r="T42" s="36">
        <v>100</v>
      </c>
      <c r="U42" s="36">
        <v>100</v>
      </c>
      <c r="V42" s="36">
        <v>100</v>
      </c>
      <c r="W42" s="36">
        <v>100</v>
      </c>
      <c r="X42" s="25">
        <f t="shared" si="3"/>
        <v>0</v>
      </c>
      <c r="Y42" s="26">
        <f t="shared" si="4"/>
        <v>0</v>
      </c>
      <c r="Z42" s="26"/>
      <c r="AA42" s="27">
        <f t="shared" si="5"/>
        <v>0</v>
      </c>
      <c r="AB42" s="27">
        <f t="shared" si="6"/>
        <v>1000</v>
      </c>
      <c r="AC42" s="28" t="str">
        <f>IFERROR(VLOOKUP($I42&amp;"|"&amp;$A42,Table2[],2,FALSE),"")</f>
        <v/>
      </c>
      <c r="AD42" s="29" t="str">
        <f>IFERROR(VLOOKUP($I42&amp;"|"&amp;$A42,Table2[],3,FALSE),"")</f>
        <v/>
      </c>
      <c r="AE42" s="28">
        <f t="shared" si="14"/>
        <v>6</v>
      </c>
      <c r="AF42" s="28" t="str">
        <f t="shared" si="7"/>
        <v/>
      </c>
      <c r="AG42" s="30" t="str">
        <f t="shared" si="8"/>
        <v/>
      </c>
      <c r="AH42" s="28" t="str">
        <f>IFERROR(VLOOKUP($I42&amp;"|"&amp;$A42,Table2[],4,FALSE),"")</f>
        <v/>
      </c>
      <c r="AI42" s="28" t="str">
        <f t="shared" si="9"/>
        <v/>
      </c>
      <c r="AJ42" s="31">
        <f t="shared" si="10"/>
        <v>0</v>
      </c>
      <c r="AK42" s="32">
        <f t="shared" si="1"/>
        <v>0</v>
      </c>
      <c r="AL42" s="33">
        <f t="shared" si="11"/>
        <v>700</v>
      </c>
      <c r="AM42" s="31">
        <f t="shared" si="12"/>
        <v>0</v>
      </c>
      <c r="AN42" s="32">
        <f t="shared" si="2"/>
        <v>0</v>
      </c>
      <c r="AO42" s="33">
        <f t="shared" si="13"/>
        <v>300</v>
      </c>
    </row>
    <row r="43" spans="1:41" s="14" customFormat="1" ht="27" customHeight="1" x14ac:dyDescent="0.25">
      <c r="A43" s="102" t="s">
        <v>139</v>
      </c>
      <c r="B43" s="22">
        <f>IFERROR(IF(VLOOKUP(A43,Table3[],MATCH('2023 sintesi '!I43,Table3[#Headers],0),0)=0,IFERROR(VLOOKUP($A43,Table1[],2,FALSE),0),VLOOKUP(A43,Table3[],MATCH('2023 sintesi '!I43,Table3[#Headers],0),0)),0)</f>
        <v>6.09</v>
      </c>
      <c r="C43" s="23" t="str">
        <f>IFERROR(VLOOKUP($A43,Table1[],3,FALSE),0)</f>
        <v>Esterni "veri"</v>
      </c>
      <c r="D43" s="102" t="s">
        <v>85</v>
      </c>
      <c r="E43" s="102" t="s">
        <v>43</v>
      </c>
      <c r="F43" s="104"/>
      <c r="G43" s="116" t="s">
        <v>86</v>
      </c>
      <c r="H43" s="102" t="s">
        <v>57</v>
      </c>
      <c r="I43" s="120" t="s">
        <v>273</v>
      </c>
      <c r="J43" s="106" t="s">
        <v>41</v>
      </c>
      <c r="K43" s="111" t="s">
        <v>49</v>
      </c>
      <c r="L43" s="35"/>
      <c r="M43" s="36"/>
      <c r="N43" s="36">
        <v>2500</v>
      </c>
      <c r="O43" s="36"/>
      <c r="P43" s="36"/>
      <c r="Q43" s="36"/>
      <c r="R43" s="36"/>
      <c r="S43" s="36"/>
      <c r="T43" s="36"/>
      <c r="U43" s="36"/>
      <c r="V43" s="36"/>
      <c r="W43" s="36"/>
      <c r="X43" s="25">
        <f t="shared" si="3"/>
        <v>0</v>
      </c>
      <c r="Y43" s="26">
        <f t="shared" si="4"/>
        <v>0</v>
      </c>
      <c r="Z43" s="26"/>
      <c r="AA43" s="27">
        <f t="shared" si="5"/>
        <v>0</v>
      </c>
      <c r="AB43" s="27">
        <f t="shared" si="6"/>
        <v>2500</v>
      </c>
      <c r="AC43" s="28" t="str">
        <f>IFERROR(VLOOKUP($I43&amp;"|"&amp;$A43,Table2[],2,FALSE),"")</f>
        <v/>
      </c>
      <c r="AD43" s="29" t="str">
        <f>IFERROR(VLOOKUP($I43&amp;"|"&amp;$A43,Table2[],3,FALSE),"")</f>
        <v/>
      </c>
      <c r="AE43" s="28">
        <f t="shared" si="14"/>
        <v>6</v>
      </c>
      <c r="AF43" s="28" t="str">
        <f t="shared" si="7"/>
        <v/>
      </c>
      <c r="AG43" s="30" t="str">
        <f t="shared" si="8"/>
        <v/>
      </c>
      <c r="AH43" s="28" t="str">
        <f>IFERROR(VLOOKUP($I43&amp;"|"&amp;$A43,Table2[],4,FALSE),"")</f>
        <v/>
      </c>
      <c r="AI43" s="28" t="str">
        <f t="shared" si="9"/>
        <v/>
      </c>
      <c r="AJ43" s="31">
        <f t="shared" si="10"/>
        <v>0</v>
      </c>
      <c r="AK43" s="32">
        <f t="shared" si="1"/>
        <v>0</v>
      </c>
      <c r="AL43" s="33">
        <f t="shared" si="11"/>
        <v>0</v>
      </c>
      <c r="AM43" s="31">
        <f t="shared" si="12"/>
        <v>0</v>
      </c>
      <c r="AN43" s="32">
        <f t="shared" si="2"/>
        <v>0</v>
      </c>
      <c r="AO43" s="33">
        <f t="shared" si="13"/>
        <v>2500</v>
      </c>
    </row>
    <row r="44" spans="1:41" s="14" customFormat="1" ht="27" customHeight="1" x14ac:dyDescent="0.25">
      <c r="A44" s="102" t="s">
        <v>141</v>
      </c>
      <c r="B44" s="22">
        <f>IFERROR(IF(VLOOKUP(A44,Table3[],MATCH('2023 sintesi '!I44,Table3[#Headers],0),0)=0,IFERROR(VLOOKUP($A44,Table1[],2,FALSE),0),VLOOKUP(A44,Table3[],MATCH('2023 sintesi '!I44,Table3[#Headers],0),0)),0)</f>
        <v>7</v>
      </c>
      <c r="C44" s="23" t="str">
        <f>IFERROR(VLOOKUP($A44,Table1[],3,FALSE),0)</f>
        <v>Consociate</v>
      </c>
      <c r="D44" s="102" t="s">
        <v>85</v>
      </c>
      <c r="E44" s="102" t="s">
        <v>43</v>
      </c>
      <c r="F44" s="104"/>
      <c r="G44" s="116" t="s">
        <v>86</v>
      </c>
      <c r="H44" s="102" t="s">
        <v>55</v>
      </c>
      <c r="I44" s="120" t="s">
        <v>273</v>
      </c>
      <c r="J44" s="106" t="s">
        <v>41</v>
      </c>
      <c r="K44" s="111" t="s">
        <v>49</v>
      </c>
      <c r="L44" s="24"/>
      <c r="M44" s="34"/>
      <c r="N44" s="34"/>
      <c r="O44" s="34"/>
      <c r="P44" s="34"/>
      <c r="Q44" s="34"/>
      <c r="R44" s="34">
        <v>15000</v>
      </c>
      <c r="S44" s="24"/>
      <c r="T44" s="34"/>
      <c r="U44" s="34"/>
      <c r="V44" s="34"/>
      <c r="W44" s="24"/>
      <c r="X44" s="25">
        <f t="shared" si="3"/>
        <v>0</v>
      </c>
      <c r="Y44" s="26">
        <f t="shared" si="4"/>
        <v>0</v>
      </c>
      <c r="Z44" s="26"/>
      <c r="AA44" s="27">
        <f t="shared" si="5"/>
        <v>0</v>
      </c>
      <c r="AB44" s="27">
        <f t="shared" si="6"/>
        <v>15000</v>
      </c>
      <c r="AC44" s="28" t="str">
        <f>IFERROR(VLOOKUP($I44&amp;"|"&amp;$A44,Table2[],2,FALSE),"")</f>
        <v/>
      </c>
      <c r="AD44" s="29" t="str">
        <f>IFERROR(VLOOKUP($I44&amp;"|"&amp;$A44,Table2[],3,FALSE),"")</f>
        <v/>
      </c>
      <c r="AE44" s="28">
        <f t="shared" si="14"/>
        <v>4</v>
      </c>
      <c r="AF44" s="28" t="str">
        <f t="shared" si="7"/>
        <v/>
      </c>
      <c r="AG44" s="30" t="str">
        <f t="shared" si="8"/>
        <v/>
      </c>
      <c r="AH44" s="28" t="str">
        <f>IFERROR(VLOOKUP($I44&amp;"|"&amp;$A44,Table2[],4,FALSE),"")</f>
        <v/>
      </c>
      <c r="AI44" s="28" t="str">
        <f t="shared" si="9"/>
        <v/>
      </c>
      <c r="AJ44" s="31">
        <f t="shared" si="10"/>
        <v>0</v>
      </c>
      <c r="AK44" s="32">
        <f t="shared" si="1"/>
        <v>0</v>
      </c>
      <c r="AL44" s="33">
        <f t="shared" si="11"/>
        <v>15000</v>
      </c>
      <c r="AM44" s="31">
        <f t="shared" si="12"/>
        <v>0</v>
      </c>
      <c r="AN44" s="32">
        <f t="shared" si="2"/>
        <v>0</v>
      </c>
      <c r="AO44" s="33">
        <f t="shared" si="13"/>
        <v>0</v>
      </c>
    </row>
    <row r="45" spans="1:41" s="14" customFormat="1" ht="27" customHeight="1" x14ac:dyDescent="0.25">
      <c r="A45" s="102" t="s">
        <v>153</v>
      </c>
      <c r="B45" s="22">
        <f>IFERROR(IF(VLOOKUP(A45,Table3[],MATCH('2023 sintesi '!I45,Table3[#Headers],0),0)=0,IFERROR(VLOOKUP($A45,Table1[],2,FALSE),0),VLOOKUP(A45,Table3[],MATCH('2023 sintesi '!I45,Table3[#Headers],0),0)),0)</f>
        <v>13</v>
      </c>
      <c r="C45" s="23" t="str">
        <f>IFERROR(VLOOKUP($A45,Table1[],3,FALSE),0)</f>
        <v>Filiali GD</v>
      </c>
      <c r="D45" s="102" t="s">
        <v>85</v>
      </c>
      <c r="E45" s="102" t="s">
        <v>43</v>
      </c>
      <c r="F45" s="104"/>
      <c r="G45" s="116" t="s">
        <v>86</v>
      </c>
      <c r="H45" s="102" t="s">
        <v>53</v>
      </c>
      <c r="I45" s="120" t="s">
        <v>273</v>
      </c>
      <c r="J45" s="106" t="s">
        <v>41</v>
      </c>
      <c r="K45" s="111" t="s">
        <v>49</v>
      </c>
      <c r="L45" s="35"/>
      <c r="M45" s="35"/>
      <c r="N45" s="35"/>
      <c r="O45" s="35"/>
      <c r="P45" s="35">
        <v>2500</v>
      </c>
      <c r="Q45" s="35"/>
      <c r="R45" s="35"/>
      <c r="S45" s="35"/>
      <c r="T45" s="35"/>
      <c r="U45" s="35"/>
      <c r="V45" s="35"/>
      <c r="W45" s="35"/>
      <c r="X45" s="25">
        <f t="shared" si="3"/>
        <v>0</v>
      </c>
      <c r="Y45" s="26">
        <f t="shared" si="4"/>
        <v>0</v>
      </c>
      <c r="Z45" s="26"/>
      <c r="AA45" s="27">
        <f t="shared" si="5"/>
        <v>0</v>
      </c>
      <c r="AB45" s="27">
        <f t="shared" si="6"/>
        <v>2500</v>
      </c>
      <c r="AC45" s="28" t="str">
        <f>IFERROR(VLOOKUP($I45&amp;"|"&amp;$A45,Table2[],2,FALSE),"")</f>
        <v/>
      </c>
      <c r="AD45" s="29" t="str">
        <f>IFERROR(VLOOKUP($I45&amp;"|"&amp;$A45,Table2[],3,FALSE),"")</f>
        <v/>
      </c>
      <c r="AE45" s="28">
        <f t="shared" si="14"/>
        <v>2</v>
      </c>
      <c r="AF45" s="28" t="str">
        <f t="shared" si="7"/>
        <v/>
      </c>
      <c r="AG45" s="30" t="str">
        <f t="shared" si="8"/>
        <v/>
      </c>
      <c r="AH45" s="28" t="str">
        <f>IFERROR(VLOOKUP($I45&amp;"|"&amp;$A45,Table2[],4,FALSE),"")</f>
        <v/>
      </c>
      <c r="AI45" s="28" t="str">
        <f t="shared" si="9"/>
        <v/>
      </c>
      <c r="AJ45" s="31">
        <f t="shared" si="10"/>
        <v>0</v>
      </c>
      <c r="AK45" s="32">
        <f t="shared" si="1"/>
        <v>0</v>
      </c>
      <c r="AL45" s="33">
        <f t="shared" si="11"/>
        <v>0</v>
      </c>
      <c r="AM45" s="31">
        <f t="shared" si="12"/>
        <v>0</v>
      </c>
      <c r="AN45" s="32">
        <f t="shared" si="2"/>
        <v>0</v>
      </c>
      <c r="AO45" s="33">
        <f t="shared" si="13"/>
        <v>2500</v>
      </c>
    </row>
    <row r="46" spans="1:41" s="14" customFormat="1" ht="27" customHeight="1" x14ac:dyDescent="0.25">
      <c r="A46" s="102" t="s">
        <v>131</v>
      </c>
      <c r="B46" s="22">
        <f>IFERROR(IF(VLOOKUP(A46,Table3[],MATCH('2023 sintesi '!I46,Table3[#Headers],0),0)=0,IFERROR(VLOOKUP($A46,Table1[],2,FALSE),0),VLOOKUP(A46,Table3[],MATCH('2023 sintesi '!I46,Table3[#Headers],0),0)),0)</f>
        <v>2</v>
      </c>
      <c r="C46" s="23" t="str">
        <f>IFERROR(VLOOKUP($A46,Table1[],3,FALSE),0)</f>
        <v>Esterni "veri"</v>
      </c>
      <c r="D46" s="102" t="s">
        <v>85</v>
      </c>
      <c r="E46" s="102" t="s">
        <v>43</v>
      </c>
      <c r="F46" s="104"/>
      <c r="G46" s="116" t="s">
        <v>86</v>
      </c>
      <c r="H46" s="102" t="s">
        <v>54</v>
      </c>
      <c r="I46" s="120" t="s">
        <v>273</v>
      </c>
      <c r="J46" s="106" t="s">
        <v>41</v>
      </c>
      <c r="K46" s="107" t="s">
        <v>49</v>
      </c>
      <c r="L46" s="35"/>
      <c r="M46" s="35"/>
      <c r="N46" s="35"/>
      <c r="O46" s="35"/>
      <c r="P46" s="35"/>
      <c r="Q46" s="35"/>
      <c r="R46" s="35"/>
      <c r="S46" s="35"/>
      <c r="T46" s="35">
        <v>1500</v>
      </c>
      <c r="U46" s="35"/>
      <c r="V46" s="35"/>
      <c r="W46" s="35"/>
      <c r="X46" s="25">
        <f t="shared" si="3"/>
        <v>0</v>
      </c>
      <c r="Y46" s="26">
        <f t="shared" si="4"/>
        <v>0</v>
      </c>
      <c r="Z46" s="26"/>
      <c r="AA46" s="27">
        <f t="shared" si="5"/>
        <v>0</v>
      </c>
      <c r="AB46" s="27">
        <f t="shared" si="6"/>
        <v>1500</v>
      </c>
      <c r="AC46" s="28" t="str">
        <f>IFERROR(VLOOKUP($I46&amp;"|"&amp;$A46,Table2[],2,FALSE),"")</f>
        <v/>
      </c>
      <c r="AD46" s="29" t="str">
        <f>IFERROR(VLOOKUP($I46&amp;"|"&amp;$A46,Table2[],3,FALSE),"")</f>
        <v/>
      </c>
      <c r="AE46" s="28">
        <f t="shared" si="14"/>
        <v>7</v>
      </c>
      <c r="AF46" s="28" t="str">
        <f t="shared" si="7"/>
        <v/>
      </c>
      <c r="AG46" s="30" t="str">
        <f t="shared" si="8"/>
        <v/>
      </c>
      <c r="AH46" s="28" t="str">
        <f>IFERROR(VLOOKUP($I46&amp;"|"&amp;$A46,Table2[],4,FALSE),"")</f>
        <v/>
      </c>
      <c r="AI46" s="28" t="str">
        <f t="shared" si="9"/>
        <v/>
      </c>
      <c r="AJ46" s="31">
        <f t="shared" si="10"/>
        <v>0</v>
      </c>
      <c r="AK46" s="32">
        <f t="shared" si="1"/>
        <v>0</v>
      </c>
      <c r="AL46" s="33">
        <f t="shared" si="11"/>
        <v>1500</v>
      </c>
      <c r="AM46" s="31">
        <f t="shared" si="12"/>
        <v>0</v>
      </c>
      <c r="AN46" s="32">
        <f t="shared" si="2"/>
        <v>0</v>
      </c>
      <c r="AO46" s="33">
        <f t="shared" si="13"/>
        <v>0</v>
      </c>
    </row>
    <row r="47" spans="1:41" s="14" customFormat="1" ht="27" customHeight="1" x14ac:dyDescent="0.25">
      <c r="A47" s="102" t="s">
        <v>133</v>
      </c>
      <c r="B47" s="22">
        <f>IFERROR(IF(VLOOKUP(A47,Table3[],MATCH('2023 sintesi '!I47,Table3[#Headers],0),0)=0,IFERROR(VLOOKUP($A47,Table1[],2,FALSE),0),VLOOKUP(A47,Table3[],MATCH('2023 sintesi '!I47,Table3[#Headers],0),0)),0)</f>
        <v>3</v>
      </c>
      <c r="C47" s="23" t="str">
        <f>IFERROR(VLOOKUP($A47,Table1[],3,FALSE),0)</f>
        <v>Esterni "veri"</v>
      </c>
      <c r="D47" s="102" t="s">
        <v>85</v>
      </c>
      <c r="E47" s="102" t="s">
        <v>43</v>
      </c>
      <c r="F47" s="104"/>
      <c r="G47" s="116" t="s">
        <v>86</v>
      </c>
      <c r="H47" s="102" t="s">
        <v>57</v>
      </c>
      <c r="I47" s="120" t="s">
        <v>273</v>
      </c>
      <c r="J47" s="106" t="s">
        <v>41</v>
      </c>
      <c r="K47" s="107" t="s">
        <v>49</v>
      </c>
      <c r="L47" s="35"/>
      <c r="M47" s="35"/>
      <c r="N47" s="35"/>
      <c r="O47" s="35"/>
      <c r="P47" s="35"/>
      <c r="Q47" s="35"/>
      <c r="R47" s="35"/>
      <c r="S47" s="35">
        <v>1000</v>
      </c>
      <c r="T47" s="35"/>
      <c r="U47" s="35"/>
      <c r="V47" s="35"/>
      <c r="W47" s="35"/>
      <c r="X47" s="25">
        <f t="shared" si="3"/>
        <v>0</v>
      </c>
      <c r="Y47" s="26">
        <f t="shared" si="4"/>
        <v>0</v>
      </c>
      <c r="Z47" s="26"/>
      <c r="AA47" s="27">
        <f t="shared" si="5"/>
        <v>0</v>
      </c>
      <c r="AB47" s="27">
        <f t="shared" si="6"/>
        <v>1000</v>
      </c>
      <c r="AC47" s="28" t="str">
        <f>IFERROR(VLOOKUP($I47&amp;"|"&amp;$A47,Table2[],2,FALSE),"")</f>
        <v/>
      </c>
      <c r="AD47" s="29" t="str">
        <f>IFERROR(VLOOKUP($I47&amp;"|"&amp;$A47,Table2[],3,FALSE),"")</f>
        <v/>
      </c>
      <c r="AE47" s="28">
        <f t="shared" si="14"/>
        <v>6</v>
      </c>
      <c r="AF47" s="28" t="str">
        <f t="shared" si="7"/>
        <v/>
      </c>
      <c r="AG47" s="30" t="str">
        <f t="shared" si="8"/>
        <v/>
      </c>
      <c r="AH47" s="28" t="str">
        <f>IFERROR(VLOOKUP($I47&amp;"|"&amp;$A47,Table2[],4,FALSE),"")</f>
        <v/>
      </c>
      <c r="AI47" s="28" t="str">
        <f t="shared" si="9"/>
        <v/>
      </c>
      <c r="AJ47" s="31">
        <f t="shared" si="10"/>
        <v>0</v>
      </c>
      <c r="AK47" s="32">
        <f t="shared" si="1"/>
        <v>0</v>
      </c>
      <c r="AL47" s="33">
        <f t="shared" si="11"/>
        <v>1000</v>
      </c>
      <c r="AM47" s="31">
        <f t="shared" si="12"/>
        <v>0</v>
      </c>
      <c r="AN47" s="32">
        <f t="shared" si="2"/>
        <v>0</v>
      </c>
      <c r="AO47" s="33">
        <f t="shared" si="13"/>
        <v>0</v>
      </c>
    </row>
    <row r="48" spans="1:41" s="14" customFormat="1" ht="27" customHeight="1" x14ac:dyDescent="0.25">
      <c r="A48" s="102" t="s">
        <v>139</v>
      </c>
      <c r="B48" s="22">
        <f>IFERROR(IF(VLOOKUP(A48,Table3[],MATCH('2023 sintesi '!I48,Table3[#Headers],0),0)=0,IFERROR(VLOOKUP($A48,Table1[],2,FALSE),0),VLOOKUP(A48,Table3[],MATCH('2023 sintesi '!I48,Table3[#Headers],0),0)),0)</f>
        <v>6.09</v>
      </c>
      <c r="C48" s="23" t="str">
        <f>IFERROR(VLOOKUP($A48,Table1[],3,FALSE),0)</f>
        <v>Esterni "veri"</v>
      </c>
      <c r="D48" s="102" t="s">
        <v>85</v>
      </c>
      <c r="E48" s="102" t="s">
        <v>43</v>
      </c>
      <c r="F48" s="104"/>
      <c r="G48" s="116" t="s">
        <v>86</v>
      </c>
      <c r="H48" s="102" t="s">
        <v>55</v>
      </c>
      <c r="I48" s="120" t="s">
        <v>273</v>
      </c>
      <c r="J48" s="106" t="s">
        <v>41</v>
      </c>
      <c r="K48" s="107" t="s">
        <v>49</v>
      </c>
      <c r="L48" s="35"/>
      <c r="M48" s="35"/>
      <c r="N48" s="35"/>
      <c r="O48" s="36"/>
      <c r="P48" s="36">
        <v>25000</v>
      </c>
      <c r="Q48" s="36"/>
      <c r="R48" s="36"/>
      <c r="S48" s="36"/>
      <c r="T48" s="36"/>
      <c r="U48" s="36">
        <v>100</v>
      </c>
      <c r="V48" s="36"/>
      <c r="W48" s="36"/>
      <c r="X48" s="25">
        <f t="shared" si="3"/>
        <v>0</v>
      </c>
      <c r="Y48" s="26">
        <f t="shared" si="4"/>
        <v>0</v>
      </c>
      <c r="Z48" s="26"/>
      <c r="AA48" s="27">
        <f t="shared" si="5"/>
        <v>0</v>
      </c>
      <c r="AB48" s="27">
        <f t="shared" si="6"/>
        <v>25100</v>
      </c>
      <c r="AC48" s="28" t="str">
        <f>IFERROR(VLOOKUP($I48&amp;"|"&amp;$A48,Table2[],2,FALSE),"")</f>
        <v/>
      </c>
      <c r="AD48" s="29" t="str">
        <f>IFERROR(VLOOKUP($I48&amp;"|"&amp;$A48,Table2[],3,FALSE),"")</f>
        <v/>
      </c>
      <c r="AE48" s="28">
        <f t="shared" si="14"/>
        <v>6</v>
      </c>
      <c r="AF48" s="28" t="str">
        <f t="shared" si="7"/>
        <v/>
      </c>
      <c r="AG48" s="30" t="str">
        <f t="shared" si="8"/>
        <v/>
      </c>
      <c r="AH48" s="28" t="str">
        <f>IFERROR(VLOOKUP($I48&amp;"|"&amp;$A48,Table2[],4,FALSE),"")</f>
        <v/>
      </c>
      <c r="AI48" s="28" t="str">
        <f t="shared" si="9"/>
        <v/>
      </c>
      <c r="AJ48" s="31">
        <f t="shared" si="10"/>
        <v>0</v>
      </c>
      <c r="AK48" s="32">
        <f t="shared" si="1"/>
        <v>0</v>
      </c>
      <c r="AL48" s="33">
        <f t="shared" si="11"/>
        <v>100</v>
      </c>
      <c r="AM48" s="31">
        <f t="shared" si="12"/>
        <v>0</v>
      </c>
      <c r="AN48" s="32">
        <f t="shared" si="2"/>
        <v>0</v>
      </c>
      <c r="AO48" s="33">
        <f t="shared" si="13"/>
        <v>25000</v>
      </c>
    </row>
    <row r="49" spans="1:41" s="14" customFormat="1" ht="27" customHeight="1" x14ac:dyDescent="0.25">
      <c r="A49" s="102" t="s">
        <v>141</v>
      </c>
      <c r="B49" s="22">
        <f>IFERROR(IF(VLOOKUP(A49,Table3[],MATCH('2023 sintesi '!I49,Table3[#Headers],0),0)=0,IFERROR(VLOOKUP($A49,Table1[],2,FALSE),0),VLOOKUP(A49,Table3[],MATCH('2023 sintesi '!I49,Table3[#Headers],0),0)),0)</f>
        <v>7</v>
      </c>
      <c r="C49" s="23" t="str">
        <f>IFERROR(VLOOKUP($A49,Table1[],3,FALSE),0)</f>
        <v>Consociate</v>
      </c>
      <c r="D49" s="102" t="s">
        <v>85</v>
      </c>
      <c r="E49" s="102" t="s">
        <v>43</v>
      </c>
      <c r="F49" s="104"/>
      <c r="G49" s="116" t="s">
        <v>86</v>
      </c>
      <c r="H49" s="102" t="s">
        <v>53</v>
      </c>
      <c r="I49" s="120" t="s">
        <v>273</v>
      </c>
      <c r="J49" s="106" t="s">
        <v>41</v>
      </c>
      <c r="K49" s="107" t="s">
        <v>49</v>
      </c>
      <c r="L49" s="35"/>
      <c r="M49" s="36"/>
      <c r="N49" s="36"/>
      <c r="O49" s="36"/>
      <c r="P49" s="36"/>
      <c r="Q49" s="36">
        <v>10000</v>
      </c>
      <c r="R49" s="36"/>
      <c r="S49" s="36"/>
      <c r="T49" s="36"/>
      <c r="U49" s="36"/>
      <c r="V49" s="36"/>
      <c r="W49" s="36"/>
      <c r="X49" s="25">
        <f t="shared" si="3"/>
        <v>0</v>
      </c>
      <c r="Y49" s="26">
        <f t="shared" si="4"/>
        <v>0</v>
      </c>
      <c r="Z49" s="26"/>
      <c r="AA49" s="27">
        <f t="shared" si="5"/>
        <v>0</v>
      </c>
      <c r="AB49" s="27">
        <f t="shared" si="6"/>
        <v>10000</v>
      </c>
      <c r="AC49" s="28" t="str">
        <f>IFERROR(VLOOKUP($I49&amp;"|"&amp;$A49,Table2[],2,FALSE),"")</f>
        <v/>
      </c>
      <c r="AD49" s="29" t="str">
        <f>IFERROR(VLOOKUP($I49&amp;"|"&amp;$A49,Table2[],3,FALSE),"")</f>
        <v/>
      </c>
      <c r="AE49" s="28">
        <f t="shared" si="14"/>
        <v>4</v>
      </c>
      <c r="AF49" s="28" t="str">
        <f t="shared" si="7"/>
        <v/>
      </c>
      <c r="AG49" s="30" t="str">
        <f t="shared" si="8"/>
        <v/>
      </c>
      <c r="AH49" s="28" t="str">
        <f>IFERROR(VLOOKUP($I49&amp;"|"&amp;$A49,Table2[],4,FALSE),"")</f>
        <v/>
      </c>
      <c r="AI49" s="28" t="str">
        <f t="shared" si="9"/>
        <v/>
      </c>
      <c r="AJ49" s="31">
        <f t="shared" si="10"/>
        <v>0</v>
      </c>
      <c r="AK49" s="32">
        <f t="shared" si="1"/>
        <v>0</v>
      </c>
      <c r="AL49" s="33">
        <f t="shared" si="11"/>
        <v>10000</v>
      </c>
      <c r="AM49" s="31">
        <f t="shared" si="12"/>
        <v>0</v>
      </c>
      <c r="AN49" s="32">
        <f t="shared" si="2"/>
        <v>0</v>
      </c>
      <c r="AO49" s="33">
        <f t="shared" si="13"/>
        <v>0</v>
      </c>
    </row>
    <row r="50" spans="1:41" s="14" customFormat="1" ht="27" customHeight="1" x14ac:dyDescent="0.25">
      <c r="A50" s="102" t="s">
        <v>149</v>
      </c>
      <c r="B50" s="22">
        <f>IFERROR(IF(VLOOKUP(A50,Table3[],MATCH('2023 sintesi '!I50,Table3[#Headers],0),0)=0,IFERROR(VLOOKUP($A50,Table1[],2,FALSE),0),VLOOKUP(A50,Table3[],MATCH('2023 sintesi '!I50,Table3[#Headers],0),0)),0)</f>
        <v>11</v>
      </c>
      <c r="C50" s="23" t="str">
        <f>IFERROR(VLOOKUP($A50,Table1[],3,FALSE),0)</f>
        <v>Esterni "veri"</v>
      </c>
      <c r="D50" s="102" t="s">
        <v>85</v>
      </c>
      <c r="E50" s="102" t="s">
        <v>43</v>
      </c>
      <c r="F50" s="104"/>
      <c r="G50" s="116" t="s">
        <v>86</v>
      </c>
      <c r="H50" s="102" t="s">
        <v>54</v>
      </c>
      <c r="I50" s="120" t="s">
        <v>273</v>
      </c>
      <c r="J50" s="106" t="s">
        <v>41</v>
      </c>
      <c r="K50" s="107" t="s">
        <v>49</v>
      </c>
      <c r="L50" s="35"/>
      <c r="M50" s="35"/>
      <c r="N50" s="35"/>
      <c r="O50" s="35"/>
      <c r="P50" s="35"/>
      <c r="Q50" s="35">
        <v>10000</v>
      </c>
      <c r="R50" s="35"/>
      <c r="S50" s="35"/>
      <c r="T50" s="35"/>
      <c r="U50" s="35"/>
      <c r="V50" s="35"/>
      <c r="W50" s="35"/>
      <c r="X50" s="25">
        <f t="shared" si="3"/>
        <v>0</v>
      </c>
      <c r="Y50" s="26">
        <f t="shared" si="4"/>
        <v>0</v>
      </c>
      <c r="Z50" s="26"/>
      <c r="AA50" s="27">
        <f t="shared" si="5"/>
        <v>0</v>
      </c>
      <c r="AB50" s="27">
        <f t="shared" si="6"/>
        <v>10000</v>
      </c>
      <c r="AC50" s="28" t="str">
        <f>IFERROR(VLOOKUP($I50&amp;"|"&amp;$A50,Table2[],2,FALSE),"")</f>
        <v/>
      </c>
      <c r="AD50" s="29" t="str">
        <f>IFERROR(VLOOKUP($I50&amp;"|"&amp;$A50,Table2[],3,FALSE),"")</f>
        <v/>
      </c>
      <c r="AE50" s="28">
        <f t="shared" si="14"/>
        <v>1</v>
      </c>
      <c r="AF50" s="28" t="str">
        <f t="shared" si="7"/>
        <v/>
      </c>
      <c r="AG50" s="30" t="str">
        <f t="shared" si="8"/>
        <v/>
      </c>
      <c r="AH50" s="28" t="str">
        <f>IFERROR(VLOOKUP($I50&amp;"|"&amp;$A50,Table2[],4,FALSE),"")</f>
        <v/>
      </c>
      <c r="AI50" s="28" t="str">
        <f t="shared" si="9"/>
        <v/>
      </c>
      <c r="AJ50" s="31">
        <f t="shared" si="10"/>
        <v>0</v>
      </c>
      <c r="AK50" s="32">
        <f t="shared" si="1"/>
        <v>0</v>
      </c>
      <c r="AL50" s="33">
        <f t="shared" si="11"/>
        <v>10000</v>
      </c>
      <c r="AM50" s="31">
        <f t="shared" si="12"/>
        <v>0</v>
      </c>
      <c r="AN50" s="32">
        <f t="shared" si="2"/>
        <v>0</v>
      </c>
      <c r="AO50" s="33">
        <f t="shared" si="13"/>
        <v>0</v>
      </c>
    </row>
    <row r="51" spans="1:41" s="14" customFormat="1" ht="27" customHeight="1" x14ac:dyDescent="0.25">
      <c r="A51" s="102" t="s">
        <v>155</v>
      </c>
      <c r="B51" s="22">
        <f>IFERROR(IF(VLOOKUP(A51,Table3[],MATCH('2023 sintesi '!I51,Table3[#Headers],0),0)=0,IFERROR(VLOOKUP($A51,Table1[],2,FALSE),0),VLOOKUP(A51,Table3[],MATCH('2023 sintesi '!I51,Table3[#Headers],0),0)),0)</f>
        <v>14</v>
      </c>
      <c r="C51" s="23" t="str">
        <f>IFERROR(VLOOKUP($A51,Table1[],3,FALSE),0)</f>
        <v>Filiali GD</v>
      </c>
      <c r="D51" s="102" t="s">
        <v>85</v>
      </c>
      <c r="E51" s="102" t="s">
        <v>43</v>
      </c>
      <c r="F51" s="104"/>
      <c r="G51" s="116" t="s">
        <v>86</v>
      </c>
      <c r="H51" s="102" t="s">
        <v>57</v>
      </c>
      <c r="I51" s="120" t="s">
        <v>273</v>
      </c>
      <c r="J51" s="106" t="s">
        <v>41</v>
      </c>
      <c r="K51" s="107" t="s">
        <v>49</v>
      </c>
      <c r="L51" s="35"/>
      <c r="M51" s="35"/>
      <c r="N51" s="35"/>
      <c r="O51" s="35"/>
      <c r="P51" s="35"/>
      <c r="Q51" s="35"/>
      <c r="R51" s="35"/>
      <c r="S51" s="36"/>
      <c r="T51" s="35">
        <v>5000</v>
      </c>
      <c r="U51" s="35">
        <v>5000</v>
      </c>
      <c r="V51" s="35">
        <v>5000</v>
      </c>
      <c r="W51" s="35">
        <v>5000</v>
      </c>
      <c r="X51" s="25">
        <f t="shared" si="3"/>
        <v>0</v>
      </c>
      <c r="Y51" s="26">
        <f t="shared" si="4"/>
        <v>0</v>
      </c>
      <c r="Z51" s="26"/>
      <c r="AA51" s="27">
        <f t="shared" si="5"/>
        <v>0</v>
      </c>
      <c r="AB51" s="27">
        <f t="shared" si="6"/>
        <v>20000</v>
      </c>
      <c r="AC51" s="28" t="str">
        <f>IFERROR(VLOOKUP($I51&amp;"|"&amp;$A51,Table2[],2,FALSE),"")</f>
        <v/>
      </c>
      <c r="AD51" s="29" t="str">
        <f>IFERROR(VLOOKUP($I51&amp;"|"&amp;$A51,Table2[],3,FALSE),"")</f>
        <v/>
      </c>
      <c r="AE51" s="28">
        <f t="shared" si="14"/>
        <v>3</v>
      </c>
      <c r="AF51" s="28" t="str">
        <f t="shared" si="7"/>
        <v/>
      </c>
      <c r="AG51" s="30" t="str">
        <f t="shared" si="8"/>
        <v/>
      </c>
      <c r="AH51" s="28" t="str">
        <f>IFERROR(VLOOKUP($I51&amp;"|"&amp;$A51,Table2[],4,FALSE),"")</f>
        <v/>
      </c>
      <c r="AI51" s="28" t="str">
        <f t="shared" si="9"/>
        <v/>
      </c>
      <c r="AJ51" s="31">
        <f t="shared" si="10"/>
        <v>0</v>
      </c>
      <c r="AK51" s="32">
        <f t="shared" si="1"/>
        <v>0</v>
      </c>
      <c r="AL51" s="33">
        <f t="shared" si="11"/>
        <v>20000</v>
      </c>
      <c r="AM51" s="31">
        <f t="shared" si="12"/>
        <v>0</v>
      </c>
      <c r="AN51" s="32">
        <f t="shared" si="2"/>
        <v>0</v>
      </c>
      <c r="AO51" s="33">
        <f t="shared" si="13"/>
        <v>0</v>
      </c>
    </row>
    <row r="52" spans="1:41" s="14" customFormat="1" ht="27" customHeight="1" x14ac:dyDescent="0.25">
      <c r="A52" s="102" t="s">
        <v>131</v>
      </c>
      <c r="B52" s="22">
        <f>IFERROR(IF(VLOOKUP(A52,Table3[],MATCH('2023 sintesi '!I52,Table3[#Headers],0),0)=0,IFERROR(VLOOKUP($A52,Table1[],2,FALSE),0),VLOOKUP(A52,Table3[],MATCH('2023 sintesi '!I52,Table3[#Headers],0),0)),0)</f>
        <v>2</v>
      </c>
      <c r="C52" s="23" t="str">
        <f>IFERROR(VLOOKUP($A52,Table1[],3,FALSE),0)</f>
        <v>Esterni "veri"</v>
      </c>
      <c r="D52" s="102" t="s">
        <v>263</v>
      </c>
      <c r="E52" s="102" t="s">
        <v>43</v>
      </c>
      <c r="F52" s="104"/>
      <c r="G52" s="116" t="s">
        <v>86</v>
      </c>
      <c r="H52" s="102" t="s">
        <v>57</v>
      </c>
      <c r="I52" s="120" t="s">
        <v>273</v>
      </c>
      <c r="J52" s="106" t="s">
        <v>41</v>
      </c>
      <c r="K52" s="107" t="s">
        <v>49</v>
      </c>
      <c r="L52" s="36"/>
      <c r="M52" s="36"/>
      <c r="N52" s="36"/>
      <c r="O52" s="36"/>
      <c r="P52" s="36"/>
      <c r="Q52" s="36"/>
      <c r="R52" s="36"/>
      <c r="S52" s="36"/>
      <c r="T52" s="36"/>
      <c r="U52" s="36"/>
      <c r="V52" s="36"/>
      <c r="W52" s="36"/>
      <c r="X52" s="25">
        <f t="shared" si="3"/>
        <v>0</v>
      </c>
      <c r="Y52" s="26">
        <f t="shared" si="4"/>
        <v>0</v>
      </c>
      <c r="Z52" s="26"/>
      <c r="AA52" s="27">
        <f t="shared" si="5"/>
        <v>0</v>
      </c>
      <c r="AB52" s="27">
        <f t="shared" si="6"/>
        <v>0</v>
      </c>
      <c r="AC52" s="28" t="str">
        <f>IFERROR(VLOOKUP($I52&amp;"|"&amp;$A52,Table2[],2,FALSE),"")</f>
        <v/>
      </c>
      <c r="AD52" s="29" t="str">
        <f>IFERROR(VLOOKUP($I52&amp;"|"&amp;$A52,Table2[],3,FALSE),"")</f>
        <v/>
      </c>
      <c r="AE52" s="28">
        <f t="shared" si="14"/>
        <v>7</v>
      </c>
      <c r="AF52" s="28" t="str">
        <f t="shared" si="7"/>
        <v/>
      </c>
      <c r="AG52" s="30" t="str">
        <f t="shared" si="8"/>
        <v/>
      </c>
      <c r="AH52" s="28" t="str">
        <f>IFERROR(VLOOKUP($I52&amp;"|"&amp;$A52,Table2[],4,FALSE),"")</f>
        <v/>
      </c>
      <c r="AI52" s="28" t="str">
        <f t="shared" si="9"/>
        <v/>
      </c>
      <c r="AJ52" s="31">
        <f t="shared" si="10"/>
        <v>0</v>
      </c>
      <c r="AK52" s="32">
        <f t="shared" si="1"/>
        <v>0</v>
      </c>
      <c r="AL52" s="33">
        <f t="shared" si="11"/>
        <v>0</v>
      </c>
      <c r="AM52" s="31">
        <f t="shared" si="12"/>
        <v>0</v>
      </c>
      <c r="AN52" s="32">
        <f t="shared" si="2"/>
        <v>0</v>
      </c>
      <c r="AO52" s="33">
        <f t="shared" si="13"/>
        <v>0</v>
      </c>
    </row>
    <row r="53" spans="1:41" s="14" customFormat="1" ht="27" customHeight="1" x14ac:dyDescent="0.25">
      <c r="A53" s="102"/>
      <c r="B53" s="22">
        <f>IFERROR(IF(VLOOKUP(A53,Table3[],MATCH('2023 sintesi '!I53,Table3[#Headers],0),0)=0,IFERROR(VLOOKUP($A53,Table1[],2,FALSE),0),VLOOKUP(A53,Table3[],MATCH('2023 sintesi '!I53,Table3[#Headers],0),0)),0)</f>
        <v>0</v>
      </c>
      <c r="C53" s="23">
        <f>IFERROR(VLOOKUP($A53,Table1[],3,FALSE),0)</f>
        <v>0</v>
      </c>
      <c r="D53" s="102"/>
      <c r="E53" s="102"/>
      <c r="F53" s="104"/>
      <c r="G53" s="102"/>
      <c r="H53" s="102"/>
      <c r="I53" s="105"/>
      <c r="J53" s="106"/>
      <c r="K53" s="107"/>
      <c r="L53" s="35"/>
      <c r="M53" s="36"/>
      <c r="N53" s="36"/>
      <c r="O53" s="36"/>
      <c r="P53" s="36"/>
      <c r="Q53" s="36"/>
      <c r="R53" s="36"/>
      <c r="S53" s="36"/>
      <c r="T53" s="36"/>
      <c r="U53" s="36"/>
      <c r="V53" s="36"/>
      <c r="W53" s="36"/>
      <c r="X53" s="25">
        <f t="shared" si="3"/>
        <v>0</v>
      </c>
      <c r="Y53" s="26">
        <f t="shared" si="4"/>
        <v>0</v>
      </c>
      <c r="Z53" s="26"/>
      <c r="AA53" s="27">
        <f t="shared" si="5"/>
        <v>0</v>
      </c>
      <c r="AB53" s="27">
        <f t="shared" si="6"/>
        <v>0</v>
      </c>
      <c r="AC53" s="28" t="str">
        <f>IFERROR(VLOOKUP($I53&amp;"|"&amp;$A53,Table2[],2,FALSE),"")</f>
        <v/>
      </c>
      <c r="AD53" s="29" t="str">
        <f>IFERROR(VLOOKUP($I53&amp;"|"&amp;$A53,Table2[],3,FALSE),"")</f>
        <v/>
      </c>
      <c r="AE53" s="28">
        <f t="shared" si="14"/>
        <v>0</v>
      </c>
      <c r="AF53" s="28" t="str">
        <f t="shared" si="7"/>
        <v/>
      </c>
      <c r="AG53" s="30" t="str">
        <f t="shared" si="8"/>
        <v/>
      </c>
      <c r="AH53" s="28" t="str">
        <f>IFERROR(VLOOKUP($I53&amp;"|"&amp;$A53,Table2[],4,FALSE),"")</f>
        <v/>
      </c>
      <c r="AI53" s="28" t="str">
        <f t="shared" si="9"/>
        <v/>
      </c>
      <c r="AJ53" s="31">
        <f t="shared" si="10"/>
        <v>0</v>
      </c>
      <c r="AK53" s="32">
        <f t="shared" si="1"/>
        <v>0</v>
      </c>
      <c r="AL53" s="33">
        <f t="shared" si="11"/>
        <v>0</v>
      </c>
      <c r="AM53" s="31">
        <f t="shared" si="12"/>
        <v>0</v>
      </c>
      <c r="AN53" s="32">
        <f t="shared" si="2"/>
        <v>0</v>
      </c>
      <c r="AO53" s="33">
        <f t="shared" si="13"/>
        <v>0</v>
      </c>
    </row>
    <row r="54" spans="1:41" s="14" customFormat="1" ht="27" customHeight="1" x14ac:dyDescent="0.25">
      <c r="A54" s="102"/>
      <c r="B54" s="22">
        <f>IFERROR(IF(VLOOKUP(A54,Table3[],MATCH('2023 sintesi '!I54,Table3[#Headers],0),0)=0,IFERROR(VLOOKUP($A54,Table1[],2,FALSE),0),VLOOKUP(A54,Table3[],MATCH('2023 sintesi '!I54,Table3[#Headers],0),0)),0)</f>
        <v>0</v>
      </c>
      <c r="C54" s="23">
        <f>IFERROR(VLOOKUP($A54,Table1[],3,FALSE),0)</f>
        <v>0</v>
      </c>
      <c r="D54" s="102"/>
      <c r="E54" s="102"/>
      <c r="F54" s="104"/>
      <c r="G54" s="102"/>
      <c r="H54" s="102"/>
      <c r="I54" s="105"/>
      <c r="J54" s="106"/>
      <c r="K54" s="107"/>
      <c r="L54" s="35"/>
      <c r="M54" s="36"/>
      <c r="N54" s="36"/>
      <c r="O54" s="36"/>
      <c r="P54" s="36"/>
      <c r="Q54" s="36"/>
      <c r="R54" s="36"/>
      <c r="S54" s="36"/>
      <c r="T54" s="36"/>
      <c r="U54" s="36"/>
      <c r="V54" s="36"/>
      <c r="W54" s="36"/>
      <c r="X54" s="25">
        <f t="shared" si="3"/>
        <v>0</v>
      </c>
      <c r="Y54" s="26">
        <f t="shared" si="4"/>
        <v>0</v>
      </c>
      <c r="Z54" s="26"/>
      <c r="AA54" s="27">
        <f t="shared" si="5"/>
        <v>0</v>
      </c>
      <c r="AB54" s="27">
        <f t="shared" si="6"/>
        <v>0</v>
      </c>
      <c r="AC54" s="28" t="str">
        <f>IFERROR(VLOOKUP($I54&amp;"|"&amp;$A54,Table2[],2,FALSE),"")</f>
        <v/>
      </c>
      <c r="AD54" s="29" t="str">
        <f>IFERROR(VLOOKUP($I54&amp;"|"&amp;$A54,Table2[],3,FALSE),"")</f>
        <v/>
      </c>
      <c r="AE54" s="28">
        <f t="shared" si="14"/>
        <v>0</v>
      </c>
      <c r="AF54" s="28" t="str">
        <f t="shared" si="7"/>
        <v/>
      </c>
      <c r="AG54" s="30" t="str">
        <f t="shared" si="8"/>
        <v/>
      </c>
      <c r="AH54" s="28" t="str">
        <f>IFERROR(VLOOKUP($I54&amp;"|"&amp;$A54,Table2[],4,FALSE),"")</f>
        <v/>
      </c>
      <c r="AI54" s="28" t="str">
        <f t="shared" si="9"/>
        <v/>
      </c>
      <c r="AJ54" s="31">
        <f t="shared" si="10"/>
        <v>0</v>
      </c>
      <c r="AK54" s="32">
        <f t="shared" si="1"/>
        <v>0</v>
      </c>
      <c r="AL54" s="33">
        <f t="shared" si="11"/>
        <v>0</v>
      </c>
      <c r="AM54" s="31">
        <f t="shared" si="12"/>
        <v>0</v>
      </c>
      <c r="AN54" s="32">
        <f t="shared" si="2"/>
        <v>0</v>
      </c>
      <c r="AO54" s="33">
        <f t="shared" si="13"/>
        <v>0</v>
      </c>
    </row>
    <row r="55" spans="1:41" s="14" customFormat="1" ht="27" customHeight="1" x14ac:dyDescent="0.25">
      <c r="A55" s="102"/>
      <c r="B55" s="22">
        <f>IFERROR(IF(VLOOKUP(A55,Table3[],MATCH('2023 sintesi '!I55,Table3[#Headers],0),0)=0,IFERROR(VLOOKUP($A55,Table1[],2,FALSE),0),VLOOKUP(A55,Table3[],MATCH('2023 sintesi '!I55,Table3[#Headers],0),0)),0)</f>
        <v>0</v>
      </c>
      <c r="C55" s="23">
        <f>IFERROR(VLOOKUP($A55,Table1[],3,FALSE),0)</f>
        <v>0</v>
      </c>
      <c r="D55" s="102"/>
      <c r="E55" s="102"/>
      <c r="F55" s="104"/>
      <c r="G55" s="102"/>
      <c r="H55" s="102"/>
      <c r="I55" s="105"/>
      <c r="J55" s="106"/>
      <c r="K55" s="107"/>
      <c r="L55" s="36"/>
      <c r="M55" s="36"/>
      <c r="N55" s="36"/>
      <c r="O55" s="36"/>
      <c r="P55" s="36"/>
      <c r="Q55" s="36"/>
      <c r="R55" s="36"/>
      <c r="S55" s="36"/>
      <c r="T55" s="36"/>
      <c r="U55" s="36"/>
      <c r="V55" s="36"/>
      <c r="W55" s="36"/>
      <c r="X55" s="25">
        <f t="shared" si="3"/>
        <v>0</v>
      </c>
      <c r="Y55" s="26">
        <f t="shared" si="4"/>
        <v>0</v>
      </c>
      <c r="Z55" s="26"/>
      <c r="AA55" s="27">
        <f t="shared" si="5"/>
        <v>0</v>
      </c>
      <c r="AB55" s="27">
        <f t="shared" si="6"/>
        <v>0</v>
      </c>
      <c r="AC55" s="28" t="str">
        <f>IFERROR(VLOOKUP($I55&amp;"|"&amp;$A55,Table2[],2,FALSE),"")</f>
        <v/>
      </c>
      <c r="AD55" s="29" t="str">
        <f>IFERROR(VLOOKUP($I55&amp;"|"&amp;$A55,Table2[],3,FALSE),"")</f>
        <v/>
      </c>
      <c r="AE55" s="28">
        <f t="shared" si="14"/>
        <v>0</v>
      </c>
      <c r="AF55" s="28" t="str">
        <f t="shared" si="7"/>
        <v/>
      </c>
      <c r="AG55" s="30" t="str">
        <f t="shared" si="8"/>
        <v/>
      </c>
      <c r="AH55" s="28" t="str">
        <f>IFERROR(VLOOKUP($I55&amp;"|"&amp;$A55,Table2[],4,FALSE),"")</f>
        <v/>
      </c>
      <c r="AI55" s="28" t="str">
        <f t="shared" si="9"/>
        <v/>
      </c>
      <c r="AJ55" s="31">
        <f t="shared" si="10"/>
        <v>0</v>
      </c>
      <c r="AK55" s="32">
        <f t="shared" si="1"/>
        <v>0</v>
      </c>
      <c r="AL55" s="33">
        <f t="shared" si="11"/>
        <v>0</v>
      </c>
      <c r="AM55" s="31">
        <f t="shared" si="12"/>
        <v>0</v>
      </c>
      <c r="AN55" s="32">
        <f t="shared" si="2"/>
        <v>0</v>
      </c>
      <c r="AO55" s="33">
        <f t="shared" si="13"/>
        <v>0</v>
      </c>
    </row>
    <row r="56" spans="1:41" s="14" customFormat="1" ht="27" customHeight="1" x14ac:dyDescent="0.25">
      <c r="A56" s="102"/>
      <c r="B56" s="22">
        <f>IFERROR(IF(VLOOKUP(A56,Table3[],MATCH('2023 sintesi '!I56,Table3[#Headers],0),0)=0,IFERROR(VLOOKUP($A56,Table1[],2,FALSE),0),VLOOKUP(A56,Table3[],MATCH('2023 sintesi '!I56,Table3[#Headers],0),0)),0)</f>
        <v>0</v>
      </c>
      <c r="C56" s="23">
        <f>IFERROR(VLOOKUP($A56,Table1[],3,FALSE),0)</f>
        <v>0</v>
      </c>
      <c r="D56" s="102"/>
      <c r="E56" s="102"/>
      <c r="F56" s="104"/>
      <c r="G56" s="102"/>
      <c r="H56" s="102"/>
      <c r="I56" s="105"/>
      <c r="J56" s="106"/>
      <c r="K56" s="107"/>
      <c r="L56" s="35"/>
      <c r="M56" s="35"/>
      <c r="N56" s="35"/>
      <c r="O56" s="35"/>
      <c r="P56" s="36"/>
      <c r="Q56" s="36"/>
      <c r="R56" s="36"/>
      <c r="S56" s="36"/>
      <c r="T56" s="36"/>
      <c r="U56" s="36"/>
      <c r="V56" s="36"/>
      <c r="W56" s="36"/>
      <c r="X56" s="25">
        <f t="shared" si="3"/>
        <v>0</v>
      </c>
      <c r="Y56" s="26">
        <f t="shared" si="4"/>
        <v>0</v>
      </c>
      <c r="Z56" s="26"/>
      <c r="AA56" s="27">
        <f t="shared" si="5"/>
        <v>0</v>
      </c>
      <c r="AB56" s="27">
        <f t="shared" si="6"/>
        <v>0</v>
      </c>
      <c r="AC56" s="28" t="str">
        <f>IFERROR(VLOOKUP($I56&amp;"|"&amp;$A56,Table2[],2,FALSE),"")</f>
        <v/>
      </c>
      <c r="AD56" s="29" t="str">
        <f>IFERROR(VLOOKUP($I56&amp;"|"&amp;$A56,Table2[],3,FALSE),"")</f>
        <v/>
      </c>
      <c r="AE56" s="28">
        <f t="shared" si="14"/>
        <v>0</v>
      </c>
      <c r="AF56" s="28" t="str">
        <f t="shared" si="7"/>
        <v/>
      </c>
      <c r="AG56" s="30" t="str">
        <f t="shared" si="8"/>
        <v/>
      </c>
      <c r="AH56" s="28" t="str">
        <f>IFERROR(VLOOKUP($I56&amp;"|"&amp;$A56,Table2[],4,FALSE),"")</f>
        <v/>
      </c>
      <c r="AI56" s="28" t="str">
        <f t="shared" si="9"/>
        <v/>
      </c>
      <c r="AJ56" s="31">
        <f t="shared" si="10"/>
        <v>0</v>
      </c>
      <c r="AK56" s="32">
        <f t="shared" si="1"/>
        <v>0</v>
      </c>
      <c r="AL56" s="33">
        <f t="shared" si="11"/>
        <v>0</v>
      </c>
      <c r="AM56" s="31">
        <f t="shared" si="12"/>
        <v>0</v>
      </c>
      <c r="AN56" s="32">
        <f t="shared" si="2"/>
        <v>0</v>
      </c>
      <c r="AO56" s="33">
        <f t="shared" si="13"/>
        <v>0</v>
      </c>
    </row>
    <row r="57" spans="1:41" s="14" customFormat="1" ht="27" customHeight="1" x14ac:dyDescent="0.25">
      <c r="A57" s="102"/>
      <c r="B57" s="22">
        <f>IFERROR(IF(VLOOKUP(A57,Table3[],MATCH('2023 sintesi '!I57,Table3[#Headers],0),0)=0,IFERROR(VLOOKUP($A57,Table1[],2,FALSE),0),VLOOKUP(A57,Table3[],MATCH('2023 sintesi '!I57,Table3[#Headers],0),0)),0)</f>
        <v>0</v>
      </c>
      <c r="C57" s="23">
        <f>IFERROR(VLOOKUP($A57,Table1[],3,FALSE),0)</f>
        <v>0</v>
      </c>
      <c r="D57" s="102"/>
      <c r="E57" s="102"/>
      <c r="F57" s="104"/>
      <c r="G57" s="102"/>
      <c r="H57" s="102"/>
      <c r="I57" s="105"/>
      <c r="J57" s="106"/>
      <c r="K57" s="107"/>
      <c r="L57" s="35"/>
      <c r="M57" s="35"/>
      <c r="N57" s="35"/>
      <c r="O57" s="35"/>
      <c r="P57" s="35"/>
      <c r="Q57" s="35"/>
      <c r="R57" s="35"/>
      <c r="S57" s="35"/>
      <c r="T57" s="35"/>
      <c r="U57" s="35"/>
      <c r="V57" s="35"/>
      <c r="W57" s="35"/>
      <c r="X57" s="25">
        <f t="shared" si="3"/>
        <v>0</v>
      </c>
      <c r="Y57" s="26">
        <f t="shared" si="4"/>
        <v>0</v>
      </c>
      <c r="Z57" s="26"/>
      <c r="AA57" s="27">
        <f t="shared" si="5"/>
        <v>0</v>
      </c>
      <c r="AB57" s="27">
        <f t="shared" si="6"/>
        <v>0</v>
      </c>
      <c r="AC57" s="28" t="str">
        <f>IFERROR(VLOOKUP($I57&amp;"|"&amp;$A57,Table2[],2,FALSE),"")</f>
        <v/>
      </c>
      <c r="AD57" s="29" t="str">
        <f>IFERROR(VLOOKUP($I57&amp;"|"&amp;$A57,Table2[],3,FALSE),"")</f>
        <v/>
      </c>
      <c r="AE57" s="28">
        <f t="shared" si="14"/>
        <v>0</v>
      </c>
      <c r="AF57" s="28" t="str">
        <f t="shared" si="7"/>
        <v/>
      </c>
      <c r="AG57" s="30" t="str">
        <f t="shared" si="8"/>
        <v/>
      </c>
      <c r="AH57" s="28" t="str">
        <f>IFERROR(VLOOKUP($I57&amp;"|"&amp;$A57,Table2[],4,FALSE),"")</f>
        <v/>
      </c>
      <c r="AI57" s="28" t="str">
        <f t="shared" si="9"/>
        <v/>
      </c>
      <c r="AJ57" s="31">
        <f t="shared" si="10"/>
        <v>0</v>
      </c>
      <c r="AK57" s="32">
        <f t="shared" si="1"/>
        <v>0</v>
      </c>
      <c r="AL57" s="33">
        <f t="shared" si="11"/>
        <v>0</v>
      </c>
      <c r="AM57" s="31">
        <f t="shared" si="12"/>
        <v>0</v>
      </c>
      <c r="AN57" s="32">
        <f t="shared" si="2"/>
        <v>0</v>
      </c>
      <c r="AO57" s="33">
        <f t="shared" si="13"/>
        <v>0</v>
      </c>
    </row>
    <row r="58" spans="1:41" s="14" customFormat="1" ht="27" customHeight="1" x14ac:dyDescent="0.25">
      <c r="A58" s="102"/>
      <c r="B58" s="22">
        <f>IFERROR(IF(VLOOKUP(A58,Table3[],MATCH('2023 sintesi '!I58,Table3[#Headers],0),0)=0,IFERROR(VLOOKUP($A58,Table1[],2,FALSE),0),VLOOKUP(A58,Table3[],MATCH('2023 sintesi '!I58,Table3[#Headers],0),0)),0)</f>
        <v>0</v>
      </c>
      <c r="C58" s="23">
        <f>IFERROR(VLOOKUP($A58,Table1[],3,FALSE),0)</f>
        <v>0</v>
      </c>
      <c r="D58" s="102"/>
      <c r="E58" s="102"/>
      <c r="F58" s="104"/>
      <c r="G58" s="102"/>
      <c r="H58" s="102"/>
      <c r="I58" s="105"/>
      <c r="J58" s="106"/>
      <c r="K58" s="107"/>
      <c r="L58" s="35"/>
      <c r="M58" s="35"/>
      <c r="N58" s="35"/>
      <c r="O58" s="35"/>
      <c r="P58" s="35"/>
      <c r="Q58" s="35"/>
      <c r="R58" s="35"/>
      <c r="S58" s="35"/>
      <c r="T58" s="35"/>
      <c r="U58" s="35"/>
      <c r="V58" s="35"/>
      <c r="W58" s="35"/>
      <c r="X58" s="25">
        <f t="shared" si="3"/>
        <v>0</v>
      </c>
      <c r="Y58" s="26">
        <f t="shared" si="4"/>
        <v>0</v>
      </c>
      <c r="Z58" s="26"/>
      <c r="AA58" s="27">
        <f t="shared" si="5"/>
        <v>0</v>
      </c>
      <c r="AB58" s="27">
        <f t="shared" si="6"/>
        <v>0</v>
      </c>
      <c r="AC58" s="28" t="str">
        <f>IFERROR(VLOOKUP($I58&amp;"|"&amp;$A58,Table2[],2,FALSE),"")</f>
        <v/>
      </c>
      <c r="AD58" s="29" t="str">
        <f>IFERROR(VLOOKUP($I58&amp;"|"&amp;$A58,Table2[],3,FALSE),"")</f>
        <v/>
      </c>
      <c r="AE58" s="28">
        <f t="shared" si="14"/>
        <v>0</v>
      </c>
      <c r="AF58" s="28" t="str">
        <f t="shared" si="7"/>
        <v/>
      </c>
      <c r="AG58" s="30" t="str">
        <f t="shared" si="8"/>
        <v/>
      </c>
      <c r="AH58" s="28" t="str">
        <f>IFERROR(VLOOKUP($I58&amp;"|"&amp;$A58,Table2[],4,FALSE),"")</f>
        <v/>
      </c>
      <c r="AI58" s="28" t="str">
        <f t="shared" si="9"/>
        <v/>
      </c>
      <c r="AJ58" s="31">
        <f t="shared" si="10"/>
        <v>0</v>
      </c>
      <c r="AK58" s="32">
        <f t="shared" si="1"/>
        <v>0</v>
      </c>
      <c r="AL58" s="33">
        <f t="shared" si="11"/>
        <v>0</v>
      </c>
      <c r="AM58" s="31">
        <f t="shared" si="12"/>
        <v>0</v>
      </c>
      <c r="AN58" s="32">
        <f t="shared" si="2"/>
        <v>0</v>
      </c>
      <c r="AO58" s="33">
        <f t="shared" si="13"/>
        <v>0</v>
      </c>
    </row>
    <row r="59" spans="1:41" s="14" customFormat="1" ht="27" customHeight="1" x14ac:dyDescent="0.25">
      <c r="A59" s="102"/>
      <c r="B59" s="22">
        <f>IFERROR(IF(VLOOKUP(A59,Table3[],MATCH('2023 sintesi '!I59,Table3[#Headers],0),0)=0,IFERROR(VLOOKUP($A59,Table1[],2,FALSE),0),VLOOKUP(A59,Table3[],MATCH('2023 sintesi '!I59,Table3[#Headers],0),0)),0)</f>
        <v>0</v>
      </c>
      <c r="C59" s="23">
        <f>IFERROR(VLOOKUP($A59,Table1[],3,FALSE),0)</f>
        <v>0</v>
      </c>
      <c r="D59" s="102"/>
      <c r="E59" s="102"/>
      <c r="F59" s="104"/>
      <c r="G59" s="102"/>
      <c r="H59" s="102"/>
      <c r="I59" s="105"/>
      <c r="J59" s="106"/>
      <c r="K59" s="107"/>
      <c r="L59" s="35"/>
      <c r="M59" s="35"/>
      <c r="N59" s="35"/>
      <c r="O59" s="35"/>
      <c r="P59" s="35"/>
      <c r="Q59" s="35"/>
      <c r="R59" s="35"/>
      <c r="S59" s="35"/>
      <c r="T59" s="35"/>
      <c r="U59" s="35"/>
      <c r="V59" s="35"/>
      <c r="W59" s="35"/>
      <c r="X59" s="25">
        <f t="shared" si="3"/>
        <v>0</v>
      </c>
      <c r="Y59" s="26">
        <f t="shared" si="4"/>
        <v>0</v>
      </c>
      <c r="Z59" s="26"/>
      <c r="AA59" s="27">
        <f t="shared" si="5"/>
        <v>0</v>
      </c>
      <c r="AB59" s="27">
        <f t="shared" si="6"/>
        <v>0</v>
      </c>
      <c r="AC59" s="28" t="str">
        <f>IFERROR(VLOOKUP($I59&amp;"|"&amp;$A59,Table2[],2,FALSE),"")</f>
        <v/>
      </c>
      <c r="AD59" s="29" t="str">
        <f>IFERROR(VLOOKUP($I59&amp;"|"&amp;$A59,Table2[],3,FALSE),"")</f>
        <v/>
      </c>
      <c r="AE59" s="28">
        <f t="shared" si="14"/>
        <v>0</v>
      </c>
      <c r="AF59" s="28" t="str">
        <f t="shared" si="7"/>
        <v/>
      </c>
      <c r="AG59" s="30" t="str">
        <f t="shared" si="8"/>
        <v/>
      </c>
      <c r="AH59" s="28" t="str">
        <f>IFERROR(VLOOKUP($I59&amp;"|"&amp;$A59,Table2[],4,FALSE),"")</f>
        <v/>
      </c>
      <c r="AI59" s="28" t="str">
        <f t="shared" si="9"/>
        <v/>
      </c>
      <c r="AJ59" s="31">
        <f t="shared" si="10"/>
        <v>0</v>
      </c>
      <c r="AK59" s="32">
        <f t="shared" si="1"/>
        <v>0</v>
      </c>
      <c r="AL59" s="33">
        <f t="shared" si="11"/>
        <v>0</v>
      </c>
      <c r="AM59" s="31">
        <f t="shared" si="12"/>
        <v>0</v>
      </c>
      <c r="AN59" s="32">
        <f t="shared" si="2"/>
        <v>0</v>
      </c>
      <c r="AO59" s="33">
        <f t="shared" si="13"/>
        <v>0</v>
      </c>
    </row>
    <row r="60" spans="1:41" s="14" customFormat="1" ht="27" customHeight="1" x14ac:dyDescent="0.25">
      <c r="A60" s="102"/>
      <c r="B60" s="22">
        <f>IFERROR(IF(VLOOKUP(A60,Table3[],MATCH('2023 sintesi '!I60,Table3[#Headers],0),0)=0,IFERROR(VLOOKUP($A60,Table1[],2,FALSE),0),VLOOKUP(A60,Table3[],MATCH('2023 sintesi '!I60,Table3[#Headers],0),0)),0)</f>
        <v>0</v>
      </c>
      <c r="C60" s="23">
        <f>IFERROR(VLOOKUP($A60,Table1[],3,FALSE),0)</f>
        <v>0</v>
      </c>
      <c r="D60" s="102"/>
      <c r="E60" s="102"/>
      <c r="F60" s="104"/>
      <c r="G60" s="102"/>
      <c r="H60" s="102"/>
      <c r="I60" s="105"/>
      <c r="J60" s="106"/>
      <c r="K60" s="107"/>
      <c r="L60" s="36"/>
      <c r="M60" s="36"/>
      <c r="N60" s="36"/>
      <c r="O60" s="36"/>
      <c r="P60" s="36"/>
      <c r="Q60" s="36"/>
      <c r="R60" s="36"/>
      <c r="S60" s="36"/>
      <c r="T60" s="36"/>
      <c r="U60" s="36"/>
      <c r="V60" s="36"/>
      <c r="W60" s="36"/>
      <c r="X60" s="25">
        <f t="shared" si="3"/>
        <v>0</v>
      </c>
      <c r="Y60" s="26">
        <f t="shared" si="4"/>
        <v>0</v>
      </c>
      <c r="Z60" s="26"/>
      <c r="AA60" s="27">
        <f t="shared" si="5"/>
        <v>0</v>
      </c>
      <c r="AB60" s="27">
        <f t="shared" si="6"/>
        <v>0</v>
      </c>
      <c r="AC60" s="28" t="str">
        <f>IFERROR(VLOOKUP($I60&amp;"|"&amp;$A60,Table2[],2,FALSE),"")</f>
        <v/>
      </c>
      <c r="AD60" s="29" t="str">
        <f>IFERROR(VLOOKUP($I60&amp;"|"&amp;$A60,Table2[],3,FALSE),"")</f>
        <v/>
      </c>
      <c r="AE60" s="28">
        <f t="shared" si="14"/>
        <v>0</v>
      </c>
      <c r="AF60" s="28" t="str">
        <f t="shared" si="7"/>
        <v/>
      </c>
      <c r="AG60" s="30" t="str">
        <f t="shared" si="8"/>
        <v/>
      </c>
      <c r="AH60" s="28" t="str">
        <f>IFERROR(VLOOKUP($I60&amp;"|"&amp;$A60,Table2[],4,FALSE),"")</f>
        <v/>
      </c>
      <c r="AI60" s="28" t="str">
        <f t="shared" si="9"/>
        <v/>
      </c>
      <c r="AJ60" s="31">
        <f t="shared" si="10"/>
        <v>0</v>
      </c>
      <c r="AK60" s="32">
        <f t="shared" si="1"/>
        <v>0</v>
      </c>
      <c r="AL60" s="33">
        <f t="shared" si="11"/>
        <v>0</v>
      </c>
      <c r="AM60" s="31">
        <f t="shared" si="12"/>
        <v>0</v>
      </c>
      <c r="AN60" s="32">
        <f t="shared" si="2"/>
        <v>0</v>
      </c>
      <c r="AO60" s="33">
        <f t="shared" si="13"/>
        <v>0</v>
      </c>
    </row>
    <row r="61" spans="1:41" s="14" customFormat="1" ht="27" customHeight="1" x14ac:dyDescent="0.25">
      <c r="A61" s="102"/>
      <c r="B61" s="22">
        <f>IFERROR(IF(VLOOKUP(A61,Table3[],MATCH('2023 sintesi '!I61,Table3[#Headers],0),0)=0,IFERROR(VLOOKUP($A61,Table1[],2,FALSE),0),VLOOKUP(A61,Table3[],MATCH('2023 sintesi '!I61,Table3[#Headers],0),0)),0)</f>
        <v>0</v>
      </c>
      <c r="C61" s="23">
        <f>IFERROR(VLOOKUP($A61,Table1[],3,FALSE),0)</f>
        <v>0</v>
      </c>
      <c r="D61" s="102"/>
      <c r="E61" s="102"/>
      <c r="F61" s="104"/>
      <c r="G61" s="102"/>
      <c r="H61" s="102"/>
      <c r="I61" s="105"/>
      <c r="J61" s="106"/>
      <c r="K61" s="107"/>
      <c r="L61" s="35"/>
      <c r="M61" s="36"/>
      <c r="N61" s="36"/>
      <c r="O61" s="36"/>
      <c r="P61" s="36"/>
      <c r="Q61" s="36"/>
      <c r="R61" s="36"/>
      <c r="S61" s="36"/>
      <c r="T61" s="36"/>
      <c r="U61" s="36"/>
      <c r="V61" s="36"/>
      <c r="W61" s="36"/>
      <c r="X61" s="25">
        <f t="shared" si="3"/>
        <v>0</v>
      </c>
      <c r="Y61" s="26">
        <f t="shared" si="4"/>
        <v>0</v>
      </c>
      <c r="Z61" s="26"/>
      <c r="AA61" s="27">
        <f t="shared" si="5"/>
        <v>0</v>
      </c>
      <c r="AB61" s="27">
        <f t="shared" si="6"/>
        <v>0</v>
      </c>
      <c r="AC61" s="28" t="str">
        <f>IFERROR(VLOOKUP($I61&amp;"|"&amp;$A61,Table2[],2,FALSE),"")</f>
        <v/>
      </c>
      <c r="AD61" s="29" t="str">
        <f>IFERROR(VLOOKUP($I61&amp;"|"&amp;$A61,Table2[],3,FALSE),"")</f>
        <v/>
      </c>
      <c r="AE61" s="28">
        <f t="shared" si="14"/>
        <v>0</v>
      </c>
      <c r="AF61" s="28" t="str">
        <f t="shared" si="7"/>
        <v/>
      </c>
      <c r="AG61" s="30" t="str">
        <f t="shared" si="8"/>
        <v/>
      </c>
      <c r="AH61" s="28" t="str">
        <f>IFERROR(VLOOKUP($I61&amp;"|"&amp;$A61,Table2[],4,FALSE),"")</f>
        <v/>
      </c>
      <c r="AI61" s="28" t="str">
        <f t="shared" si="9"/>
        <v/>
      </c>
      <c r="AJ61" s="31">
        <f t="shared" si="10"/>
        <v>0</v>
      </c>
      <c r="AK61" s="32">
        <f t="shared" si="1"/>
        <v>0</v>
      </c>
      <c r="AL61" s="33">
        <f t="shared" si="11"/>
        <v>0</v>
      </c>
      <c r="AM61" s="31">
        <f t="shared" si="12"/>
        <v>0</v>
      </c>
      <c r="AN61" s="32">
        <f t="shared" si="2"/>
        <v>0</v>
      </c>
      <c r="AO61" s="33">
        <f t="shared" si="13"/>
        <v>0</v>
      </c>
    </row>
    <row r="62" spans="1:41" s="14" customFormat="1" ht="27" customHeight="1" x14ac:dyDescent="0.25">
      <c r="A62" s="102"/>
      <c r="B62" s="22">
        <f>IFERROR(IF(VLOOKUP(A62,Table3[],MATCH('2023 sintesi '!I62,Table3[#Headers],0),0)=0,IFERROR(VLOOKUP($A62,Table1[],2,FALSE),0),VLOOKUP(A62,Table3[],MATCH('2023 sintesi '!I62,Table3[#Headers],0),0)),0)</f>
        <v>0</v>
      </c>
      <c r="C62" s="23">
        <f>IFERROR(VLOOKUP($A62,Table1[],3,FALSE),0)</f>
        <v>0</v>
      </c>
      <c r="D62" s="102"/>
      <c r="E62" s="102"/>
      <c r="F62" s="104"/>
      <c r="G62" s="102"/>
      <c r="H62" s="102"/>
      <c r="I62" s="105"/>
      <c r="J62" s="106"/>
      <c r="K62" s="107"/>
      <c r="L62" s="35"/>
      <c r="M62" s="35"/>
      <c r="N62" s="35"/>
      <c r="O62" s="35"/>
      <c r="P62" s="35"/>
      <c r="Q62" s="35"/>
      <c r="R62" s="35"/>
      <c r="S62" s="35"/>
      <c r="T62" s="35"/>
      <c r="U62" s="35"/>
      <c r="V62" s="35"/>
      <c r="W62" s="35"/>
      <c r="X62" s="25">
        <f t="shared" si="3"/>
        <v>0</v>
      </c>
      <c r="Y62" s="26">
        <f t="shared" si="4"/>
        <v>0</v>
      </c>
      <c r="Z62" s="26"/>
      <c r="AA62" s="27">
        <f t="shared" si="5"/>
        <v>0</v>
      </c>
      <c r="AB62" s="27">
        <f t="shared" si="6"/>
        <v>0</v>
      </c>
      <c r="AC62" s="28" t="str">
        <f>IFERROR(VLOOKUP($I62&amp;"|"&amp;$A62,Table2[],2,FALSE),"")</f>
        <v/>
      </c>
      <c r="AD62" s="29" t="str">
        <f>IFERROR(VLOOKUP($I62&amp;"|"&amp;$A62,Table2[],3,FALSE),"")</f>
        <v/>
      </c>
      <c r="AE62" s="28">
        <f t="shared" si="14"/>
        <v>0</v>
      </c>
      <c r="AF62" s="28" t="str">
        <f t="shared" si="7"/>
        <v/>
      </c>
      <c r="AG62" s="30" t="str">
        <f t="shared" si="8"/>
        <v/>
      </c>
      <c r="AH62" s="28" t="str">
        <f>IFERROR(VLOOKUP($I62&amp;"|"&amp;$A62,Table2[],4,FALSE),"")</f>
        <v/>
      </c>
      <c r="AI62" s="28" t="str">
        <f t="shared" si="9"/>
        <v/>
      </c>
      <c r="AJ62" s="31">
        <f t="shared" si="10"/>
        <v>0</v>
      </c>
      <c r="AK62" s="32">
        <f t="shared" si="1"/>
        <v>0</v>
      </c>
      <c r="AL62" s="33">
        <f t="shared" si="11"/>
        <v>0</v>
      </c>
      <c r="AM62" s="31">
        <f t="shared" si="12"/>
        <v>0</v>
      </c>
      <c r="AN62" s="32">
        <f t="shared" si="2"/>
        <v>0</v>
      </c>
      <c r="AO62" s="33">
        <f t="shared" si="13"/>
        <v>0</v>
      </c>
    </row>
    <row r="63" spans="1:41" s="14" customFormat="1" ht="27" customHeight="1" x14ac:dyDescent="0.25">
      <c r="A63" s="102"/>
      <c r="B63" s="22">
        <f>IFERROR(IF(VLOOKUP(A63,Table3[],MATCH('2023 sintesi '!I63,Table3[#Headers],0),0)=0,IFERROR(VLOOKUP($A63,Table1[],2,FALSE),0),VLOOKUP(A63,Table3[],MATCH('2023 sintesi '!I63,Table3[#Headers],0),0)),0)</f>
        <v>0</v>
      </c>
      <c r="C63" s="23">
        <f>IFERROR(VLOOKUP($A63,Table1[],3,FALSE),0)</f>
        <v>0</v>
      </c>
      <c r="D63" s="102"/>
      <c r="E63" s="102"/>
      <c r="F63" s="104"/>
      <c r="G63" s="102"/>
      <c r="H63" s="102"/>
      <c r="I63" s="105"/>
      <c r="J63" s="110"/>
      <c r="K63" s="107"/>
      <c r="L63" s="35"/>
      <c r="M63" s="35"/>
      <c r="N63" s="35"/>
      <c r="O63" s="35"/>
      <c r="P63" s="35"/>
      <c r="Q63" s="35"/>
      <c r="R63" s="35"/>
      <c r="S63" s="35"/>
      <c r="T63" s="35"/>
      <c r="U63" s="35"/>
      <c r="V63" s="35"/>
      <c r="W63" s="35"/>
      <c r="X63" s="25">
        <f t="shared" si="3"/>
        <v>0</v>
      </c>
      <c r="Y63" s="26">
        <f t="shared" si="4"/>
        <v>0</v>
      </c>
      <c r="Z63" s="26"/>
      <c r="AA63" s="27">
        <f t="shared" si="5"/>
        <v>0</v>
      </c>
      <c r="AB63" s="27">
        <f t="shared" si="6"/>
        <v>0</v>
      </c>
      <c r="AC63" s="28" t="str">
        <f>IFERROR(VLOOKUP($I63&amp;"|"&amp;$A63,Table2[],2,FALSE),"")</f>
        <v/>
      </c>
      <c r="AD63" s="29" t="str">
        <f>IFERROR(VLOOKUP($I63&amp;"|"&amp;$A63,Table2[],3,FALSE),"")</f>
        <v/>
      </c>
      <c r="AE63" s="28">
        <f t="shared" si="14"/>
        <v>0</v>
      </c>
      <c r="AF63" s="28" t="str">
        <f t="shared" si="7"/>
        <v/>
      </c>
      <c r="AG63" s="30" t="str">
        <f t="shared" si="8"/>
        <v/>
      </c>
      <c r="AH63" s="28" t="str">
        <f>IFERROR(VLOOKUP($I63&amp;"|"&amp;$A63,Table2[],4,FALSE),"")</f>
        <v/>
      </c>
      <c r="AI63" s="28" t="str">
        <f t="shared" si="9"/>
        <v/>
      </c>
      <c r="AJ63" s="31">
        <f t="shared" si="10"/>
        <v>0</v>
      </c>
      <c r="AK63" s="32">
        <f t="shared" si="1"/>
        <v>0</v>
      </c>
      <c r="AL63" s="33">
        <f t="shared" si="11"/>
        <v>0</v>
      </c>
      <c r="AM63" s="31">
        <f t="shared" si="12"/>
        <v>0</v>
      </c>
      <c r="AN63" s="32">
        <f t="shared" si="2"/>
        <v>0</v>
      </c>
      <c r="AO63" s="33">
        <f t="shared" si="13"/>
        <v>0</v>
      </c>
    </row>
    <row r="64" spans="1:41" s="14" customFormat="1" ht="27" customHeight="1" x14ac:dyDescent="0.25">
      <c r="A64" s="102"/>
      <c r="B64" s="22">
        <f>IFERROR(IF(VLOOKUP(A64,Table3[],MATCH('2023 sintesi '!I64,Table3[#Headers],0),0)=0,IFERROR(VLOOKUP($A64,Table1[],2,FALSE),0),VLOOKUP(A64,Table3[],MATCH('2023 sintesi '!I64,Table3[#Headers],0),0)),0)</f>
        <v>0</v>
      </c>
      <c r="C64" s="23">
        <f>IFERROR(VLOOKUP($A64,Table1[],3,FALSE),0)</f>
        <v>0</v>
      </c>
      <c r="D64" s="102"/>
      <c r="E64" s="102"/>
      <c r="F64" s="108"/>
      <c r="G64" s="102"/>
      <c r="H64" s="102"/>
      <c r="I64" s="105"/>
      <c r="J64" s="110"/>
      <c r="K64" s="107"/>
      <c r="L64" s="35"/>
      <c r="M64" s="35"/>
      <c r="N64" s="35"/>
      <c r="O64" s="35"/>
      <c r="P64" s="36"/>
      <c r="Q64" s="36"/>
      <c r="R64" s="36"/>
      <c r="S64" s="36"/>
      <c r="T64" s="36"/>
      <c r="U64" s="36"/>
      <c r="V64" s="36"/>
      <c r="W64" s="36"/>
      <c r="X64" s="25">
        <f t="shared" si="3"/>
        <v>0</v>
      </c>
      <c r="Y64" s="26">
        <f t="shared" si="4"/>
        <v>0</v>
      </c>
      <c r="Z64" s="26"/>
      <c r="AA64" s="27">
        <f t="shared" si="5"/>
        <v>0</v>
      </c>
      <c r="AB64" s="27">
        <f t="shared" si="6"/>
        <v>0</v>
      </c>
      <c r="AC64" s="28" t="str">
        <f>IFERROR(VLOOKUP($I64&amp;"|"&amp;$A64,Table2[],2,FALSE),"")</f>
        <v/>
      </c>
      <c r="AD64" s="29" t="str">
        <f>IFERROR(VLOOKUP($I64&amp;"|"&amp;$A64,Table2[],3,FALSE),"")</f>
        <v/>
      </c>
      <c r="AE64" s="28">
        <f t="shared" si="14"/>
        <v>0</v>
      </c>
      <c r="AF64" s="28" t="str">
        <f t="shared" si="7"/>
        <v/>
      </c>
      <c r="AG64" s="30" t="str">
        <f t="shared" si="8"/>
        <v/>
      </c>
      <c r="AH64" s="28" t="str">
        <f>IFERROR(VLOOKUP($I64&amp;"|"&amp;$A64,Table2[],4,FALSE),"")</f>
        <v/>
      </c>
      <c r="AI64" s="28" t="str">
        <f t="shared" si="9"/>
        <v/>
      </c>
      <c r="AJ64" s="31">
        <f t="shared" si="10"/>
        <v>0</v>
      </c>
      <c r="AK64" s="32">
        <f t="shared" si="1"/>
        <v>0</v>
      </c>
      <c r="AL64" s="33">
        <f t="shared" si="11"/>
        <v>0</v>
      </c>
      <c r="AM64" s="31">
        <f t="shared" si="12"/>
        <v>0</v>
      </c>
      <c r="AN64" s="32">
        <f t="shared" si="2"/>
        <v>0</v>
      </c>
      <c r="AO64" s="33">
        <f t="shared" si="13"/>
        <v>0</v>
      </c>
    </row>
    <row r="65" spans="1:41" s="14" customFormat="1" ht="27" customHeight="1" x14ac:dyDescent="0.25">
      <c r="A65" s="102"/>
      <c r="B65" s="22">
        <f>IFERROR(IF(VLOOKUP(A65,Table3[],MATCH('2023 sintesi '!I65,Table3[#Headers],0),0)=0,IFERROR(VLOOKUP($A65,Table1[],2,FALSE),0),VLOOKUP(A65,Table3[],MATCH('2023 sintesi '!I65,Table3[#Headers],0),0)),0)</f>
        <v>0</v>
      </c>
      <c r="C65" s="23">
        <f>IFERROR(VLOOKUP($A65,Table1[],3,FALSE),0)</f>
        <v>0</v>
      </c>
      <c r="D65" s="102"/>
      <c r="E65" s="102"/>
      <c r="F65" s="108"/>
      <c r="G65" s="102"/>
      <c r="H65" s="102"/>
      <c r="I65" s="105"/>
      <c r="J65" s="110"/>
      <c r="K65" s="107"/>
      <c r="L65" s="35"/>
      <c r="M65" s="35"/>
      <c r="N65" s="35"/>
      <c r="O65" s="35"/>
      <c r="P65" s="35"/>
      <c r="Q65" s="35"/>
      <c r="R65" s="35"/>
      <c r="S65" s="36"/>
      <c r="T65" s="35"/>
      <c r="U65" s="35"/>
      <c r="V65" s="35"/>
      <c r="W65" s="35"/>
      <c r="X65" s="25">
        <f t="shared" si="3"/>
        <v>0</v>
      </c>
      <c r="Y65" s="26">
        <f t="shared" si="4"/>
        <v>0</v>
      </c>
      <c r="Z65" s="26"/>
      <c r="AA65" s="27">
        <f t="shared" si="5"/>
        <v>0</v>
      </c>
      <c r="AB65" s="27">
        <f t="shared" si="6"/>
        <v>0</v>
      </c>
      <c r="AC65" s="28" t="str">
        <f>IFERROR(VLOOKUP($I65&amp;"|"&amp;$A65,Table2[],2,FALSE),"")</f>
        <v/>
      </c>
      <c r="AD65" s="29" t="str">
        <f>IFERROR(VLOOKUP($I65&amp;"|"&amp;$A65,Table2[],3,FALSE),"")</f>
        <v/>
      </c>
      <c r="AE65" s="28">
        <f t="shared" si="14"/>
        <v>0</v>
      </c>
      <c r="AF65" s="28" t="str">
        <f t="shared" si="7"/>
        <v/>
      </c>
      <c r="AG65" s="30" t="str">
        <f t="shared" si="8"/>
        <v/>
      </c>
      <c r="AH65" s="28" t="str">
        <f>IFERROR(VLOOKUP($I65&amp;"|"&amp;$A65,Table2[],4,FALSE),"")</f>
        <v/>
      </c>
      <c r="AI65" s="28" t="str">
        <f t="shared" si="9"/>
        <v/>
      </c>
      <c r="AJ65" s="31">
        <f t="shared" si="10"/>
        <v>0</v>
      </c>
      <c r="AK65" s="32">
        <f t="shared" si="1"/>
        <v>0</v>
      </c>
      <c r="AL65" s="33">
        <f t="shared" si="11"/>
        <v>0</v>
      </c>
      <c r="AM65" s="31">
        <f t="shared" si="12"/>
        <v>0</v>
      </c>
      <c r="AN65" s="32">
        <f t="shared" si="2"/>
        <v>0</v>
      </c>
      <c r="AO65" s="33">
        <f t="shared" si="13"/>
        <v>0</v>
      </c>
    </row>
    <row r="66" spans="1:41" s="14" customFormat="1" ht="27" customHeight="1" x14ac:dyDescent="0.25">
      <c r="A66" s="102"/>
      <c r="B66" s="22">
        <f>IFERROR(IF(VLOOKUP(A66,Table3[],MATCH('2023 sintesi '!I66,Table3[#Headers],0),0)=0,IFERROR(VLOOKUP($A66,Table1[],2,FALSE),0),VLOOKUP(A66,Table3[],MATCH('2023 sintesi '!I66,Table3[#Headers],0),0)),0)</f>
        <v>0</v>
      </c>
      <c r="C66" s="23">
        <f>IFERROR(VLOOKUP($A66,Table1[],3,FALSE),0)</f>
        <v>0</v>
      </c>
      <c r="D66" s="102"/>
      <c r="E66" s="102"/>
      <c r="F66" s="104"/>
      <c r="G66" s="102"/>
      <c r="H66" s="102"/>
      <c r="I66" s="105"/>
      <c r="J66" s="106"/>
      <c r="K66" s="107"/>
      <c r="L66" s="35"/>
      <c r="M66" s="36"/>
      <c r="N66" s="36"/>
      <c r="O66" s="36"/>
      <c r="P66" s="36"/>
      <c r="Q66" s="36"/>
      <c r="R66" s="36"/>
      <c r="S66" s="36"/>
      <c r="T66" s="36"/>
      <c r="U66" s="36"/>
      <c r="V66" s="36"/>
      <c r="W66" s="36"/>
      <c r="X66" s="25">
        <f t="shared" si="3"/>
        <v>0</v>
      </c>
      <c r="Y66" s="26">
        <f t="shared" si="4"/>
        <v>0</v>
      </c>
      <c r="Z66" s="26"/>
      <c r="AA66" s="27">
        <f t="shared" si="5"/>
        <v>0</v>
      </c>
      <c r="AB66" s="27">
        <f t="shared" si="6"/>
        <v>0</v>
      </c>
      <c r="AC66" s="28" t="str">
        <f>IFERROR(VLOOKUP($I66&amp;"|"&amp;$A66,Table2[],2,FALSE),"")</f>
        <v/>
      </c>
      <c r="AD66" s="29" t="str">
        <f>IFERROR(VLOOKUP($I66&amp;"|"&amp;$A66,Table2[],3,FALSE),"")</f>
        <v/>
      </c>
      <c r="AE66" s="28">
        <f t="shared" si="14"/>
        <v>0</v>
      </c>
      <c r="AF66" s="28" t="str">
        <f t="shared" si="7"/>
        <v/>
      </c>
      <c r="AG66" s="30" t="str">
        <f t="shared" si="8"/>
        <v/>
      </c>
      <c r="AH66" s="28" t="str">
        <f>IFERROR(VLOOKUP($I66&amp;"|"&amp;$A66,Table2[],4,FALSE),"")</f>
        <v/>
      </c>
      <c r="AI66" s="28" t="str">
        <f t="shared" si="9"/>
        <v/>
      </c>
      <c r="AJ66" s="31">
        <f t="shared" si="10"/>
        <v>0</v>
      </c>
      <c r="AK66" s="32">
        <f t="shared" si="1"/>
        <v>0</v>
      </c>
      <c r="AL66" s="33">
        <f t="shared" si="11"/>
        <v>0</v>
      </c>
      <c r="AM66" s="31">
        <f t="shared" si="12"/>
        <v>0</v>
      </c>
      <c r="AN66" s="32">
        <f t="shared" si="2"/>
        <v>0</v>
      </c>
      <c r="AO66" s="33">
        <f t="shared" si="13"/>
        <v>0</v>
      </c>
    </row>
    <row r="67" spans="1:41" s="14" customFormat="1" ht="27" customHeight="1" x14ac:dyDescent="0.25">
      <c r="A67" s="102"/>
      <c r="B67" s="22">
        <f>IFERROR(IF(VLOOKUP(A67,Table3[],MATCH('2023 sintesi '!I67,Table3[#Headers],0),0)=0,IFERROR(VLOOKUP($A67,Table1[],2,FALSE),0),VLOOKUP(A67,Table3[],MATCH('2023 sintesi '!I67,Table3[#Headers],0),0)),0)</f>
        <v>0</v>
      </c>
      <c r="C67" s="23">
        <f>IFERROR(VLOOKUP($A67,Table1[],3,FALSE),0)</f>
        <v>0</v>
      </c>
      <c r="D67" s="102"/>
      <c r="E67" s="102"/>
      <c r="F67" s="104"/>
      <c r="G67" s="102"/>
      <c r="H67" s="102"/>
      <c r="I67" s="105"/>
      <c r="J67" s="106"/>
      <c r="K67" s="107"/>
      <c r="L67" s="35"/>
      <c r="M67" s="36"/>
      <c r="N67" s="36"/>
      <c r="O67" s="36"/>
      <c r="P67" s="36"/>
      <c r="Q67" s="36"/>
      <c r="R67" s="36"/>
      <c r="S67" s="36"/>
      <c r="T67" s="36"/>
      <c r="U67" s="36"/>
      <c r="V67" s="36"/>
      <c r="W67" s="36"/>
      <c r="X67" s="25">
        <f t="shared" si="3"/>
        <v>0</v>
      </c>
      <c r="Y67" s="26">
        <f t="shared" si="4"/>
        <v>0</v>
      </c>
      <c r="Z67" s="26"/>
      <c r="AA67" s="27">
        <f t="shared" si="5"/>
        <v>0</v>
      </c>
      <c r="AB67" s="27">
        <f t="shared" si="6"/>
        <v>0</v>
      </c>
      <c r="AC67" s="28" t="str">
        <f>IFERROR(VLOOKUP($I67&amp;"|"&amp;$A67,Table2[],2,FALSE),"")</f>
        <v/>
      </c>
      <c r="AD67" s="29" t="str">
        <f>IFERROR(VLOOKUP($I67&amp;"|"&amp;$A67,Table2[],3,FALSE),"")</f>
        <v/>
      </c>
      <c r="AE67" s="28">
        <f t="shared" si="14"/>
        <v>0</v>
      </c>
      <c r="AF67" s="28" t="str">
        <f t="shared" si="7"/>
        <v/>
      </c>
      <c r="AG67" s="30" t="str">
        <f t="shared" si="8"/>
        <v/>
      </c>
      <c r="AH67" s="28" t="str">
        <f>IFERROR(VLOOKUP($I67&amp;"|"&amp;$A67,Table2[],4,FALSE),"")</f>
        <v/>
      </c>
      <c r="AI67" s="28" t="str">
        <f t="shared" si="9"/>
        <v/>
      </c>
      <c r="AJ67" s="31">
        <f t="shared" si="10"/>
        <v>0</v>
      </c>
      <c r="AK67" s="32">
        <f t="shared" si="1"/>
        <v>0</v>
      </c>
      <c r="AL67" s="33">
        <f t="shared" si="11"/>
        <v>0</v>
      </c>
      <c r="AM67" s="31">
        <f t="shared" si="12"/>
        <v>0</v>
      </c>
      <c r="AN67" s="32">
        <f t="shared" si="2"/>
        <v>0</v>
      </c>
      <c r="AO67" s="33">
        <f t="shared" si="13"/>
        <v>0</v>
      </c>
    </row>
    <row r="68" spans="1:41" s="14" customFormat="1" ht="27" customHeight="1" x14ac:dyDescent="0.25">
      <c r="A68" s="102"/>
      <c r="B68" s="22">
        <f>IFERROR(IF(VLOOKUP(A68,Table3[],MATCH('2023 sintesi '!I68,Table3[#Headers],0),0)=0,IFERROR(VLOOKUP($A68,Table1[],2,FALSE),0),VLOOKUP(A68,Table3[],MATCH('2023 sintesi '!I68,Table3[#Headers],0),0)),0)</f>
        <v>0</v>
      </c>
      <c r="C68" s="23">
        <f>IFERROR(VLOOKUP($A68,Table1[],3,FALSE),0)</f>
        <v>0</v>
      </c>
      <c r="D68" s="102"/>
      <c r="E68" s="102"/>
      <c r="F68" s="104"/>
      <c r="G68" s="102"/>
      <c r="H68" s="102"/>
      <c r="I68" s="109"/>
      <c r="J68" s="106"/>
      <c r="K68" s="112"/>
      <c r="L68" s="35"/>
      <c r="M68" s="36"/>
      <c r="N68" s="36"/>
      <c r="O68" s="36"/>
      <c r="P68" s="36"/>
      <c r="Q68" s="36"/>
      <c r="R68" s="36"/>
      <c r="S68" s="36"/>
      <c r="T68" s="36"/>
      <c r="U68" s="36"/>
      <c r="V68" s="36"/>
      <c r="W68" s="36"/>
      <c r="X68" s="25">
        <f t="shared" si="3"/>
        <v>0</v>
      </c>
      <c r="Y68" s="26">
        <f t="shared" si="4"/>
        <v>0</v>
      </c>
      <c r="Z68" s="26"/>
      <c r="AA68" s="27">
        <f t="shared" si="5"/>
        <v>0</v>
      </c>
      <c r="AB68" s="27">
        <f t="shared" si="6"/>
        <v>0</v>
      </c>
      <c r="AC68" s="28" t="str">
        <f>IFERROR(VLOOKUP($I68&amp;"|"&amp;$A68,Table2[],2,FALSE),"")</f>
        <v/>
      </c>
      <c r="AD68" s="29" t="str">
        <f>IFERROR(VLOOKUP($I68&amp;"|"&amp;$A68,Table2[],3,FALSE),"")</f>
        <v/>
      </c>
      <c r="AE68" s="28">
        <f t="shared" si="14"/>
        <v>0</v>
      </c>
      <c r="AF68" s="28" t="str">
        <f t="shared" si="7"/>
        <v/>
      </c>
      <c r="AG68" s="30" t="str">
        <f t="shared" si="8"/>
        <v/>
      </c>
      <c r="AH68" s="28" t="str">
        <f>IFERROR(VLOOKUP($I68&amp;"|"&amp;$A68,Table2[],4,FALSE),"")</f>
        <v/>
      </c>
      <c r="AI68" s="28" t="str">
        <f t="shared" si="9"/>
        <v/>
      </c>
      <c r="AJ68" s="31">
        <f t="shared" si="10"/>
        <v>0</v>
      </c>
      <c r="AK68" s="32">
        <f t="shared" si="1"/>
        <v>0</v>
      </c>
      <c r="AL68" s="33">
        <f t="shared" si="11"/>
        <v>0</v>
      </c>
      <c r="AM68" s="31">
        <f t="shared" si="12"/>
        <v>0</v>
      </c>
      <c r="AN68" s="32">
        <f t="shared" si="2"/>
        <v>0</v>
      </c>
      <c r="AO68" s="33">
        <f t="shared" si="13"/>
        <v>0</v>
      </c>
    </row>
    <row r="69" spans="1:41" s="14" customFormat="1" ht="27" customHeight="1" x14ac:dyDescent="0.25">
      <c r="A69" s="102"/>
      <c r="B69" s="22">
        <f>IFERROR(IF(VLOOKUP(A69,Table3[],MATCH('2023 sintesi '!I69,Table3[#Headers],0),0)=0,IFERROR(VLOOKUP($A69,Table1[],2,FALSE),0),VLOOKUP(A69,Table3[],MATCH('2023 sintesi '!I69,Table3[#Headers],0),0)),0)</f>
        <v>0</v>
      </c>
      <c r="C69" s="23">
        <f>IFERROR(VLOOKUP($A69,Table1[],3,FALSE),0)</f>
        <v>0</v>
      </c>
      <c r="D69" s="102"/>
      <c r="E69" s="102"/>
      <c r="F69" s="108"/>
      <c r="G69" s="102"/>
      <c r="H69" s="102"/>
      <c r="I69" s="105"/>
      <c r="J69" s="110"/>
      <c r="K69" s="107"/>
      <c r="L69" s="35"/>
      <c r="M69" s="35"/>
      <c r="N69" s="35"/>
      <c r="O69" s="35"/>
      <c r="P69" s="35"/>
      <c r="Q69" s="35"/>
      <c r="R69" s="35"/>
      <c r="S69" s="35"/>
      <c r="T69" s="35"/>
      <c r="U69" s="35"/>
      <c r="V69" s="35"/>
      <c r="W69" s="35"/>
      <c r="X69" s="25">
        <f t="shared" si="3"/>
        <v>0</v>
      </c>
      <c r="Y69" s="26">
        <f t="shared" si="4"/>
        <v>0</v>
      </c>
      <c r="Z69" s="26"/>
      <c r="AA69" s="27">
        <f t="shared" si="5"/>
        <v>0</v>
      </c>
      <c r="AB69" s="27">
        <f t="shared" si="6"/>
        <v>0</v>
      </c>
      <c r="AC69" s="28" t="str">
        <f>IFERROR(VLOOKUP($I69&amp;"|"&amp;$A69,Table2[],2,FALSE),"")</f>
        <v/>
      </c>
      <c r="AD69" s="29" t="str">
        <f>IFERROR(VLOOKUP($I69&amp;"|"&amp;$A69,Table2[],3,FALSE),"")</f>
        <v/>
      </c>
      <c r="AE69" s="28">
        <f t="shared" si="14"/>
        <v>0</v>
      </c>
      <c r="AF69" s="28" t="str">
        <f t="shared" si="7"/>
        <v/>
      </c>
      <c r="AG69" s="30" t="str">
        <f t="shared" si="8"/>
        <v/>
      </c>
      <c r="AH69" s="28" t="str">
        <f>IFERROR(VLOOKUP($I69&amp;"|"&amp;$A69,Table2[],4,FALSE),"")</f>
        <v/>
      </c>
      <c r="AI69" s="28" t="str">
        <f t="shared" si="9"/>
        <v/>
      </c>
      <c r="AJ69" s="31">
        <f t="shared" si="10"/>
        <v>0</v>
      </c>
      <c r="AK69" s="32">
        <f t="shared" si="1"/>
        <v>0</v>
      </c>
      <c r="AL69" s="33">
        <f t="shared" si="11"/>
        <v>0</v>
      </c>
      <c r="AM69" s="31">
        <f t="shared" si="12"/>
        <v>0</v>
      </c>
      <c r="AN69" s="32">
        <f t="shared" si="2"/>
        <v>0</v>
      </c>
      <c r="AO69" s="33">
        <f t="shared" si="13"/>
        <v>0</v>
      </c>
    </row>
    <row r="70" spans="1:41" s="14" customFormat="1" ht="27" customHeight="1" x14ac:dyDescent="0.25">
      <c r="A70" s="102"/>
      <c r="B70" s="22">
        <f>IFERROR(IF(VLOOKUP(A70,Table3[],MATCH('2023 sintesi '!I70,Table3[#Headers],0),0)=0,IFERROR(VLOOKUP($A70,Table1[],2,FALSE),0),VLOOKUP(A70,Table3[],MATCH('2023 sintesi '!I70,Table3[#Headers],0),0)),0)</f>
        <v>0</v>
      </c>
      <c r="C70" s="23">
        <f>IFERROR(VLOOKUP($A70,Table1[],3,FALSE),0)</f>
        <v>0</v>
      </c>
      <c r="D70" s="102"/>
      <c r="E70" s="102"/>
      <c r="F70" s="108"/>
      <c r="G70" s="102"/>
      <c r="H70" s="102"/>
      <c r="I70" s="105"/>
      <c r="J70" s="110"/>
      <c r="K70" s="107"/>
      <c r="L70" s="35"/>
      <c r="M70" s="36"/>
      <c r="N70" s="36"/>
      <c r="O70" s="36"/>
      <c r="P70" s="36"/>
      <c r="Q70" s="36"/>
      <c r="R70" s="36"/>
      <c r="S70" s="36"/>
      <c r="T70" s="36"/>
      <c r="U70" s="36"/>
      <c r="V70" s="36"/>
      <c r="W70" s="36"/>
      <c r="X70" s="25">
        <f t="shared" si="3"/>
        <v>0</v>
      </c>
      <c r="Y70" s="26">
        <f t="shared" si="4"/>
        <v>0</v>
      </c>
      <c r="Z70" s="26"/>
      <c r="AA70" s="27">
        <f t="shared" si="5"/>
        <v>0</v>
      </c>
      <c r="AB70" s="27">
        <f t="shared" si="6"/>
        <v>0</v>
      </c>
      <c r="AC70" s="28" t="str">
        <f>IFERROR(VLOOKUP($I70&amp;"|"&amp;$A70,Table2[],2,FALSE),"")</f>
        <v/>
      </c>
      <c r="AD70" s="29" t="str">
        <f>IFERROR(VLOOKUP($I70&amp;"|"&amp;$A70,Table2[],3,FALSE),"")</f>
        <v/>
      </c>
      <c r="AE70" s="28">
        <f t="shared" si="14"/>
        <v>0</v>
      </c>
      <c r="AF70" s="28" t="str">
        <f t="shared" si="7"/>
        <v/>
      </c>
      <c r="AG70" s="30" t="str">
        <f t="shared" si="8"/>
        <v/>
      </c>
      <c r="AH70" s="28" t="str">
        <f>IFERROR(VLOOKUP($I70&amp;"|"&amp;$A70,Table2[],4,FALSE),"")</f>
        <v/>
      </c>
      <c r="AI70" s="28" t="str">
        <f t="shared" si="9"/>
        <v/>
      </c>
      <c r="AJ70" s="31">
        <f t="shared" si="10"/>
        <v>0</v>
      </c>
      <c r="AK70" s="32">
        <f t="shared" si="1"/>
        <v>0</v>
      </c>
      <c r="AL70" s="33">
        <f t="shared" si="11"/>
        <v>0</v>
      </c>
      <c r="AM70" s="31">
        <f t="shared" si="12"/>
        <v>0</v>
      </c>
      <c r="AN70" s="32">
        <f t="shared" si="2"/>
        <v>0</v>
      </c>
      <c r="AO70" s="33">
        <f t="shared" si="13"/>
        <v>0</v>
      </c>
    </row>
    <row r="71" spans="1:41" s="14" customFormat="1" ht="27" customHeight="1" x14ac:dyDescent="0.25">
      <c r="A71" s="102"/>
      <c r="B71" s="22">
        <f>IFERROR(IF(VLOOKUP(A71,Table3[],MATCH('2023 sintesi '!I71,Table3[#Headers],0),0)=0,IFERROR(VLOOKUP($A71,Table1[],2,FALSE),0),VLOOKUP(A71,Table3[],MATCH('2023 sintesi '!I71,Table3[#Headers],0),0)),0)</f>
        <v>0</v>
      </c>
      <c r="C71" s="23">
        <f>IFERROR(VLOOKUP($A71,Table1[],3,FALSE),0)</f>
        <v>0</v>
      </c>
      <c r="D71" s="102"/>
      <c r="E71" s="102"/>
      <c r="F71" s="104"/>
      <c r="G71" s="102"/>
      <c r="H71" s="102"/>
      <c r="I71" s="109"/>
      <c r="J71" s="106"/>
      <c r="K71" s="107"/>
      <c r="L71" s="35"/>
      <c r="M71" s="36"/>
      <c r="N71" s="36"/>
      <c r="O71" s="36"/>
      <c r="P71" s="36"/>
      <c r="Q71" s="36"/>
      <c r="R71" s="36"/>
      <c r="S71" s="36"/>
      <c r="T71" s="36"/>
      <c r="U71" s="36"/>
      <c r="V71" s="36"/>
      <c r="W71" s="36"/>
      <c r="X71" s="25">
        <f t="shared" si="3"/>
        <v>0</v>
      </c>
      <c r="Y71" s="26">
        <f t="shared" si="4"/>
        <v>0</v>
      </c>
      <c r="Z71" s="26"/>
      <c r="AA71" s="27">
        <f t="shared" si="5"/>
        <v>0</v>
      </c>
      <c r="AB71" s="27">
        <f t="shared" si="6"/>
        <v>0</v>
      </c>
      <c r="AC71" s="28" t="str">
        <f>IFERROR(VLOOKUP($I71&amp;"|"&amp;$A71,Table2[],2,FALSE),"")</f>
        <v/>
      </c>
      <c r="AD71" s="29" t="str">
        <f>IFERROR(VLOOKUP($I71&amp;"|"&amp;$A71,Table2[],3,FALSE),"")</f>
        <v/>
      </c>
      <c r="AE71" s="28">
        <f t="shared" si="14"/>
        <v>0</v>
      </c>
      <c r="AF71" s="28" t="str">
        <f t="shared" si="7"/>
        <v/>
      </c>
      <c r="AG71" s="30" t="str">
        <f t="shared" si="8"/>
        <v/>
      </c>
      <c r="AH71" s="28" t="str">
        <f>IFERROR(VLOOKUP($I71&amp;"|"&amp;$A71,Table2[],4,FALSE),"")</f>
        <v/>
      </c>
      <c r="AI71" s="28" t="str">
        <f t="shared" si="9"/>
        <v/>
      </c>
      <c r="AJ71" s="31">
        <f t="shared" si="10"/>
        <v>0</v>
      </c>
      <c r="AK71" s="32">
        <f t="shared" si="1"/>
        <v>0</v>
      </c>
      <c r="AL71" s="33">
        <f t="shared" si="11"/>
        <v>0</v>
      </c>
      <c r="AM71" s="31">
        <f t="shared" si="12"/>
        <v>0</v>
      </c>
      <c r="AN71" s="32">
        <f t="shared" si="2"/>
        <v>0</v>
      </c>
      <c r="AO71" s="33">
        <f t="shared" si="13"/>
        <v>0</v>
      </c>
    </row>
    <row r="72" spans="1:41" s="14" customFormat="1" ht="27" customHeight="1" x14ac:dyDescent="0.25">
      <c r="A72" s="102"/>
      <c r="B72" s="22">
        <f>IFERROR(IF(VLOOKUP(A72,Table3[],MATCH('2023 sintesi '!I72,Table3[#Headers],0),0)=0,IFERROR(VLOOKUP($A72,Table1[],2,FALSE),0),VLOOKUP(A72,Table3[],MATCH('2023 sintesi '!I72,Table3[#Headers],0),0)),0)</f>
        <v>0</v>
      </c>
      <c r="C72" s="23">
        <f>IFERROR(VLOOKUP($A72,Table1[],3,FALSE),0)</f>
        <v>0</v>
      </c>
      <c r="D72" s="102"/>
      <c r="E72" s="102"/>
      <c r="F72" s="108"/>
      <c r="G72" s="102"/>
      <c r="H72" s="102"/>
      <c r="I72" s="105"/>
      <c r="J72" s="110"/>
      <c r="K72" s="107"/>
      <c r="L72" s="35"/>
      <c r="M72" s="35"/>
      <c r="N72" s="35"/>
      <c r="O72" s="35"/>
      <c r="P72" s="35"/>
      <c r="Q72" s="35"/>
      <c r="R72" s="35"/>
      <c r="S72" s="35"/>
      <c r="T72" s="35"/>
      <c r="U72" s="35"/>
      <c r="V72" s="35"/>
      <c r="W72" s="35"/>
      <c r="X72" s="25">
        <f t="shared" si="3"/>
        <v>0</v>
      </c>
      <c r="Y72" s="26">
        <f t="shared" si="4"/>
        <v>0</v>
      </c>
      <c r="Z72" s="26"/>
      <c r="AA72" s="27">
        <f t="shared" si="5"/>
        <v>0</v>
      </c>
      <c r="AB72" s="27">
        <f t="shared" si="6"/>
        <v>0</v>
      </c>
      <c r="AC72" s="28" t="str">
        <f>IFERROR(VLOOKUP($I72&amp;"|"&amp;$A72,Table2[],2,FALSE),"")</f>
        <v/>
      </c>
      <c r="AD72" s="29" t="str">
        <f>IFERROR(VLOOKUP($I72&amp;"|"&amp;$A72,Table2[],3,FALSE),"")</f>
        <v/>
      </c>
      <c r="AE72" s="28">
        <f t="shared" si="14"/>
        <v>0</v>
      </c>
      <c r="AF72" s="28" t="str">
        <f t="shared" si="7"/>
        <v/>
      </c>
      <c r="AG72" s="30" t="str">
        <f t="shared" si="8"/>
        <v/>
      </c>
      <c r="AH72" s="28" t="str">
        <f>IFERROR(VLOOKUP($I72&amp;"|"&amp;$A72,Table2[],4,FALSE),"")</f>
        <v/>
      </c>
      <c r="AI72" s="28" t="str">
        <f t="shared" si="9"/>
        <v/>
      </c>
      <c r="AJ72" s="31">
        <f t="shared" si="10"/>
        <v>0</v>
      </c>
      <c r="AK72" s="32">
        <f t="shared" si="1"/>
        <v>0</v>
      </c>
      <c r="AL72" s="33">
        <f t="shared" si="11"/>
        <v>0</v>
      </c>
      <c r="AM72" s="31">
        <f t="shared" si="12"/>
        <v>0</v>
      </c>
      <c r="AN72" s="32">
        <f t="shared" si="2"/>
        <v>0</v>
      </c>
      <c r="AO72" s="33">
        <f t="shared" si="13"/>
        <v>0</v>
      </c>
    </row>
    <row r="73" spans="1:41" s="14" customFormat="1" ht="27" customHeight="1" x14ac:dyDescent="0.25">
      <c r="A73" s="102"/>
      <c r="B73" s="22">
        <f>IFERROR(IF(VLOOKUP(A73,Table3[],MATCH('2023 sintesi '!I73,Table3[#Headers],0),0)=0,IFERROR(VLOOKUP($A73,Table1[],2,FALSE),0),VLOOKUP(A73,Table3[],MATCH('2023 sintesi '!I73,Table3[#Headers],0),0)),0)</f>
        <v>0</v>
      </c>
      <c r="C73" s="23">
        <f>IFERROR(VLOOKUP($A73,Table1[],3,FALSE),0)</f>
        <v>0</v>
      </c>
      <c r="D73" s="102"/>
      <c r="E73" s="102"/>
      <c r="F73" s="108"/>
      <c r="G73" s="102"/>
      <c r="H73" s="102"/>
      <c r="I73" s="105"/>
      <c r="J73" s="110"/>
      <c r="K73" s="111"/>
      <c r="L73" s="35"/>
      <c r="M73" s="36"/>
      <c r="P73" s="36"/>
      <c r="Q73" s="36"/>
      <c r="R73" s="36"/>
      <c r="S73" s="36"/>
      <c r="T73" s="36"/>
      <c r="U73" s="36"/>
      <c r="V73" s="36"/>
      <c r="W73" s="36"/>
      <c r="X73" s="25">
        <f t="shared" si="3"/>
        <v>0</v>
      </c>
      <c r="Y73" s="26">
        <f t="shared" si="4"/>
        <v>0</v>
      </c>
      <c r="Z73" s="26"/>
      <c r="AA73" s="27">
        <f t="shared" si="5"/>
        <v>0</v>
      </c>
      <c r="AB73" s="27">
        <f t="shared" si="6"/>
        <v>0</v>
      </c>
      <c r="AC73" s="28" t="str">
        <f>IFERROR(VLOOKUP($I73&amp;"|"&amp;$A73,Table2[],2,FALSE),"")</f>
        <v/>
      </c>
      <c r="AD73" s="29" t="str">
        <f>IFERROR(VLOOKUP($I73&amp;"|"&amp;$A73,Table2[],3,FALSE),"")</f>
        <v/>
      </c>
      <c r="AE73" s="28">
        <f t="shared" si="14"/>
        <v>0</v>
      </c>
      <c r="AF73" s="28" t="str">
        <f t="shared" si="7"/>
        <v/>
      </c>
      <c r="AG73" s="30" t="str">
        <f t="shared" si="8"/>
        <v/>
      </c>
      <c r="AH73" s="28" t="str">
        <f>IFERROR(VLOOKUP($I73&amp;"|"&amp;$A73,Table2[],4,FALSE),"")</f>
        <v/>
      </c>
      <c r="AI73" s="28" t="str">
        <f t="shared" si="9"/>
        <v/>
      </c>
      <c r="AJ73" s="31">
        <f t="shared" si="10"/>
        <v>0</v>
      </c>
      <c r="AK73" s="32">
        <f t="shared" si="1"/>
        <v>0</v>
      </c>
      <c r="AL73" s="33">
        <f t="shared" si="11"/>
        <v>0</v>
      </c>
      <c r="AM73" s="31">
        <f t="shared" si="12"/>
        <v>0</v>
      </c>
      <c r="AN73" s="32">
        <f t="shared" si="2"/>
        <v>0</v>
      </c>
      <c r="AO73" s="33">
        <f t="shared" si="13"/>
        <v>0</v>
      </c>
    </row>
    <row r="74" spans="1:41" s="14" customFormat="1" ht="27" customHeight="1" x14ac:dyDescent="0.25">
      <c r="A74" s="102"/>
      <c r="B74" s="22">
        <f>IFERROR(IF(VLOOKUP(A74,Table3[],MATCH('2023 sintesi '!I74,Table3[#Headers],0),0)=0,IFERROR(VLOOKUP($A74,Table1[],2,FALSE),0),VLOOKUP(A74,Table3[],MATCH('2023 sintesi '!I74,Table3[#Headers],0),0)),0)</f>
        <v>0</v>
      </c>
      <c r="C74" s="23">
        <f>IFERROR(VLOOKUP($A74,Table1[],3,FALSE),0)</f>
        <v>0</v>
      </c>
      <c r="D74" s="102"/>
      <c r="E74" s="102"/>
      <c r="F74" s="104"/>
      <c r="G74" s="102"/>
      <c r="H74" s="102"/>
      <c r="I74" s="105"/>
      <c r="J74" s="106"/>
      <c r="K74" s="107"/>
      <c r="L74" s="35"/>
      <c r="M74" s="35"/>
      <c r="N74" s="35"/>
      <c r="O74" s="35"/>
      <c r="P74" s="35"/>
      <c r="Q74" s="35"/>
      <c r="R74" s="35"/>
      <c r="S74" s="35"/>
      <c r="T74" s="35"/>
      <c r="U74" s="35"/>
      <c r="V74" s="35"/>
      <c r="W74" s="35"/>
      <c r="X74" s="25">
        <f t="shared" si="3"/>
        <v>0</v>
      </c>
      <c r="Y74" s="26">
        <f t="shared" si="4"/>
        <v>0</v>
      </c>
      <c r="Z74" s="26"/>
      <c r="AA74" s="27">
        <f t="shared" si="5"/>
        <v>0</v>
      </c>
      <c r="AB74" s="27">
        <f t="shared" si="6"/>
        <v>0</v>
      </c>
      <c r="AC74" s="28" t="str">
        <f>IFERROR(VLOOKUP($I74&amp;"|"&amp;$A74,Table2[],2,FALSE),"")</f>
        <v/>
      </c>
      <c r="AD74" s="29" t="str">
        <f>IFERROR(VLOOKUP($I74&amp;"|"&amp;$A74,Table2[],3,FALSE),"")</f>
        <v/>
      </c>
      <c r="AE74" s="28">
        <f t="shared" si="14"/>
        <v>0</v>
      </c>
      <c r="AF74" s="28" t="str">
        <f t="shared" si="7"/>
        <v/>
      </c>
      <c r="AG74" s="30" t="str">
        <f t="shared" si="8"/>
        <v/>
      </c>
      <c r="AH74" s="28" t="str">
        <f>IFERROR(VLOOKUP($I74&amp;"|"&amp;$A74,Table2[],4,FALSE),"")</f>
        <v/>
      </c>
      <c r="AI74" s="28" t="str">
        <f t="shared" si="9"/>
        <v/>
      </c>
      <c r="AJ74" s="31">
        <f t="shared" si="10"/>
        <v>0</v>
      </c>
      <c r="AK74" s="32">
        <f t="shared" si="1"/>
        <v>0</v>
      </c>
      <c r="AL74" s="33">
        <f t="shared" si="11"/>
        <v>0</v>
      </c>
      <c r="AM74" s="31">
        <f t="shared" si="12"/>
        <v>0</v>
      </c>
      <c r="AN74" s="32">
        <f t="shared" si="2"/>
        <v>0</v>
      </c>
      <c r="AO74" s="33">
        <f t="shared" si="13"/>
        <v>0</v>
      </c>
    </row>
    <row r="75" spans="1:41" s="14" customFormat="1" ht="27" customHeight="1" x14ac:dyDescent="0.25">
      <c r="A75" s="102"/>
      <c r="B75" s="22">
        <f>IFERROR(IF(VLOOKUP(A75,Table3[],MATCH('2023 sintesi '!I75,Table3[#Headers],0),0)=0,IFERROR(VLOOKUP($A75,Table1[],2,FALSE),0),VLOOKUP(A75,Table3[],MATCH('2023 sintesi '!I75,Table3[#Headers],0),0)),0)</f>
        <v>0</v>
      </c>
      <c r="C75" s="23">
        <f>IFERROR(VLOOKUP($A75,Table1[],3,FALSE),0)</f>
        <v>0</v>
      </c>
      <c r="D75" s="102"/>
      <c r="E75" s="102"/>
      <c r="F75" s="104"/>
      <c r="G75" s="102"/>
      <c r="H75" s="102"/>
      <c r="I75" s="105"/>
      <c r="J75" s="106"/>
      <c r="K75" s="107"/>
      <c r="L75" s="35"/>
      <c r="M75" s="35"/>
      <c r="N75" s="35"/>
      <c r="O75" s="35"/>
      <c r="P75" s="35"/>
      <c r="Q75" s="35"/>
      <c r="R75" s="35"/>
      <c r="S75" s="35"/>
      <c r="T75" s="35"/>
      <c r="U75" s="35"/>
      <c r="V75" s="35"/>
      <c r="W75" s="35"/>
      <c r="X75" s="25">
        <f t="shared" si="3"/>
        <v>0</v>
      </c>
      <c r="Y75" s="26">
        <f t="shared" si="4"/>
        <v>0</v>
      </c>
      <c r="Z75" s="26"/>
      <c r="AA75" s="27">
        <f t="shared" si="5"/>
        <v>0</v>
      </c>
      <c r="AB75" s="27">
        <f t="shared" si="6"/>
        <v>0</v>
      </c>
      <c r="AC75" s="28" t="str">
        <f>IFERROR(VLOOKUP($I75&amp;"|"&amp;$A75,Table2[],2,FALSE),"")</f>
        <v/>
      </c>
      <c r="AD75" s="29" t="str">
        <f>IFERROR(VLOOKUP($I75&amp;"|"&amp;$A75,Table2[],3,FALSE),"")</f>
        <v/>
      </c>
      <c r="AE75" s="28">
        <f t="shared" si="14"/>
        <v>0</v>
      </c>
      <c r="AF75" s="28" t="str">
        <f t="shared" si="7"/>
        <v/>
      </c>
      <c r="AG75" s="30" t="str">
        <f t="shared" si="8"/>
        <v/>
      </c>
      <c r="AH75" s="28" t="str">
        <f>IFERROR(VLOOKUP($I75&amp;"|"&amp;$A75,Table2[],4,FALSE),"")</f>
        <v/>
      </c>
      <c r="AI75" s="28" t="str">
        <f t="shared" si="9"/>
        <v/>
      </c>
      <c r="AJ75" s="31">
        <f t="shared" si="10"/>
        <v>0</v>
      </c>
      <c r="AK75" s="32">
        <f t="shared" si="1"/>
        <v>0</v>
      </c>
      <c r="AL75" s="33">
        <f t="shared" si="11"/>
        <v>0</v>
      </c>
      <c r="AM75" s="31">
        <f t="shared" si="12"/>
        <v>0</v>
      </c>
      <c r="AN75" s="32">
        <f t="shared" si="2"/>
        <v>0</v>
      </c>
      <c r="AO75" s="33">
        <f t="shared" si="13"/>
        <v>0</v>
      </c>
    </row>
    <row r="76" spans="1:41" s="14" customFormat="1" ht="27" customHeight="1" x14ac:dyDescent="0.25">
      <c r="A76" s="102"/>
      <c r="B76" s="22">
        <f>IFERROR(IF(VLOOKUP(A76,Table3[],MATCH('2023 sintesi '!I76,Table3[#Headers],0),0)=0,IFERROR(VLOOKUP($A76,Table1[],2,FALSE),0),VLOOKUP(A76,Table3[],MATCH('2023 sintesi '!I76,Table3[#Headers],0),0)),0)</f>
        <v>0</v>
      </c>
      <c r="C76" s="23">
        <f>IFERROR(VLOOKUP($A76,Table1[],3,FALSE),0)</f>
        <v>0</v>
      </c>
      <c r="D76" s="102"/>
      <c r="E76" s="102"/>
      <c r="F76" s="108"/>
      <c r="G76" s="102"/>
      <c r="H76" s="102"/>
      <c r="I76" s="105"/>
      <c r="J76" s="110"/>
      <c r="K76" s="107"/>
      <c r="L76" s="35"/>
      <c r="M76" s="35"/>
      <c r="N76" s="35"/>
      <c r="O76" s="35"/>
      <c r="P76" s="35"/>
      <c r="Q76" s="35"/>
      <c r="R76" s="35"/>
      <c r="S76" s="35"/>
      <c r="T76" s="35"/>
      <c r="U76" s="35"/>
      <c r="V76" s="35"/>
      <c r="W76" s="35"/>
      <c r="X76" s="25">
        <f t="shared" si="3"/>
        <v>0</v>
      </c>
      <c r="Y76" s="26">
        <f t="shared" si="4"/>
        <v>0</v>
      </c>
      <c r="Z76" s="26"/>
      <c r="AA76" s="27">
        <f t="shared" si="5"/>
        <v>0</v>
      </c>
      <c r="AB76" s="27">
        <f t="shared" si="6"/>
        <v>0</v>
      </c>
      <c r="AC76" s="28" t="str">
        <f>IFERROR(VLOOKUP($I76&amp;"|"&amp;$A76,Table2[],2,FALSE),"")</f>
        <v/>
      </c>
      <c r="AD76" s="29" t="str">
        <f>IFERROR(VLOOKUP($I76&amp;"|"&amp;$A76,Table2[],3,FALSE),"")</f>
        <v/>
      </c>
      <c r="AE76" s="28">
        <f t="shared" si="14"/>
        <v>0</v>
      </c>
      <c r="AF76" s="28" t="str">
        <f t="shared" si="7"/>
        <v/>
      </c>
      <c r="AG76" s="30" t="str">
        <f t="shared" si="8"/>
        <v/>
      </c>
      <c r="AH76" s="28" t="str">
        <f>IFERROR(VLOOKUP($I76&amp;"|"&amp;$A76,Table2[],4,FALSE),"")</f>
        <v/>
      </c>
      <c r="AI76" s="28" t="str">
        <f t="shared" si="9"/>
        <v/>
      </c>
      <c r="AJ76" s="31">
        <f t="shared" si="10"/>
        <v>0</v>
      </c>
      <c r="AK76" s="32">
        <f t="shared" si="1"/>
        <v>0</v>
      </c>
      <c r="AL76" s="33">
        <f t="shared" si="11"/>
        <v>0</v>
      </c>
      <c r="AM76" s="31">
        <f t="shared" si="12"/>
        <v>0</v>
      </c>
      <c r="AN76" s="32">
        <f t="shared" si="2"/>
        <v>0</v>
      </c>
      <c r="AO76" s="33">
        <f t="shared" si="13"/>
        <v>0</v>
      </c>
    </row>
    <row r="77" spans="1:41" s="14" customFormat="1" ht="27" customHeight="1" x14ac:dyDescent="0.25">
      <c r="A77" s="102"/>
      <c r="B77" s="22">
        <f>IFERROR(IF(VLOOKUP(A77,Table3[],MATCH('2023 sintesi '!I77,Table3[#Headers],0),0)=0,IFERROR(VLOOKUP($A77,Table1[],2,FALSE),0),VLOOKUP(A77,Table3[],MATCH('2023 sintesi '!I77,Table3[#Headers],0),0)),0)</f>
        <v>0</v>
      </c>
      <c r="C77" s="23">
        <f>IFERROR(VLOOKUP($A77,Table1[],3,FALSE),0)</f>
        <v>0</v>
      </c>
      <c r="D77" s="102"/>
      <c r="E77" s="102"/>
      <c r="F77" s="108"/>
      <c r="G77" s="102"/>
      <c r="H77" s="102"/>
      <c r="I77" s="105"/>
      <c r="J77" s="110"/>
      <c r="K77" s="107"/>
      <c r="L77" s="35"/>
      <c r="M77" s="35"/>
      <c r="N77" s="35"/>
      <c r="O77" s="35"/>
      <c r="P77" s="35"/>
      <c r="Q77" s="35"/>
      <c r="R77" s="35"/>
      <c r="S77" s="35"/>
      <c r="T77" s="35"/>
      <c r="U77" s="35"/>
      <c r="V77" s="35"/>
      <c r="W77" s="35"/>
      <c r="X77" s="25">
        <f t="shared" si="3"/>
        <v>0</v>
      </c>
      <c r="Y77" s="26">
        <f t="shared" si="4"/>
        <v>0</v>
      </c>
      <c r="Z77" s="26"/>
      <c r="AA77" s="27">
        <f t="shared" si="5"/>
        <v>0</v>
      </c>
      <c r="AB77" s="27">
        <f t="shared" si="6"/>
        <v>0</v>
      </c>
      <c r="AC77" s="28" t="str">
        <f>IFERROR(VLOOKUP($I77&amp;"|"&amp;$A77,Table2[],2,FALSE),"")</f>
        <v/>
      </c>
      <c r="AD77" s="29" t="str">
        <f>IFERROR(VLOOKUP($I77&amp;"|"&amp;$A77,Table2[],3,FALSE),"")</f>
        <v/>
      </c>
      <c r="AE77" s="28">
        <f t="shared" si="14"/>
        <v>0</v>
      </c>
      <c r="AF77" s="28" t="str">
        <f t="shared" si="7"/>
        <v/>
      </c>
      <c r="AG77" s="30" t="str">
        <f t="shared" si="8"/>
        <v/>
      </c>
      <c r="AH77" s="28" t="str">
        <f>IFERROR(VLOOKUP($I77&amp;"|"&amp;$A77,Table2[],4,FALSE),"")</f>
        <v/>
      </c>
      <c r="AI77" s="28" t="str">
        <f t="shared" si="9"/>
        <v/>
      </c>
      <c r="AJ77" s="31">
        <f t="shared" si="10"/>
        <v>0</v>
      </c>
      <c r="AK77" s="32">
        <f t="shared" si="1"/>
        <v>0</v>
      </c>
      <c r="AL77" s="33">
        <f t="shared" si="11"/>
        <v>0</v>
      </c>
      <c r="AM77" s="31">
        <f t="shared" si="12"/>
        <v>0</v>
      </c>
      <c r="AN77" s="32">
        <f t="shared" si="2"/>
        <v>0</v>
      </c>
      <c r="AO77" s="33">
        <f t="shared" si="13"/>
        <v>0</v>
      </c>
    </row>
    <row r="78" spans="1:41" s="14" customFormat="1" ht="27" customHeight="1" x14ac:dyDescent="0.25">
      <c r="A78" s="102"/>
      <c r="B78" s="22">
        <f>IFERROR(IF(VLOOKUP(A78,Table3[],MATCH('2023 sintesi '!I78,Table3[#Headers],0),0)=0,IFERROR(VLOOKUP($A78,Table1[],2,FALSE),0),VLOOKUP(A78,Table3[],MATCH('2023 sintesi '!I78,Table3[#Headers],0),0)),0)</f>
        <v>0</v>
      </c>
      <c r="C78" s="23">
        <f>IFERROR(VLOOKUP($A78,Table1[],3,FALSE),0)</f>
        <v>0</v>
      </c>
      <c r="D78" s="102"/>
      <c r="E78" s="102"/>
      <c r="F78" s="108"/>
      <c r="G78" s="102"/>
      <c r="H78" s="102"/>
      <c r="I78" s="105"/>
      <c r="J78" s="110"/>
      <c r="K78" s="107"/>
      <c r="L78" s="35"/>
      <c r="M78" s="36"/>
      <c r="N78" s="36"/>
      <c r="O78" s="36"/>
      <c r="P78" s="36"/>
      <c r="Q78" s="36"/>
      <c r="R78" s="36"/>
      <c r="S78" s="36"/>
      <c r="T78" s="36"/>
      <c r="U78" s="36"/>
      <c r="V78" s="36"/>
      <c r="W78" s="36"/>
      <c r="X78" s="25">
        <f t="shared" si="3"/>
        <v>0</v>
      </c>
      <c r="Y78" s="26">
        <f t="shared" si="4"/>
        <v>0</v>
      </c>
      <c r="Z78" s="26"/>
      <c r="AA78" s="27">
        <f t="shared" si="5"/>
        <v>0</v>
      </c>
      <c r="AB78" s="27">
        <f t="shared" si="6"/>
        <v>0</v>
      </c>
      <c r="AC78" s="28" t="str">
        <f>IFERROR(VLOOKUP($I78&amp;"|"&amp;$A78,Table2[],2,FALSE),"")</f>
        <v/>
      </c>
      <c r="AD78" s="29" t="str">
        <f>IFERROR(VLOOKUP($I78&amp;"|"&amp;$A78,Table2[],3,FALSE),"")</f>
        <v/>
      </c>
      <c r="AE78" s="28">
        <f t="shared" si="14"/>
        <v>0</v>
      </c>
      <c r="AF78" s="28" t="str">
        <f t="shared" si="7"/>
        <v/>
      </c>
      <c r="AG78" s="30" t="str">
        <f t="shared" si="8"/>
        <v/>
      </c>
      <c r="AH78" s="28" t="str">
        <f>IFERROR(VLOOKUP($I78&amp;"|"&amp;$A78,Table2[],4,FALSE),"")</f>
        <v/>
      </c>
      <c r="AI78" s="28" t="str">
        <f t="shared" si="9"/>
        <v/>
      </c>
      <c r="AJ78" s="31">
        <f t="shared" si="10"/>
        <v>0</v>
      </c>
      <c r="AK78" s="32">
        <f t="shared" si="1"/>
        <v>0</v>
      </c>
      <c r="AL78" s="33">
        <f t="shared" si="11"/>
        <v>0</v>
      </c>
      <c r="AM78" s="31">
        <f t="shared" si="12"/>
        <v>0</v>
      </c>
      <c r="AN78" s="32">
        <f t="shared" si="2"/>
        <v>0</v>
      </c>
      <c r="AO78" s="33">
        <f t="shared" si="13"/>
        <v>0</v>
      </c>
    </row>
    <row r="79" spans="1:41" s="14" customFormat="1" ht="27" customHeight="1" x14ac:dyDescent="0.25">
      <c r="A79" s="102"/>
      <c r="B79" s="22">
        <f>IFERROR(IF(VLOOKUP(A79,Table3[],MATCH('2023 sintesi '!I79,Table3[#Headers],0),0)=0,IFERROR(VLOOKUP($A79,Table1[],2,FALSE),0),VLOOKUP(A79,Table3[],MATCH('2023 sintesi '!I79,Table3[#Headers],0),0)),0)</f>
        <v>0</v>
      </c>
      <c r="C79" s="23">
        <f>IFERROR(VLOOKUP($A79,Table1[],3,FALSE),0)</f>
        <v>0</v>
      </c>
      <c r="D79" s="102"/>
      <c r="E79" s="102"/>
      <c r="F79" s="108"/>
      <c r="G79" s="102"/>
      <c r="H79" s="102"/>
      <c r="I79" s="105"/>
      <c r="J79" s="110"/>
      <c r="K79" s="107"/>
      <c r="L79" s="35"/>
      <c r="M79" s="36"/>
      <c r="N79" s="36"/>
      <c r="O79" s="36"/>
      <c r="P79" s="36"/>
      <c r="Q79" s="36"/>
      <c r="R79" s="36"/>
      <c r="S79" s="36"/>
      <c r="T79" s="36"/>
      <c r="U79" s="36"/>
      <c r="V79" s="36"/>
      <c r="W79" s="36"/>
      <c r="X79" s="25">
        <f t="shared" si="3"/>
        <v>0</v>
      </c>
      <c r="Y79" s="26">
        <f t="shared" si="4"/>
        <v>0</v>
      </c>
      <c r="Z79" s="26"/>
      <c r="AA79" s="27">
        <f t="shared" si="5"/>
        <v>0</v>
      </c>
      <c r="AB79" s="27">
        <f t="shared" si="6"/>
        <v>0</v>
      </c>
      <c r="AC79" s="28" t="str">
        <f>IFERROR(VLOOKUP($I79&amp;"|"&amp;$A79,Table2[],2,FALSE),"")</f>
        <v/>
      </c>
      <c r="AD79" s="29" t="str">
        <f>IFERROR(VLOOKUP($I79&amp;"|"&amp;$A79,Table2[],3,FALSE),"")</f>
        <v/>
      </c>
      <c r="AE79" s="28">
        <f t="shared" si="14"/>
        <v>0</v>
      </c>
      <c r="AF79" s="28" t="str">
        <f t="shared" si="7"/>
        <v/>
      </c>
      <c r="AG79" s="30" t="str">
        <f t="shared" si="8"/>
        <v/>
      </c>
      <c r="AH79" s="28" t="str">
        <f>IFERROR(VLOOKUP($I79&amp;"|"&amp;$A79,Table2[],4,FALSE),"")</f>
        <v/>
      </c>
      <c r="AI79" s="28" t="str">
        <f t="shared" si="9"/>
        <v/>
      </c>
      <c r="AJ79" s="31">
        <f t="shared" si="10"/>
        <v>0</v>
      </c>
      <c r="AK79" s="32">
        <f t="shared" si="1"/>
        <v>0</v>
      </c>
      <c r="AL79" s="33">
        <f t="shared" si="11"/>
        <v>0</v>
      </c>
      <c r="AM79" s="31">
        <f t="shared" si="12"/>
        <v>0</v>
      </c>
      <c r="AN79" s="32">
        <f t="shared" si="2"/>
        <v>0</v>
      </c>
      <c r="AO79" s="33">
        <f t="shared" si="13"/>
        <v>0</v>
      </c>
    </row>
    <row r="80" spans="1:41" s="14" customFormat="1" ht="27" customHeight="1" x14ac:dyDescent="0.25">
      <c r="A80" s="102"/>
      <c r="B80" s="22">
        <f>IFERROR(IF(VLOOKUP(A80,Table3[],MATCH('2023 sintesi '!I80,Table3[#Headers],0),0)=0,IFERROR(VLOOKUP($A80,Table1[],2,FALSE),0),VLOOKUP(A80,Table3[],MATCH('2023 sintesi '!I80,Table3[#Headers],0),0)),0)</f>
        <v>0</v>
      </c>
      <c r="C80" s="23">
        <f>IFERROR(VLOOKUP($A80,Table1[],3,FALSE),0)</f>
        <v>0</v>
      </c>
      <c r="D80" s="102"/>
      <c r="E80" s="102"/>
      <c r="F80" s="108"/>
      <c r="G80" s="102"/>
      <c r="H80" s="102"/>
      <c r="I80" s="105"/>
      <c r="J80" s="110"/>
      <c r="K80" s="107"/>
      <c r="L80" s="35"/>
      <c r="M80" s="36"/>
      <c r="N80" s="36"/>
      <c r="O80" s="36"/>
      <c r="P80" s="36"/>
      <c r="Q80" s="36"/>
      <c r="R80" s="36"/>
      <c r="S80" s="36"/>
      <c r="T80" s="36"/>
      <c r="U80" s="36"/>
      <c r="V80" s="36"/>
      <c r="W80" s="36"/>
      <c r="X80" s="25">
        <f t="shared" si="3"/>
        <v>0</v>
      </c>
      <c r="Y80" s="26">
        <f t="shared" si="4"/>
        <v>0</v>
      </c>
      <c r="Z80" s="26"/>
      <c r="AA80" s="27">
        <f t="shared" si="5"/>
        <v>0</v>
      </c>
      <c r="AB80" s="27">
        <f t="shared" si="6"/>
        <v>0</v>
      </c>
      <c r="AC80" s="28" t="str">
        <f>IFERROR(VLOOKUP($I80&amp;"|"&amp;$A80,Table2[],2,FALSE),"")</f>
        <v/>
      </c>
      <c r="AD80" s="29" t="str">
        <f>IFERROR(VLOOKUP($I80&amp;"|"&amp;$A80,Table2[],3,FALSE),"")</f>
        <v/>
      </c>
      <c r="AE80" s="28">
        <f t="shared" si="14"/>
        <v>0</v>
      </c>
      <c r="AF80" s="28" t="str">
        <f t="shared" si="7"/>
        <v/>
      </c>
      <c r="AG80" s="30" t="str">
        <f t="shared" si="8"/>
        <v/>
      </c>
      <c r="AH80" s="28" t="str">
        <f>IFERROR(VLOOKUP($I80&amp;"|"&amp;$A80,Table2[],4,FALSE),"")</f>
        <v/>
      </c>
      <c r="AI80" s="28" t="str">
        <f t="shared" si="9"/>
        <v/>
      </c>
      <c r="AJ80" s="31">
        <f t="shared" si="10"/>
        <v>0</v>
      </c>
      <c r="AK80" s="32">
        <f t="shared" si="1"/>
        <v>0</v>
      </c>
      <c r="AL80" s="33">
        <f t="shared" si="11"/>
        <v>0</v>
      </c>
      <c r="AM80" s="31">
        <f t="shared" si="12"/>
        <v>0</v>
      </c>
      <c r="AN80" s="32">
        <f t="shared" si="2"/>
        <v>0</v>
      </c>
      <c r="AO80" s="33">
        <f t="shared" si="13"/>
        <v>0</v>
      </c>
    </row>
    <row r="81" spans="1:41" s="14" customFormat="1" ht="27" customHeight="1" x14ac:dyDescent="0.25">
      <c r="A81" s="102"/>
      <c r="B81" s="22">
        <f>IFERROR(IF(VLOOKUP(A81,Table3[],MATCH('2023 sintesi '!I81,Table3[#Headers],0),0)=0,IFERROR(VLOOKUP($A81,Table1[],2,FALSE),0),VLOOKUP(A81,Table3[],MATCH('2023 sintesi '!I81,Table3[#Headers],0),0)),0)</f>
        <v>0</v>
      </c>
      <c r="C81" s="23">
        <f>IFERROR(VLOOKUP($A81,Table1[],3,FALSE),0)</f>
        <v>0</v>
      </c>
      <c r="D81" s="102"/>
      <c r="E81" s="102"/>
      <c r="F81" s="108"/>
      <c r="G81" s="102"/>
      <c r="H81" s="102"/>
      <c r="I81" s="105"/>
      <c r="J81" s="110"/>
      <c r="K81" s="107"/>
      <c r="L81" s="35"/>
      <c r="M81" s="36"/>
      <c r="N81" s="36"/>
      <c r="O81" s="36"/>
      <c r="P81" s="36"/>
      <c r="Q81" s="36"/>
      <c r="R81" s="36"/>
      <c r="S81" s="36"/>
      <c r="T81" s="36"/>
      <c r="U81" s="36"/>
      <c r="V81" s="36"/>
      <c r="W81" s="36"/>
      <c r="X81" s="25">
        <f t="shared" si="3"/>
        <v>0</v>
      </c>
      <c r="Y81" s="26">
        <f t="shared" si="4"/>
        <v>0</v>
      </c>
      <c r="Z81" s="26"/>
      <c r="AA81" s="27">
        <f t="shared" si="5"/>
        <v>0</v>
      </c>
      <c r="AB81" s="27">
        <f t="shared" si="6"/>
        <v>0</v>
      </c>
      <c r="AC81" s="28" t="str">
        <f>IFERROR(VLOOKUP($I81&amp;"|"&amp;$A81,Table2[],2,FALSE),"")</f>
        <v/>
      </c>
      <c r="AD81" s="29" t="str">
        <f>IFERROR(VLOOKUP($I81&amp;"|"&amp;$A81,Table2[],3,FALSE),"")</f>
        <v/>
      </c>
      <c r="AE81" s="28">
        <f t="shared" si="14"/>
        <v>0</v>
      </c>
      <c r="AF81" s="28" t="str">
        <f t="shared" si="7"/>
        <v/>
      </c>
      <c r="AG81" s="30" t="str">
        <f t="shared" si="8"/>
        <v/>
      </c>
      <c r="AH81" s="28" t="str">
        <f>IFERROR(VLOOKUP($I81&amp;"|"&amp;$A81,Table2[],4,FALSE),"")</f>
        <v/>
      </c>
      <c r="AI81" s="28" t="str">
        <f t="shared" si="9"/>
        <v/>
      </c>
      <c r="AJ81" s="31">
        <f t="shared" si="10"/>
        <v>0</v>
      </c>
      <c r="AK81" s="32">
        <f t="shared" si="1"/>
        <v>0</v>
      </c>
      <c r="AL81" s="33">
        <f t="shared" si="11"/>
        <v>0</v>
      </c>
      <c r="AM81" s="31">
        <f t="shared" si="12"/>
        <v>0</v>
      </c>
      <c r="AN81" s="32">
        <f t="shared" si="2"/>
        <v>0</v>
      </c>
      <c r="AO81" s="33">
        <f t="shared" si="13"/>
        <v>0</v>
      </c>
    </row>
    <row r="82" spans="1:41" s="14" customFormat="1" ht="27" customHeight="1" x14ac:dyDescent="0.25">
      <c r="A82" s="102"/>
      <c r="B82" s="22">
        <f>IFERROR(IF(VLOOKUP(A82,Table3[],MATCH('2023 sintesi '!I82,Table3[#Headers],0),0)=0,IFERROR(VLOOKUP($A82,Table1[],2,FALSE),0),VLOOKUP(A82,Table3[],MATCH('2023 sintesi '!I82,Table3[#Headers],0),0)),0)</f>
        <v>0</v>
      </c>
      <c r="C82" s="23">
        <f>IFERROR(VLOOKUP($A82,Table1[],3,FALSE),0)</f>
        <v>0</v>
      </c>
      <c r="D82" s="102"/>
      <c r="E82" s="102"/>
      <c r="F82" s="108"/>
      <c r="G82" s="102"/>
      <c r="H82" s="102"/>
      <c r="I82" s="105"/>
      <c r="J82" s="110"/>
      <c r="K82" s="107"/>
      <c r="L82" s="35"/>
      <c r="M82" s="36"/>
      <c r="N82" s="36"/>
      <c r="O82" s="36"/>
      <c r="P82" s="36"/>
      <c r="Q82" s="36"/>
      <c r="R82" s="36"/>
      <c r="S82" s="36"/>
      <c r="T82" s="36"/>
      <c r="U82" s="36"/>
      <c r="V82" s="36"/>
      <c r="W82" s="36"/>
      <c r="X82" s="25">
        <f t="shared" si="3"/>
        <v>0</v>
      </c>
      <c r="Y82" s="26">
        <f t="shared" si="4"/>
        <v>0</v>
      </c>
      <c r="Z82" s="26"/>
      <c r="AA82" s="27">
        <f t="shared" si="5"/>
        <v>0</v>
      </c>
      <c r="AB82" s="27">
        <f t="shared" si="6"/>
        <v>0</v>
      </c>
      <c r="AC82" s="28" t="str">
        <f>IFERROR(VLOOKUP($I82&amp;"|"&amp;$A82,Table2[],2,FALSE),"")</f>
        <v/>
      </c>
      <c r="AD82" s="29" t="str">
        <f>IFERROR(VLOOKUP($I82&amp;"|"&amp;$A82,Table2[],3,FALSE),"")</f>
        <v/>
      </c>
      <c r="AE82" s="28">
        <f t="shared" si="14"/>
        <v>0</v>
      </c>
      <c r="AF82" s="28" t="str">
        <f t="shared" si="7"/>
        <v/>
      </c>
      <c r="AG82" s="30" t="str">
        <f t="shared" si="8"/>
        <v/>
      </c>
      <c r="AH82" s="28" t="str">
        <f>IFERROR(VLOOKUP($I82&amp;"|"&amp;$A82,Table2[],4,FALSE),"")</f>
        <v/>
      </c>
      <c r="AI82" s="28" t="str">
        <f t="shared" si="9"/>
        <v/>
      </c>
      <c r="AJ82" s="31">
        <f t="shared" si="10"/>
        <v>0</v>
      </c>
      <c r="AK82" s="32">
        <f t="shared" si="1"/>
        <v>0</v>
      </c>
      <c r="AL82" s="33">
        <f t="shared" si="11"/>
        <v>0</v>
      </c>
      <c r="AM82" s="31">
        <f t="shared" si="12"/>
        <v>0</v>
      </c>
      <c r="AN82" s="32">
        <f t="shared" si="2"/>
        <v>0</v>
      </c>
      <c r="AO82" s="33">
        <f t="shared" si="13"/>
        <v>0</v>
      </c>
    </row>
    <row r="83" spans="1:41" s="14" customFormat="1" ht="27" customHeight="1" x14ac:dyDescent="0.25">
      <c r="A83" s="102"/>
      <c r="B83" s="22">
        <f>IFERROR(IF(VLOOKUP(A83,Table3[],MATCH('2023 sintesi '!I83,Table3[#Headers],0),0)=0,IFERROR(VLOOKUP($A83,Table1[],2,FALSE),0),VLOOKUP(A83,Table3[],MATCH('2023 sintesi '!I83,Table3[#Headers],0),0)),0)</f>
        <v>0</v>
      </c>
      <c r="C83" s="23">
        <f>IFERROR(VLOOKUP($A83,Table1[],3,FALSE),0)</f>
        <v>0</v>
      </c>
      <c r="D83" s="102"/>
      <c r="E83" s="102"/>
      <c r="F83" s="108"/>
      <c r="G83" s="102"/>
      <c r="H83" s="102"/>
      <c r="I83" s="105"/>
      <c r="J83" s="110"/>
      <c r="K83" s="111"/>
      <c r="L83" s="35"/>
      <c r="M83" s="36"/>
      <c r="N83" s="36"/>
      <c r="P83" s="36"/>
      <c r="Q83" s="36"/>
      <c r="R83" s="36"/>
      <c r="S83" s="36"/>
      <c r="T83" s="36"/>
      <c r="U83" s="36"/>
      <c r="V83" s="36"/>
      <c r="W83" s="36"/>
      <c r="X83" s="25">
        <f t="shared" si="3"/>
        <v>0</v>
      </c>
      <c r="Y83" s="26">
        <f t="shared" si="4"/>
        <v>0</v>
      </c>
      <c r="Z83" s="26"/>
      <c r="AA83" s="27">
        <f t="shared" si="5"/>
        <v>0</v>
      </c>
      <c r="AB83" s="27">
        <f t="shared" si="6"/>
        <v>0</v>
      </c>
      <c r="AC83" s="28" t="str">
        <f>IFERROR(VLOOKUP($I83&amp;"|"&amp;$A83,Table2[],2,FALSE),"")</f>
        <v/>
      </c>
      <c r="AD83" s="29" t="str">
        <f>IFERROR(VLOOKUP($I83&amp;"|"&amp;$A83,Table2[],3,FALSE),"")</f>
        <v/>
      </c>
      <c r="AE83" s="28">
        <f t="shared" si="14"/>
        <v>0</v>
      </c>
      <c r="AF83" s="28" t="str">
        <f t="shared" si="7"/>
        <v/>
      </c>
      <c r="AG83" s="30" t="str">
        <f t="shared" si="8"/>
        <v/>
      </c>
      <c r="AH83" s="28" t="str">
        <f>IFERROR(VLOOKUP($I83&amp;"|"&amp;$A83,Table2[],4,FALSE),"")</f>
        <v/>
      </c>
      <c r="AI83" s="28" t="str">
        <f t="shared" si="9"/>
        <v/>
      </c>
      <c r="AJ83" s="31">
        <f t="shared" si="10"/>
        <v>0</v>
      </c>
      <c r="AK83" s="32">
        <f t="shared" si="1"/>
        <v>0</v>
      </c>
      <c r="AL83" s="33">
        <f t="shared" si="11"/>
        <v>0</v>
      </c>
      <c r="AM83" s="31">
        <f t="shared" si="12"/>
        <v>0</v>
      </c>
      <c r="AN83" s="32">
        <f t="shared" si="2"/>
        <v>0</v>
      </c>
      <c r="AO83" s="33">
        <f t="shared" si="13"/>
        <v>0</v>
      </c>
    </row>
    <row r="84" spans="1:41" s="14" customFormat="1" ht="27" customHeight="1" x14ac:dyDescent="0.25">
      <c r="A84" s="102"/>
      <c r="B84" s="22">
        <f>IFERROR(IF(VLOOKUP(A84,Table3[],MATCH('2023 sintesi '!I84,Table3[#Headers],0),0)=0,IFERROR(VLOOKUP($A84,Table1[],2,FALSE),0),VLOOKUP(A84,Table3[],MATCH('2023 sintesi '!I84,Table3[#Headers],0),0)),0)</f>
        <v>0</v>
      </c>
      <c r="C84" s="23">
        <f>IFERROR(VLOOKUP($A84,Table1[],3,FALSE),0)</f>
        <v>0</v>
      </c>
      <c r="D84" s="102"/>
      <c r="E84" s="102"/>
      <c r="F84" s="108"/>
      <c r="G84" s="102"/>
      <c r="H84" s="102"/>
      <c r="I84" s="105"/>
      <c r="J84" s="110"/>
      <c r="K84" s="107"/>
      <c r="L84" s="35"/>
      <c r="M84" s="36"/>
      <c r="N84" s="36"/>
      <c r="O84" s="36"/>
      <c r="P84" s="36"/>
      <c r="Q84" s="36"/>
      <c r="R84" s="36"/>
      <c r="S84" s="36"/>
      <c r="T84" s="36"/>
      <c r="U84" s="36"/>
      <c r="V84" s="36"/>
      <c r="W84" s="36"/>
      <c r="X84" s="25">
        <f t="shared" ref="X84:X147" si="15">IF($K84="ORE",SUM(L84:W84)/147,0)</f>
        <v>0</v>
      </c>
      <c r="Y84" s="26">
        <f t="shared" ref="Y84:Y147" si="16" xml:space="preserve"> IF($K84="ORE",SUM(L84:W84),0)</f>
        <v>0</v>
      </c>
      <c r="Z84" s="26"/>
      <c r="AA84" s="27">
        <f t="shared" ref="AA84:AA147" si="17">$Y84*$B84</f>
        <v>0</v>
      </c>
      <c r="AB84" s="27">
        <f t="shared" ref="AB84:AB147" si="18">IF($K84="LUMP SUM",SUM(L84:W84),0)</f>
        <v>0</v>
      </c>
      <c r="AC84" s="28" t="str">
        <f>IFERROR(VLOOKUP($I84&amp;"|"&amp;$A84,Table2[],2,FALSE),"")</f>
        <v/>
      </c>
      <c r="AD84" s="29" t="str">
        <f>IFERROR(VLOOKUP($I84&amp;"|"&amp;$A84,Table2[],3,FALSE),"")</f>
        <v/>
      </c>
      <c r="AE84" s="28">
        <f t="shared" ref="AE84:AE147" si="19">COUNTIFS($A$19:$A$226,A84,$I$19:$I$226,I84)</f>
        <v>0</v>
      </c>
      <c r="AF84" s="28" t="str">
        <f t="shared" ref="AF84:AF147" si="20">IFERROR(AC84/AE84,"")</f>
        <v/>
      </c>
      <c r="AG84" s="30" t="str">
        <f t="shared" ref="AG84:AG147" si="21">IFERROR(AD84/AE84,"")</f>
        <v/>
      </c>
      <c r="AH84" s="28" t="str">
        <f>IFERROR(VLOOKUP($I84&amp;"|"&amp;$A84,Table2[],4,FALSE),"")</f>
        <v/>
      </c>
      <c r="AI84" s="28" t="str">
        <f t="shared" ref="AI84:AI147" si="22">IFERROR(AH84/AE84,"")</f>
        <v/>
      </c>
      <c r="AJ84" s="31">
        <f t="shared" ref="AJ84:AJ147" si="23">IF($K84="ORE",SUM(Q84:W84),0)</f>
        <v>0</v>
      </c>
      <c r="AK84" s="32">
        <f t="shared" si="1"/>
        <v>0</v>
      </c>
      <c r="AL84" s="33">
        <f t="shared" ref="AL84:AL147" si="24">IF($K84="LUMP SUM",SUM(Q84:W84),0)</f>
        <v>0</v>
      </c>
      <c r="AM84" s="31">
        <f t="shared" ref="AM84:AM147" si="25">IF($K84="ORE",SUM(L84:P84),0)</f>
        <v>0</v>
      </c>
      <c r="AN84" s="32">
        <f t="shared" si="2"/>
        <v>0</v>
      </c>
      <c r="AO84" s="33">
        <f t="shared" ref="AO84:AO147" si="26">IF($K84="LUMP SUM",SUM(L84:P84),0)</f>
        <v>0</v>
      </c>
    </row>
    <row r="85" spans="1:41" s="14" customFormat="1" ht="27" customHeight="1" x14ac:dyDescent="0.25">
      <c r="A85" s="102"/>
      <c r="B85" s="22">
        <f>IFERROR(IF(VLOOKUP(A85,Table3[],MATCH('2023 sintesi '!I85,Table3[#Headers],0),0)=0,IFERROR(VLOOKUP($A85,Table1[],2,FALSE),0),VLOOKUP(A85,Table3[],MATCH('2023 sintesi '!I85,Table3[#Headers],0),0)),0)</f>
        <v>0</v>
      </c>
      <c r="C85" s="23">
        <f>IFERROR(VLOOKUP($A85,Table1[],3,FALSE),0)</f>
        <v>0</v>
      </c>
      <c r="D85" s="102"/>
      <c r="E85" s="102"/>
      <c r="F85" s="108"/>
      <c r="G85" s="102"/>
      <c r="H85" s="102"/>
      <c r="I85" s="105"/>
      <c r="J85" s="110"/>
      <c r="K85" s="112"/>
      <c r="L85" s="35"/>
      <c r="M85" s="36"/>
      <c r="N85" s="36"/>
      <c r="O85" s="36"/>
      <c r="P85" s="36"/>
      <c r="Q85" s="36"/>
      <c r="R85" s="36"/>
      <c r="S85" s="36"/>
      <c r="T85" s="36"/>
      <c r="U85" s="36"/>
      <c r="V85" s="36"/>
      <c r="W85" s="36"/>
      <c r="X85" s="25">
        <f t="shared" si="15"/>
        <v>0</v>
      </c>
      <c r="Y85" s="26">
        <f t="shared" si="16"/>
        <v>0</v>
      </c>
      <c r="Z85" s="26"/>
      <c r="AA85" s="27">
        <f t="shared" si="17"/>
        <v>0</v>
      </c>
      <c r="AB85" s="27">
        <f t="shared" si="18"/>
        <v>0</v>
      </c>
      <c r="AC85" s="28" t="str">
        <f>IFERROR(VLOOKUP($I85&amp;"|"&amp;$A85,Table2[],2,FALSE),"")</f>
        <v/>
      </c>
      <c r="AD85" s="29" t="str">
        <f>IFERROR(VLOOKUP($I85&amp;"|"&amp;$A85,Table2[],3,FALSE),"")</f>
        <v/>
      </c>
      <c r="AE85" s="28">
        <f t="shared" si="19"/>
        <v>0</v>
      </c>
      <c r="AF85" s="28" t="str">
        <f t="shared" si="20"/>
        <v/>
      </c>
      <c r="AG85" s="30" t="str">
        <f t="shared" si="21"/>
        <v/>
      </c>
      <c r="AH85" s="28" t="str">
        <f>IFERROR(VLOOKUP($I85&amp;"|"&amp;$A85,Table2[],4,FALSE),"")</f>
        <v/>
      </c>
      <c r="AI85" s="28" t="str">
        <f t="shared" si="22"/>
        <v/>
      </c>
      <c r="AJ85" s="31">
        <f t="shared" si="23"/>
        <v>0</v>
      </c>
      <c r="AK85" s="32">
        <f t="shared" si="1"/>
        <v>0</v>
      </c>
      <c r="AL85" s="33">
        <f t="shared" si="24"/>
        <v>0</v>
      </c>
      <c r="AM85" s="31">
        <f t="shared" si="25"/>
        <v>0</v>
      </c>
      <c r="AN85" s="32">
        <f t="shared" si="2"/>
        <v>0</v>
      </c>
      <c r="AO85" s="33">
        <f t="shared" si="26"/>
        <v>0</v>
      </c>
    </row>
    <row r="86" spans="1:41" s="14" customFormat="1" ht="27" customHeight="1" x14ac:dyDescent="0.25">
      <c r="A86" s="102"/>
      <c r="B86" s="22">
        <f>IFERROR(IF(VLOOKUP(A86,Table3[],MATCH('2023 sintesi '!I86,Table3[#Headers],0),0)=0,IFERROR(VLOOKUP($A86,Table1[],2,FALSE),0),VLOOKUP(A86,Table3[],MATCH('2023 sintesi '!I86,Table3[#Headers],0),0)),0)</f>
        <v>0</v>
      </c>
      <c r="C86" s="23">
        <f>IFERROR(VLOOKUP($A86,Table1[],3,FALSE),0)</f>
        <v>0</v>
      </c>
      <c r="D86" s="102"/>
      <c r="E86" s="102"/>
      <c r="F86" s="108"/>
      <c r="G86" s="102"/>
      <c r="H86" s="102"/>
      <c r="I86" s="105"/>
      <c r="J86" s="106"/>
      <c r="K86" s="107"/>
      <c r="L86" s="35"/>
      <c r="M86" s="36"/>
      <c r="N86" s="36"/>
      <c r="O86" s="36"/>
      <c r="P86" s="36"/>
      <c r="Q86" s="36"/>
      <c r="R86" s="36"/>
      <c r="S86" s="36"/>
      <c r="T86" s="36"/>
      <c r="U86" s="36"/>
      <c r="V86" s="36"/>
      <c r="W86" s="36"/>
      <c r="X86" s="25">
        <f t="shared" si="15"/>
        <v>0</v>
      </c>
      <c r="Y86" s="26">
        <f t="shared" si="16"/>
        <v>0</v>
      </c>
      <c r="Z86" s="26"/>
      <c r="AA86" s="27">
        <f t="shared" si="17"/>
        <v>0</v>
      </c>
      <c r="AB86" s="27">
        <f t="shared" si="18"/>
        <v>0</v>
      </c>
      <c r="AC86" s="28" t="str">
        <f>IFERROR(VLOOKUP($I86&amp;"|"&amp;$A86,Table2[],2,FALSE),"")</f>
        <v/>
      </c>
      <c r="AD86" s="29" t="str">
        <f>IFERROR(VLOOKUP($I86&amp;"|"&amp;$A86,Table2[],3,FALSE),"")</f>
        <v/>
      </c>
      <c r="AE86" s="28">
        <f t="shared" si="19"/>
        <v>0</v>
      </c>
      <c r="AF86" s="28" t="str">
        <f t="shared" si="20"/>
        <v/>
      </c>
      <c r="AG86" s="30" t="str">
        <f t="shared" si="21"/>
        <v/>
      </c>
      <c r="AH86" s="28" t="str">
        <f>IFERROR(VLOOKUP($I86&amp;"|"&amp;$A86,Table2[],4,FALSE),"")</f>
        <v/>
      </c>
      <c r="AI86" s="28" t="str">
        <f t="shared" si="22"/>
        <v/>
      </c>
      <c r="AJ86" s="31">
        <f t="shared" si="23"/>
        <v>0</v>
      </c>
      <c r="AK86" s="32">
        <f t="shared" si="1"/>
        <v>0</v>
      </c>
      <c r="AL86" s="33">
        <f t="shared" si="24"/>
        <v>0</v>
      </c>
      <c r="AM86" s="31">
        <f t="shared" si="25"/>
        <v>0</v>
      </c>
      <c r="AN86" s="32">
        <f t="shared" si="2"/>
        <v>0</v>
      </c>
      <c r="AO86" s="33">
        <f t="shared" si="26"/>
        <v>0</v>
      </c>
    </row>
    <row r="87" spans="1:41" s="14" customFormat="1" ht="27" customHeight="1" x14ac:dyDescent="0.25">
      <c r="A87" s="102"/>
      <c r="B87" s="22">
        <f>IFERROR(IF(VLOOKUP(A87,Table3[],MATCH('2023 sintesi '!I87,Table3[#Headers],0),0)=0,IFERROR(VLOOKUP($A87,Table1[],2,FALSE),0),VLOOKUP(A87,Table3[],MATCH('2023 sintesi '!I87,Table3[#Headers],0),0)),0)</f>
        <v>0</v>
      </c>
      <c r="C87" s="23">
        <f>IFERROR(VLOOKUP($A87,Table1[],3,FALSE),0)</f>
        <v>0</v>
      </c>
      <c r="D87" s="102"/>
      <c r="E87" s="102"/>
      <c r="F87" s="104"/>
      <c r="G87" s="102"/>
      <c r="H87" s="102"/>
      <c r="I87" s="109"/>
      <c r="J87" s="106"/>
      <c r="K87" s="107"/>
      <c r="L87" s="35"/>
      <c r="M87" s="36"/>
      <c r="N87" s="36"/>
      <c r="O87" s="36"/>
      <c r="P87" s="36"/>
      <c r="Q87" s="36"/>
      <c r="R87" s="36"/>
      <c r="S87" s="36"/>
      <c r="T87" s="36"/>
      <c r="U87" s="36"/>
      <c r="V87" s="36"/>
      <c r="W87" s="36"/>
      <c r="X87" s="25">
        <f t="shared" si="15"/>
        <v>0</v>
      </c>
      <c r="Y87" s="26">
        <f t="shared" si="16"/>
        <v>0</v>
      </c>
      <c r="Z87" s="26"/>
      <c r="AA87" s="27">
        <f t="shared" si="17"/>
        <v>0</v>
      </c>
      <c r="AB87" s="27">
        <f t="shared" si="18"/>
        <v>0</v>
      </c>
      <c r="AC87" s="28" t="str">
        <f>IFERROR(VLOOKUP($I87&amp;"|"&amp;$A87,Table2[],2,FALSE),"")</f>
        <v/>
      </c>
      <c r="AD87" s="29" t="str">
        <f>IFERROR(VLOOKUP($I87&amp;"|"&amp;$A87,Table2[],3,FALSE),"")</f>
        <v/>
      </c>
      <c r="AE87" s="28">
        <f t="shared" si="19"/>
        <v>0</v>
      </c>
      <c r="AF87" s="28" t="str">
        <f t="shared" si="20"/>
        <v/>
      </c>
      <c r="AG87" s="30" t="str">
        <f t="shared" si="21"/>
        <v/>
      </c>
      <c r="AH87" s="28" t="str">
        <f>IFERROR(VLOOKUP($I87&amp;"|"&amp;$A87,Table2[],4,FALSE),"")</f>
        <v/>
      </c>
      <c r="AI87" s="28" t="str">
        <f t="shared" si="22"/>
        <v/>
      </c>
      <c r="AJ87" s="31">
        <f t="shared" si="23"/>
        <v>0</v>
      </c>
      <c r="AK87" s="32">
        <f t="shared" si="1"/>
        <v>0</v>
      </c>
      <c r="AL87" s="33">
        <f t="shared" si="24"/>
        <v>0</v>
      </c>
      <c r="AM87" s="31">
        <f t="shared" si="25"/>
        <v>0</v>
      </c>
      <c r="AN87" s="32">
        <f t="shared" si="2"/>
        <v>0</v>
      </c>
      <c r="AO87" s="33">
        <f t="shared" si="26"/>
        <v>0</v>
      </c>
    </row>
    <row r="88" spans="1:41" s="14" customFormat="1" ht="27" customHeight="1" x14ac:dyDescent="0.25">
      <c r="A88" s="102"/>
      <c r="B88" s="22">
        <f>IFERROR(IF(VLOOKUP(A88,Table3[],MATCH('2023 sintesi '!I88,Table3[#Headers],0),0)=0,IFERROR(VLOOKUP($A88,Table1[],2,FALSE),0),VLOOKUP(A88,Table3[],MATCH('2023 sintesi '!I88,Table3[#Headers],0),0)),0)</f>
        <v>0</v>
      </c>
      <c r="C88" s="23">
        <f>IFERROR(VLOOKUP($A88,Table1[],3,FALSE),0)</f>
        <v>0</v>
      </c>
      <c r="D88" s="102"/>
      <c r="E88" s="102"/>
      <c r="F88" s="104"/>
      <c r="G88" s="102"/>
      <c r="H88" s="102"/>
      <c r="I88" s="109"/>
      <c r="J88" s="106"/>
      <c r="K88" s="107"/>
      <c r="L88" s="35"/>
      <c r="M88" s="36"/>
      <c r="N88" s="36"/>
      <c r="O88" s="36"/>
      <c r="P88" s="36"/>
      <c r="Q88" s="36"/>
      <c r="R88" s="36"/>
      <c r="S88" s="36"/>
      <c r="T88" s="36"/>
      <c r="U88" s="36"/>
      <c r="V88" s="36"/>
      <c r="W88" s="36"/>
      <c r="X88" s="25">
        <f t="shared" si="15"/>
        <v>0</v>
      </c>
      <c r="Y88" s="26">
        <f t="shared" si="16"/>
        <v>0</v>
      </c>
      <c r="Z88" s="26"/>
      <c r="AA88" s="27">
        <f t="shared" si="17"/>
        <v>0</v>
      </c>
      <c r="AB88" s="27">
        <f t="shared" si="18"/>
        <v>0</v>
      </c>
      <c r="AC88" s="28" t="str">
        <f>IFERROR(VLOOKUP($I88&amp;"|"&amp;$A88,Table2[],2,FALSE),"")</f>
        <v/>
      </c>
      <c r="AD88" s="29" t="str">
        <f>IFERROR(VLOOKUP($I88&amp;"|"&amp;$A88,Table2[],3,FALSE),"")</f>
        <v/>
      </c>
      <c r="AE88" s="28">
        <f t="shared" si="19"/>
        <v>0</v>
      </c>
      <c r="AF88" s="28" t="str">
        <f t="shared" si="20"/>
        <v/>
      </c>
      <c r="AG88" s="30" t="str">
        <f t="shared" si="21"/>
        <v/>
      </c>
      <c r="AH88" s="28" t="str">
        <f>IFERROR(VLOOKUP($I88&amp;"|"&amp;$A88,Table2[],4,FALSE),"")</f>
        <v/>
      </c>
      <c r="AI88" s="28" t="str">
        <f t="shared" si="22"/>
        <v/>
      </c>
      <c r="AJ88" s="31">
        <f t="shared" si="23"/>
        <v>0</v>
      </c>
      <c r="AK88" s="32">
        <f t="shared" si="1"/>
        <v>0</v>
      </c>
      <c r="AL88" s="33">
        <f t="shared" si="24"/>
        <v>0</v>
      </c>
      <c r="AM88" s="31">
        <f t="shared" si="25"/>
        <v>0</v>
      </c>
      <c r="AN88" s="32">
        <f t="shared" si="2"/>
        <v>0</v>
      </c>
      <c r="AO88" s="33">
        <f t="shared" si="26"/>
        <v>0</v>
      </c>
    </row>
    <row r="89" spans="1:41" s="14" customFormat="1" ht="27" customHeight="1" x14ac:dyDescent="0.25">
      <c r="A89" s="102"/>
      <c r="B89" s="22">
        <f>IFERROR(IF(VLOOKUP(A89,Table3[],MATCH('2023 sintesi '!I89,Table3[#Headers],0),0)=0,IFERROR(VLOOKUP($A89,Table1[],2,FALSE),0),VLOOKUP(A89,Table3[],MATCH('2023 sintesi '!I89,Table3[#Headers],0),0)),0)</f>
        <v>0</v>
      </c>
      <c r="C89" s="23">
        <f>IFERROR(VLOOKUP($A89,Table1[],3,FALSE),0)</f>
        <v>0</v>
      </c>
      <c r="D89" s="102"/>
      <c r="E89" s="102"/>
      <c r="F89" s="108"/>
      <c r="G89" s="102"/>
      <c r="H89" s="102"/>
      <c r="I89" s="105"/>
      <c r="J89" s="106"/>
      <c r="K89" s="107"/>
      <c r="L89" s="35"/>
      <c r="M89" s="35"/>
      <c r="N89" s="35"/>
      <c r="O89" s="35"/>
      <c r="P89" s="35"/>
      <c r="Q89" s="35"/>
      <c r="R89" s="35"/>
      <c r="S89" s="35"/>
      <c r="T89" s="35"/>
      <c r="U89" s="35"/>
      <c r="V89" s="35"/>
      <c r="W89" s="35"/>
      <c r="X89" s="25">
        <f t="shared" si="15"/>
        <v>0</v>
      </c>
      <c r="Y89" s="26">
        <f t="shared" si="16"/>
        <v>0</v>
      </c>
      <c r="Z89" s="26"/>
      <c r="AA89" s="27">
        <f t="shared" si="17"/>
        <v>0</v>
      </c>
      <c r="AB89" s="27">
        <f t="shared" si="18"/>
        <v>0</v>
      </c>
      <c r="AC89" s="28" t="str">
        <f>IFERROR(VLOOKUP($I89&amp;"|"&amp;$A89,Table2[],2,FALSE),"")</f>
        <v/>
      </c>
      <c r="AD89" s="29" t="str">
        <f>IFERROR(VLOOKUP($I89&amp;"|"&amp;$A89,Table2[],3,FALSE),"")</f>
        <v/>
      </c>
      <c r="AE89" s="28">
        <f t="shared" si="19"/>
        <v>0</v>
      </c>
      <c r="AF89" s="28" t="str">
        <f t="shared" si="20"/>
        <v/>
      </c>
      <c r="AG89" s="30" t="str">
        <f t="shared" si="21"/>
        <v/>
      </c>
      <c r="AH89" s="28" t="str">
        <f>IFERROR(VLOOKUP($I89&amp;"|"&amp;$A89,Table2[],4,FALSE),"")</f>
        <v/>
      </c>
      <c r="AI89" s="28" t="str">
        <f t="shared" si="22"/>
        <v/>
      </c>
      <c r="AJ89" s="31">
        <f t="shared" si="23"/>
        <v>0</v>
      </c>
      <c r="AK89" s="32">
        <f t="shared" ref="AK89:AK152" si="27">$AJ89*$B89</f>
        <v>0</v>
      </c>
      <c r="AL89" s="33">
        <f t="shared" si="24"/>
        <v>0</v>
      </c>
      <c r="AM89" s="31">
        <f t="shared" si="25"/>
        <v>0</v>
      </c>
      <c r="AN89" s="32">
        <f t="shared" ref="AN89:AN152" si="28">$AM89*$B89</f>
        <v>0</v>
      </c>
      <c r="AO89" s="33">
        <f t="shared" si="26"/>
        <v>0</v>
      </c>
    </row>
    <row r="90" spans="1:41" s="14" customFormat="1" ht="27" customHeight="1" x14ac:dyDescent="0.25">
      <c r="A90" s="102"/>
      <c r="B90" s="22">
        <f>IFERROR(IF(VLOOKUP(A90,Table3[],MATCH('2023 sintesi '!I90,Table3[#Headers],0),0)=0,IFERROR(VLOOKUP($A90,Table1[],2,FALSE),0),VLOOKUP(A90,Table3[],MATCH('2023 sintesi '!I90,Table3[#Headers],0),0)),0)</f>
        <v>0</v>
      </c>
      <c r="C90" s="23">
        <f>IFERROR(VLOOKUP($A90,Table1[],3,FALSE),0)</f>
        <v>0</v>
      </c>
      <c r="D90" s="102"/>
      <c r="E90" s="102"/>
      <c r="F90" s="108"/>
      <c r="G90" s="102"/>
      <c r="H90" s="102"/>
      <c r="I90" s="105"/>
      <c r="J90" s="106"/>
      <c r="K90" s="107"/>
      <c r="L90" s="35"/>
      <c r="M90" s="35"/>
      <c r="N90" s="35"/>
      <c r="O90" s="35"/>
      <c r="P90" s="35"/>
      <c r="Q90" s="35"/>
      <c r="R90" s="35"/>
      <c r="S90" s="35"/>
      <c r="T90" s="35"/>
      <c r="U90" s="35"/>
      <c r="V90" s="35"/>
      <c r="W90" s="35"/>
      <c r="X90" s="25">
        <f t="shared" si="15"/>
        <v>0</v>
      </c>
      <c r="Y90" s="26">
        <f t="shared" si="16"/>
        <v>0</v>
      </c>
      <c r="Z90" s="26"/>
      <c r="AA90" s="27">
        <f t="shared" si="17"/>
        <v>0</v>
      </c>
      <c r="AB90" s="27">
        <f t="shared" si="18"/>
        <v>0</v>
      </c>
      <c r="AC90" s="28" t="str">
        <f>IFERROR(VLOOKUP($I90&amp;"|"&amp;$A90,Table2[],2,FALSE),"")</f>
        <v/>
      </c>
      <c r="AD90" s="29" t="str">
        <f>IFERROR(VLOOKUP($I90&amp;"|"&amp;$A90,Table2[],3,FALSE),"")</f>
        <v/>
      </c>
      <c r="AE90" s="28">
        <f t="shared" si="19"/>
        <v>0</v>
      </c>
      <c r="AF90" s="28" t="str">
        <f t="shared" si="20"/>
        <v/>
      </c>
      <c r="AG90" s="30" t="str">
        <f t="shared" si="21"/>
        <v/>
      </c>
      <c r="AH90" s="28" t="str">
        <f>IFERROR(VLOOKUP($I90&amp;"|"&amp;$A90,Table2[],4,FALSE),"")</f>
        <v/>
      </c>
      <c r="AI90" s="28" t="str">
        <f t="shared" si="22"/>
        <v/>
      </c>
      <c r="AJ90" s="31">
        <f t="shared" si="23"/>
        <v>0</v>
      </c>
      <c r="AK90" s="32">
        <f t="shared" si="27"/>
        <v>0</v>
      </c>
      <c r="AL90" s="33">
        <f t="shared" si="24"/>
        <v>0</v>
      </c>
      <c r="AM90" s="31">
        <f t="shared" si="25"/>
        <v>0</v>
      </c>
      <c r="AN90" s="32">
        <f t="shared" si="28"/>
        <v>0</v>
      </c>
      <c r="AO90" s="33">
        <f t="shared" si="26"/>
        <v>0</v>
      </c>
    </row>
    <row r="91" spans="1:41" s="14" customFormat="1" ht="27" customHeight="1" x14ac:dyDescent="0.25">
      <c r="A91" s="102"/>
      <c r="B91" s="22">
        <f>IFERROR(IF(VLOOKUP(A91,Table3[],MATCH('2023 sintesi '!I91,Table3[#Headers],0),0)=0,IFERROR(VLOOKUP($A91,Table1[],2,FALSE),0),VLOOKUP(A91,Table3[],MATCH('2023 sintesi '!I91,Table3[#Headers],0),0)),0)</f>
        <v>0</v>
      </c>
      <c r="C91" s="23">
        <f>IFERROR(VLOOKUP($A91,Table1[],3,FALSE),0)</f>
        <v>0</v>
      </c>
      <c r="D91" s="102"/>
      <c r="E91" s="102"/>
      <c r="F91" s="104"/>
      <c r="G91" s="102"/>
      <c r="H91" s="102"/>
      <c r="I91" s="109"/>
      <c r="J91" s="106"/>
      <c r="K91" s="107"/>
      <c r="L91" s="35"/>
      <c r="M91" s="35"/>
      <c r="N91" s="35"/>
      <c r="O91" s="35"/>
      <c r="P91" s="35"/>
      <c r="Q91" s="35"/>
      <c r="R91" s="35"/>
      <c r="S91" s="35"/>
      <c r="T91" s="35"/>
      <c r="U91" s="35"/>
      <c r="V91" s="35"/>
      <c r="W91" s="35"/>
      <c r="X91" s="25">
        <f t="shared" si="15"/>
        <v>0</v>
      </c>
      <c r="Y91" s="26">
        <f t="shared" si="16"/>
        <v>0</v>
      </c>
      <c r="Z91" s="26"/>
      <c r="AA91" s="27">
        <f t="shared" si="17"/>
        <v>0</v>
      </c>
      <c r="AB91" s="27">
        <f t="shared" si="18"/>
        <v>0</v>
      </c>
      <c r="AC91" s="28" t="str">
        <f>IFERROR(VLOOKUP($I91&amp;"|"&amp;$A91,Table2[],2,FALSE),"")</f>
        <v/>
      </c>
      <c r="AD91" s="29" t="str">
        <f>IFERROR(VLOOKUP($I91&amp;"|"&amp;$A91,Table2[],3,FALSE),"")</f>
        <v/>
      </c>
      <c r="AE91" s="28">
        <f t="shared" si="19"/>
        <v>0</v>
      </c>
      <c r="AF91" s="28" t="str">
        <f t="shared" si="20"/>
        <v/>
      </c>
      <c r="AG91" s="30" t="str">
        <f t="shared" si="21"/>
        <v/>
      </c>
      <c r="AH91" s="28" t="str">
        <f>IFERROR(VLOOKUP($I91&amp;"|"&amp;$A91,Table2[],4,FALSE),"")</f>
        <v/>
      </c>
      <c r="AI91" s="28" t="str">
        <f t="shared" si="22"/>
        <v/>
      </c>
      <c r="AJ91" s="31">
        <f t="shared" si="23"/>
        <v>0</v>
      </c>
      <c r="AK91" s="32">
        <f t="shared" si="27"/>
        <v>0</v>
      </c>
      <c r="AL91" s="33">
        <f t="shared" si="24"/>
        <v>0</v>
      </c>
      <c r="AM91" s="31">
        <f t="shared" si="25"/>
        <v>0</v>
      </c>
      <c r="AN91" s="32">
        <f t="shared" si="28"/>
        <v>0</v>
      </c>
      <c r="AO91" s="33">
        <f t="shared" si="26"/>
        <v>0</v>
      </c>
    </row>
    <row r="92" spans="1:41" s="14" customFormat="1" ht="27" customHeight="1" x14ac:dyDescent="0.25">
      <c r="A92" s="102"/>
      <c r="B92" s="22">
        <f>IFERROR(IF(VLOOKUP(A92,Table3[],MATCH('2023 sintesi '!I92,Table3[#Headers],0),0)=0,IFERROR(VLOOKUP($A92,Table1[],2,FALSE),0),VLOOKUP(A92,Table3[],MATCH('2023 sintesi '!I92,Table3[#Headers],0),0)),0)</f>
        <v>0</v>
      </c>
      <c r="C92" s="23">
        <f>IFERROR(VLOOKUP($A92,Table1[],3,FALSE),0)</f>
        <v>0</v>
      </c>
      <c r="D92" s="102"/>
      <c r="E92" s="102"/>
      <c r="F92" s="108"/>
      <c r="G92" s="102"/>
      <c r="H92" s="102"/>
      <c r="I92" s="105"/>
      <c r="J92" s="106"/>
      <c r="K92" s="107"/>
      <c r="L92" s="35"/>
      <c r="M92" s="35"/>
      <c r="N92" s="35"/>
      <c r="O92" s="35"/>
      <c r="P92" s="35"/>
      <c r="Q92" s="35"/>
      <c r="R92" s="35"/>
      <c r="S92" s="35"/>
      <c r="T92" s="35"/>
      <c r="U92" s="35"/>
      <c r="V92" s="35"/>
      <c r="W92" s="35"/>
      <c r="X92" s="25">
        <f t="shared" si="15"/>
        <v>0</v>
      </c>
      <c r="Y92" s="26">
        <f t="shared" si="16"/>
        <v>0</v>
      </c>
      <c r="Z92" s="26"/>
      <c r="AA92" s="27">
        <f t="shared" si="17"/>
        <v>0</v>
      </c>
      <c r="AB92" s="27">
        <f t="shared" si="18"/>
        <v>0</v>
      </c>
      <c r="AC92" s="28" t="str">
        <f>IFERROR(VLOOKUP($I92&amp;"|"&amp;$A92,Table2[],2,FALSE),"")</f>
        <v/>
      </c>
      <c r="AD92" s="29" t="str">
        <f>IFERROR(VLOOKUP($I92&amp;"|"&amp;$A92,Table2[],3,FALSE),"")</f>
        <v/>
      </c>
      <c r="AE92" s="28">
        <f t="shared" si="19"/>
        <v>0</v>
      </c>
      <c r="AF92" s="28" t="str">
        <f t="shared" si="20"/>
        <v/>
      </c>
      <c r="AG92" s="30" t="str">
        <f t="shared" si="21"/>
        <v/>
      </c>
      <c r="AH92" s="28" t="str">
        <f>IFERROR(VLOOKUP($I92&amp;"|"&amp;$A92,Table2[],4,FALSE),"")</f>
        <v/>
      </c>
      <c r="AI92" s="28" t="str">
        <f t="shared" si="22"/>
        <v/>
      </c>
      <c r="AJ92" s="31">
        <f t="shared" si="23"/>
        <v>0</v>
      </c>
      <c r="AK92" s="32">
        <f t="shared" si="27"/>
        <v>0</v>
      </c>
      <c r="AL92" s="33">
        <f t="shared" si="24"/>
        <v>0</v>
      </c>
      <c r="AM92" s="31">
        <f t="shared" si="25"/>
        <v>0</v>
      </c>
      <c r="AN92" s="32">
        <f t="shared" si="28"/>
        <v>0</v>
      </c>
      <c r="AO92" s="33">
        <f t="shared" si="26"/>
        <v>0</v>
      </c>
    </row>
    <row r="93" spans="1:41" s="14" customFormat="1" ht="27" customHeight="1" x14ac:dyDescent="0.25">
      <c r="A93" s="102"/>
      <c r="B93" s="22">
        <f>IFERROR(IF(VLOOKUP(A93,Table3[],MATCH('2023 sintesi '!I93,Table3[#Headers],0),0)=0,IFERROR(VLOOKUP($A93,Table1[],2,FALSE),0),VLOOKUP(A93,Table3[],MATCH('2023 sintesi '!I93,Table3[#Headers],0),0)),0)</f>
        <v>0</v>
      </c>
      <c r="C93" s="23">
        <f>IFERROR(VLOOKUP($A93,Table1[],3,FALSE),0)</f>
        <v>0</v>
      </c>
      <c r="D93" s="102"/>
      <c r="E93" s="102"/>
      <c r="F93" s="108"/>
      <c r="G93" s="102"/>
      <c r="H93" s="102"/>
      <c r="I93" s="105"/>
      <c r="J93" s="106"/>
      <c r="K93" s="107"/>
      <c r="L93" s="35"/>
      <c r="M93" s="35"/>
      <c r="N93" s="35"/>
      <c r="O93" s="35"/>
      <c r="P93" s="35"/>
      <c r="Q93" s="35"/>
      <c r="R93" s="35"/>
      <c r="S93" s="35"/>
      <c r="T93" s="35"/>
      <c r="U93" s="35"/>
      <c r="V93" s="35"/>
      <c r="W93" s="35"/>
      <c r="X93" s="25">
        <f t="shared" si="15"/>
        <v>0</v>
      </c>
      <c r="Y93" s="26">
        <f t="shared" si="16"/>
        <v>0</v>
      </c>
      <c r="Z93" s="26"/>
      <c r="AA93" s="27">
        <f t="shared" si="17"/>
        <v>0</v>
      </c>
      <c r="AB93" s="27">
        <f t="shared" si="18"/>
        <v>0</v>
      </c>
      <c r="AC93" s="28" t="str">
        <f>IFERROR(VLOOKUP($I93&amp;"|"&amp;$A93,Table2[],2,FALSE),"")</f>
        <v/>
      </c>
      <c r="AD93" s="29" t="str">
        <f>IFERROR(VLOOKUP($I93&amp;"|"&amp;$A93,Table2[],3,FALSE),"")</f>
        <v/>
      </c>
      <c r="AE93" s="28">
        <f t="shared" si="19"/>
        <v>0</v>
      </c>
      <c r="AF93" s="28" t="str">
        <f t="shared" si="20"/>
        <v/>
      </c>
      <c r="AG93" s="30" t="str">
        <f t="shared" si="21"/>
        <v/>
      </c>
      <c r="AH93" s="28" t="str">
        <f>IFERROR(VLOOKUP($I93&amp;"|"&amp;$A93,Table2[],4,FALSE),"")</f>
        <v/>
      </c>
      <c r="AI93" s="28" t="str">
        <f t="shared" si="22"/>
        <v/>
      </c>
      <c r="AJ93" s="31">
        <f t="shared" si="23"/>
        <v>0</v>
      </c>
      <c r="AK93" s="32">
        <f t="shared" si="27"/>
        <v>0</v>
      </c>
      <c r="AL93" s="33">
        <f t="shared" si="24"/>
        <v>0</v>
      </c>
      <c r="AM93" s="31">
        <f t="shared" si="25"/>
        <v>0</v>
      </c>
      <c r="AN93" s="32">
        <f t="shared" si="28"/>
        <v>0</v>
      </c>
      <c r="AO93" s="33">
        <f t="shared" si="26"/>
        <v>0</v>
      </c>
    </row>
    <row r="94" spans="1:41" s="14" customFormat="1" ht="27" customHeight="1" x14ac:dyDescent="0.25">
      <c r="A94" s="102"/>
      <c r="B94" s="22">
        <f>IFERROR(IF(VLOOKUP(A94,Table3[],MATCH('2023 sintesi '!I94,Table3[#Headers],0),0)=0,IFERROR(VLOOKUP($A94,Table1[],2,FALSE),0),VLOOKUP(A94,Table3[],MATCH('2023 sintesi '!I94,Table3[#Headers],0),0)),0)</f>
        <v>0</v>
      </c>
      <c r="C94" s="23">
        <f>IFERROR(VLOOKUP($A94,Table1[],3,FALSE),0)</f>
        <v>0</v>
      </c>
      <c r="D94" s="102"/>
      <c r="E94" s="102"/>
      <c r="F94" s="108"/>
      <c r="G94" s="102"/>
      <c r="H94" s="102"/>
      <c r="I94" s="105"/>
      <c r="J94" s="106"/>
      <c r="K94" s="107"/>
      <c r="L94" s="35"/>
      <c r="M94" s="35"/>
      <c r="N94" s="35"/>
      <c r="O94" s="35"/>
      <c r="P94" s="35"/>
      <c r="Q94" s="35"/>
      <c r="R94" s="35"/>
      <c r="S94" s="35"/>
      <c r="T94" s="35"/>
      <c r="U94" s="35"/>
      <c r="V94" s="35"/>
      <c r="W94" s="35"/>
      <c r="X94" s="25">
        <f t="shared" si="15"/>
        <v>0</v>
      </c>
      <c r="Y94" s="26">
        <f t="shared" si="16"/>
        <v>0</v>
      </c>
      <c r="Z94" s="26"/>
      <c r="AA94" s="27">
        <f t="shared" si="17"/>
        <v>0</v>
      </c>
      <c r="AB94" s="27">
        <f t="shared" si="18"/>
        <v>0</v>
      </c>
      <c r="AC94" s="28" t="str">
        <f>IFERROR(VLOOKUP($I94&amp;"|"&amp;$A94,Table2[],2,FALSE),"")</f>
        <v/>
      </c>
      <c r="AD94" s="29" t="str">
        <f>IFERROR(VLOOKUP($I94&amp;"|"&amp;$A94,Table2[],3,FALSE),"")</f>
        <v/>
      </c>
      <c r="AE94" s="28">
        <f t="shared" si="19"/>
        <v>0</v>
      </c>
      <c r="AF94" s="28" t="str">
        <f t="shared" si="20"/>
        <v/>
      </c>
      <c r="AG94" s="30" t="str">
        <f t="shared" si="21"/>
        <v/>
      </c>
      <c r="AH94" s="28" t="str">
        <f>IFERROR(VLOOKUP($I94&amp;"|"&amp;$A94,Table2[],4,FALSE),"")</f>
        <v/>
      </c>
      <c r="AI94" s="28" t="str">
        <f t="shared" si="22"/>
        <v/>
      </c>
      <c r="AJ94" s="31">
        <f t="shared" si="23"/>
        <v>0</v>
      </c>
      <c r="AK94" s="32">
        <f t="shared" si="27"/>
        <v>0</v>
      </c>
      <c r="AL94" s="33">
        <f t="shared" si="24"/>
        <v>0</v>
      </c>
      <c r="AM94" s="31">
        <f t="shared" si="25"/>
        <v>0</v>
      </c>
      <c r="AN94" s="32">
        <f t="shared" si="28"/>
        <v>0</v>
      </c>
      <c r="AO94" s="33">
        <f t="shared" si="26"/>
        <v>0</v>
      </c>
    </row>
    <row r="95" spans="1:41" s="14" customFormat="1" ht="27" customHeight="1" x14ac:dyDescent="0.25">
      <c r="A95" s="102"/>
      <c r="B95" s="22">
        <f>IFERROR(IF(VLOOKUP(A95,Table3[],MATCH('2023 sintesi '!I95,Table3[#Headers],0),0)=0,IFERROR(VLOOKUP($A95,Table1[],2,FALSE),0),VLOOKUP(A95,Table3[],MATCH('2023 sintesi '!I95,Table3[#Headers],0),0)),0)</f>
        <v>0</v>
      </c>
      <c r="C95" s="23">
        <f>IFERROR(VLOOKUP($A95,Table1[],3,FALSE),0)</f>
        <v>0</v>
      </c>
      <c r="D95" s="102"/>
      <c r="E95" s="102"/>
      <c r="F95" s="108"/>
      <c r="G95" s="102"/>
      <c r="H95" s="102"/>
      <c r="I95" s="105"/>
      <c r="J95" s="106"/>
      <c r="K95" s="107"/>
      <c r="L95" s="35"/>
      <c r="M95" s="35"/>
      <c r="N95" s="35"/>
      <c r="O95" s="35"/>
      <c r="P95" s="35"/>
      <c r="Q95" s="35"/>
      <c r="R95" s="35"/>
      <c r="S95" s="35"/>
      <c r="T95" s="35"/>
      <c r="U95" s="35"/>
      <c r="V95" s="35"/>
      <c r="W95" s="35"/>
      <c r="X95" s="25">
        <f t="shared" si="15"/>
        <v>0</v>
      </c>
      <c r="Y95" s="26">
        <f t="shared" si="16"/>
        <v>0</v>
      </c>
      <c r="Z95" s="26"/>
      <c r="AA95" s="27">
        <f t="shared" si="17"/>
        <v>0</v>
      </c>
      <c r="AB95" s="27">
        <f t="shared" si="18"/>
        <v>0</v>
      </c>
      <c r="AC95" s="28" t="str">
        <f>IFERROR(VLOOKUP($I95&amp;"|"&amp;$A95,Table2[],2,FALSE),"")</f>
        <v/>
      </c>
      <c r="AD95" s="29" t="str">
        <f>IFERROR(VLOOKUP($I95&amp;"|"&amp;$A95,Table2[],3,FALSE),"")</f>
        <v/>
      </c>
      <c r="AE95" s="28">
        <f t="shared" si="19"/>
        <v>0</v>
      </c>
      <c r="AF95" s="28" t="str">
        <f t="shared" si="20"/>
        <v/>
      </c>
      <c r="AG95" s="30" t="str">
        <f t="shared" si="21"/>
        <v/>
      </c>
      <c r="AH95" s="28" t="str">
        <f>IFERROR(VLOOKUP($I95&amp;"|"&amp;$A95,Table2[],4,FALSE),"")</f>
        <v/>
      </c>
      <c r="AI95" s="28" t="str">
        <f t="shared" si="22"/>
        <v/>
      </c>
      <c r="AJ95" s="31">
        <f t="shared" si="23"/>
        <v>0</v>
      </c>
      <c r="AK95" s="32">
        <f t="shared" si="27"/>
        <v>0</v>
      </c>
      <c r="AL95" s="33">
        <f t="shared" si="24"/>
        <v>0</v>
      </c>
      <c r="AM95" s="31">
        <f t="shared" si="25"/>
        <v>0</v>
      </c>
      <c r="AN95" s="32">
        <f t="shared" si="28"/>
        <v>0</v>
      </c>
      <c r="AO95" s="33">
        <f t="shared" si="26"/>
        <v>0</v>
      </c>
    </row>
    <row r="96" spans="1:41" s="14" customFormat="1" ht="27" customHeight="1" x14ac:dyDescent="0.25">
      <c r="A96" s="102"/>
      <c r="B96" s="22">
        <f>IFERROR(IF(VLOOKUP(A96,Table3[],MATCH('2023 sintesi '!I96,Table3[#Headers],0),0)=0,IFERROR(VLOOKUP($A96,Table1[],2,FALSE),0),VLOOKUP(A96,Table3[],MATCH('2023 sintesi '!I96,Table3[#Headers],0),0)),0)</f>
        <v>0</v>
      </c>
      <c r="C96" s="23">
        <f>IFERROR(VLOOKUP($A96,Table1[],3,FALSE),0)</f>
        <v>0</v>
      </c>
      <c r="D96" s="102"/>
      <c r="E96" s="102"/>
      <c r="F96" s="108"/>
      <c r="G96" s="102"/>
      <c r="H96" s="102"/>
      <c r="I96" s="105"/>
      <c r="J96" s="106"/>
      <c r="K96" s="107"/>
      <c r="L96" s="35"/>
      <c r="M96" s="35"/>
      <c r="N96" s="35"/>
      <c r="O96" s="35"/>
      <c r="P96" s="35"/>
      <c r="Q96" s="35"/>
      <c r="R96" s="35"/>
      <c r="S96" s="35"/>
      <c r="T96" s="35"/>
      <c r="U96" s="35"/>
      <c r="V96" s="35"/>
      <c r="W96" s="35"/>
      <c r="X96" s="25">
        <f t="shared" si="15"/>
        <v>0</v>
      </c>
      <c r="Y96" s="26">
        <f t="shared" si="16"/>
        <v>0</v>
      </c>
      <c r="Z96" s="26"/>
      <c r="AA96" s="27">
        <f t="shared" si="17"/>
        <v>0</v>
      </c>
      <c r="AB96" s="27">
        <f t="shared" si="18"/>
        <v>0</v>
      </c>
      <c r="AC96" s="28" t="str">
        <f>IFERROR(VLOOKUP($I96&amp;"|"&amp;$A96,Table2[],2,FALSE),"")</f>
        <v/>
      </c>
      <c r="AD96" s="29" t="str">
        <f>IFERROR(VLOOKUP($I96&amp;"|"&amp;$A96,Table2[],3,FALSE),"")</f>
        <v/>
      </c>
      <c r="AE96" s="28">
        <f t="shared" si="19"/>
        <v>0</v>
      </c>
      <c r="AF96" s="28" t="str">
        <f t="shared" si="20"/>
        <v/>
      </c>
      <c r="AG96" s="30" t="str">
        <f t="shared" si="21"/>
        <v/>
      </c>
      <c r="AH96" s="28" t="str">
        <f>IFERROR(VLOOKUP($I96&amp;"|"&amp;$A96,Table2[],4,FALSE),"")</f>
        <v/>
      </c>
      <c r="AI96" s="28" t="str">
        <f t="shared" si="22"/>
        <v/>
      </c>
      <c r="AJ96" s="31">
        <f t="shared" si="23"/>
        <v>0</v>
      </c>
      <c r="AK96" s="32">
        <f t="shared" si="27"/>
        <v>0</v>
      </c>
      <c r="AL96" s="33">
        <f t="shared" si="24"/>
        <v>0</v>
      </c>
      <c r="AM96" s="31">
        <f t="shared" si="25"/>
        <v>0</v>
      </c>
      <c r="AN96" s="32">
        <f t="shared" si="28"/>
        <v>0</v>
      </c>
      <c r="AO96" s="33">
        <f t="shared" si="26"/>
        <v>0</v>
      </c>
    </row>
    <row r="97" spans="1:41" s="14" customFormat="1" ht="27" customHeight="1" x14ac:dyDescent="0.25">
      <c r="A97" s="102"/>
      <c r="B97" s="22">
        <f>IFERROR(IF(VLOOKUP(A97,Table3[],MATCH('2023 sintesi '!I97,Table3[#Headers],0),0)=0,IFERROR(VLOOKUP($A97,Table1[],2,FALSE),0),VLOOKUP(A97,Table3[],MATCH('2023 sintesi '!I97,Table3[#Headers],0),0)),0)</f>
        <v>0</v>
      </c>
      <c r="C97" s="23">
        <f>IFERROR(VLOOKUP($A97,Table1[],3,FALSE),0)</f>
        <v>0</v>
      </c>
      <c r="D97" s="102"/>
      <c r="E97" s="102"/>
      <c r="F97" s="108"/>
      <c r="G97" s="102"/>
      <c r="H97" s="102"/>
      <c r="I97" s="105"/>
      <c r="J97" s="106"/>
      <c r="K97" s="107"/>
      <c r="L97" s="44"/>
      <c r="M97" s="44"/>
      <c r="N97" s="44"/>
      <c r="O97" s="44"/>
      <c r="P97" s="44"/>
      <c r="Q97" s="44"/>
      <c r="R97" s="44"/>
      <c r="S97" s="44"/>
      <c r="T97" s="44"/>
      <c r="U97" s="44"/>
      <c r="V97" s="44"/>
      <c r="W97" s="44"/>
      <c r="X97" s="25">
        <f t="shared" si="15"/>
        <v>0</v>
      </c>
      <c r="Y97" s="26">
        <f t="shared" si="16"/>
        <v>0</v>
      </c>
      <c r="Z97" s="26"/>
      <c r="AA97" s="27">
        <f t="shared" si="17"/>
        <v>0</v>
      </c>
      <c r="AB97" s="27">
        <f t="shared" si="18"/>
        <v>0</v>
      </c>
      <c r="AC97" s="28" t="str">
        <f>IFERROR(VLOOKUP($I97&amp;"|"&amp;$A97,Table2[],2,FALSE),"")</f>
        <v/>
      </c>
      <c r="AD97" s="29" t="str">
        <f>IFERROR(VLOOKUP($I97&amp;"|"&amp;$A97,Table2[],3,FALSE),"")</f>
        <v/>
      </c>
      <c r="AE97" s="28">
        <f t="shared" si="19"/>
        <v>0</v>
      </c>
      <c r="AF97" s="28" t="str">
        <f t="shared" si="20"/>
        <v/>
      </c>
      <c r="AG97" s="30" t="str">
        <f t="shared" si="21"/>
        <v/>
      </c>
      <c r="AH97" s="28" t="str">
        <f>IFERROR(VLOOKUP($I97&amp;"|"&amp;$A97,Table2[],4,FALSE),"")</f>
        <v/>
      </c>
      <c r="AI97" s="28" t="str">
        <f t="shared" si="22"/>
        <v/>
      </c>
      <c r="AJ97" s="31">
        <f t="shared" si="23"/>
        <v>0</v>
      </c>
      <c r="AK97" s="32">
        <f t="shared" si="27"/>
        <v>0</v>
      </c>
      <c r="AL97" s="33">
        <f t="shared" si="24"/>
        <v>0</v>
      </c>
      <c r="AM97" s="31">
        <f t="shared" si="25"/>
        <v>0</v>
      </c>
      <c r="AN97" s="32">
        <f t="shared" si="28"/>
        <v>0</v>
      </c>
      <c r="AO97" s="33">
        <f t="shared" si="26"/>
        <v>0</v>
      </c>
    </row>
    <row r="98" spans="1:41" s="14" customFormat="1" ht="27" customHeight="1" x14ac:dyDescent="0.25">
      <c r="A98" s="102"/>
      <c r="B98" s="22">
        <f>IFERROR(IF(VLOOKUP(A98,Table3[],MATCH('2023 sintesi '!I98,Table3[#Headers],0),0)=0,IFERROR(VLOOKUP($A98,Table1[],2,FALSE),0),VLOOKUP(A98,Table3[],MATCH('2023 sintesi '!I98,Table3[#Headers],0),0)),0)</f>
        <v>0</v>
      </c>
      <c r="C98" s="23">
        <f>IFERROR(VLOOKUP($A98,Table1[],3,FALSE),0)</f>
        <v>0</v>
      </c>
      <c r="D98" s="102"/>
      <c r="E98" s="102"/>
      <c r="F98" s="108"/>
      <c r="G98" s="102"/>
      <c r="H98" s="102"/>
      <c r="I98" s="105"/>
      <c r="J98" s="106"/>
      <c r="K98" s="107"/>
      <c r="L98" s="45"/>
      <c r="M98" s="46"/>
      <c r="N98" s="46"/>
      <c r="O98" s="46"/>
      <c r="P98" s="46"/>
      <c r="Q98" s="46"/>
      <c r="R98" s="46"/>
      <c r="S98" s="46"/>
      <c r="T98" s="46"/>
      <c r="U98" s="46"/>
      <c r="V98" s="46"/>
      <c r="W98" s="46"/>
      <c r="X98" s="25">
        <f t="shared" si="15"/>
        <v>0</v>
      </c>
      <c r="Y98" s="26">
        <f t="shared" si="16"/>
        <v>0</v>
      </c>
      <c r="Z98" s="26"/>
      <c r="AA98" s="27">
        <f t="shared" si="17"/>
        <v>0</v>
      </c>
      <c r="AB98" s="27">
        <f t="shared" si="18"/>
        <v>0</v>
      </c>
      <c r="AC98" s="28" t="str">
        <f>IFERROR(VLOOKUP($I98&amp;"|"&amp;$A98,Table2[],2,FALSE),"")</f>
        <v/>
      </c>
      <c r="AD98" s="29" t="str">
        <f>IFERROR(VLOOKUP($I98&amp;"|"&amp;$A98,Table2[],3,FALSE),"")</f>
        <v/>
      </c>
      <c r="AE98" s="28">
        <f t="shared" si="19"/>
        <v>0</v>
      </c>
      <c r="AF98" s="28" t="str">
        <f t="shared" si="20"/>
        <v/>
      </c>
      <c r="AG98" s="30" t="str">
        <f t="shared" si="21"/>
        <v/>
      </c>
      <c r="AH98" s="28" t="str">
        <f>IFERROR(VLOOKUP($I98&amp;"|"&amp;$A98,Table2[],4,FALSE),"")</f>
        <v/>
      </c>
      <c r="AI98" s="28" t="str">
        <f t="shared" si="22"/>
        <v/>
      </c>
      <c r="AJ98" s="31">
        <f t="shared" si="23"/>
        <v>0</v>
      </c>
      <c r="AK98" s="32">
        <f t="shared" si="27"/>
        <v>0</v>
      </c>
      <c r="AL98" s="33">
        <f t="shared" si="24"/>
        <v>0</v>
      </c>
      <c r="AM98" s="31">
        <f t="shared" si="25"/>
        <v>0</v>
      </c>
      <c r="AN98" s="32">
        <f t="shared" si="28"/>
        <v>0</v>
      </c>
      <c r="AO98" s="33">
        <f t="shared" si="26"/>
        <v>0</v>
      </c>
    </row>
    <row r="99" spans="1:41" s="14" customFormat="1" ht="27" customHeight="1" x14ac:dyDescent="0.25">
      <c r="A99" s="102"/>
      <c r="B99" s="22">
        <f>IFERROR(IF(VLOOKUP(A99,Table3[],MATCH('2023 sintesi '!I99,Table3[#Headers],0),0)=0,IFERROR(VLOOKUP($A99,Table1[],2,FALSE),0),VLOOKUP(A99,Table3[],MATCH('2023 sintesi '!I99,Table3[#Headers],0),0)),0)</f>
        <v>0</v>
      </c>
      <c r="C99" s="23">
        <f>IFERROR(VLOOKUP($A99,Table1[],3,FALSE),0)</f>
        <v>0</v>
      </c>
      <c r="D99" s="102"/>
      <c r="E99" s="102"/>
      <c r="F99" s="104"/>
      <c r="G99" s="102"/>
      <c r="H99" s="102"/>
      <c r="I99" s="109"/>
      <c r="J99" s="106"/>
      <c r="K99" s="107"/>
      <c r="L99" s="45"/>
      <c r="M99" s="45"/>
      <c r="N99" s="45"/>
      <c r="O99" s="45"/>
      <c r="P99" s="45"/>
      <c r="Q99" s="45"/>
      <c r="R99" s="45"/>
      <c r="S99" s="45"/>
      <c r="T99" s="45"/>
      <c r="U99" s="45"/>
      <c r="V99" s="45"/>
      <c r="W99" s="45"/>
      <c r="X99" s="25">
        <f t="shared" si="15"/>
        <v>0</v>
      </c>
      <c r="Y99" s="26">
        <f t="shared" si="16"/>
        <v>0</v>
      </c>
      <c r="Z99" s="26"/>
      <c r="AA99" s="27">
        <f t="shared" si="17"/>
        <v>0</v>
      </c>
      <c r="AB99" s="27">
        <f t="shared" si="18"/>
        <v>0</v>
      </c>
      <c r="AC99" s="28" t="str">
        <f>IFERROR(VLOOKUP($I99&amp;"|"&amp;$A99,Table2[],2,FALSE),"")</f>
        <v/>
      </c>
      <c r="AD99" s="29" t="str">
        <f>IFERROR(VLOOKUP($I99&amp;"|"&amp;$A99,Table2[],3,FALSE),"")</f>
        <v/>
      </c>
      <c r="AE99" s="28">
        <f t="shared" si="19"/>
        <v>0</v>
      </c>
      <c r="AF99" s="28" t="str">
        <f t="shared" si="20"/>
        <v/>
      </c>
      <c r="AG99" s="30" t="str">
        <f t="shared" si="21"/>
        <v/>
      </c>
      <c r="AH99" s="28" t="str">
        <f>IFERROR(VLOOKUP($I99&amp;"|"&amp;$A99,Table2[],4,FALSE),"")</f>
        <v/>
      </c>
      <c r="AI99" s="28" t="str">
        <f t="shared" si="22"/>
        <v/>
      </c>
      <c r="AJ99" s="31">
        <f t="shared" si="23"/>
        <v>0</v>
      </c>
      <c r="AK99" s="32">
        <f t="shared" si="27"/>
        <v>0</v>
      </c>
      <c r="AL99" s="33">
        <f t="shared" si="24"/>
        <v>0</v>
      </c>
      <c r="AM99" s="31">
        <f t="shared" si="25"/>
        <v>0</v>
      </c>
      <c r="AN99" s="32">
        <f t="shared" si="28"/>
        <v>0</v>
      </c>
      <c r="AO99" s="33">
        <f t="shared" si="26"/>
        <v>0</v>
      </c>
    </row>
    <row r="100" spans="1:41" s="14" customFormat="1" ht="27" customHeight="1" x14ac:dyDescent="0.25">
      <c r="A100" s="102"/>
      <c r="B100" s="22">
        <f>IFERROR(IF(VLOOKUP(A100,Table3[],MATCH('2023 sintesi '!I100,Table3[#Headers],0),0)=0,IFERROR(VLOOKUP($A100,Table1[],2,FALSE),0),VLOOKUP(A100,Table3[],MATCH('2023 sintesi '!I100,Table3[#Headers],0),0)),0)</f>
        <v>0</v>
      </c>
      <c r="C100" s="23">
        <f>IFERROR(VLOOKUP($A100,Table1[],3,FALSE),0)</f>
        <v>0</v>
      </c>
      <c r="D100" s="102"/>
      <c r="E100" s="102"/>
      <c r="F100" s="108"/>
      <c r="G100" s="102"/>
      <c r="H100" s="102"/>
      <c r="I100" s="109"/>
      <c r="J100" s="106"/>
      <c r="K100" s="107"/>
      <c r="L100" s="45"/>
      <c r="M100" s="45"/>
      <c r="N100" s="45"/>
      <c r="O100" s="45"/>
      <c r="P100" s="45"/>
      <c r="Q100" s="45"/>
      <c r="R100" s="45"/>
      <c r="S100" s="45"/>
      <c r="T100" s="45"/>
      <c r="U100" s="45"/>
      <c r="V100" s="45"/>
      <c r="W100" s="45"/>
      <c r="X100" s="25">
        <f t="shared" si="15"/>
        <v>0</v>
      </c>
      <c r="Y100" s="26">
        <f t="shared" si="16"/>
        <v>0</v>
      </c>
      <c r="Z100" s="26"/>
      <c r="AA100" s="27">
        <f t="shared" si="17"/>
        <v>0</v>
      </c>
      <c r="AB100" s="27">
        <f t="shared" si="18"/>
        <v>0</v>
      </c>
      <c r="AC100" s="28" t="str">
        <f>IFERROR(VLOOKUP($I100&amp;"|"&amp;$A100,Table2[],2,FALSE),"")</f>
        <v/>
      </c>
      <c r="AD100" s="29" t="str">
        <f>IFERROR(VLOOKUP($I100&amp;"|"&amp;$A100,Table2[],3,FALSE),"")</f>
        <v/>
      </c>
      <c r="AE100" s="28">
        <f t="shared" si="19"/>
        <v>0</v>
      </c>
      <c r="AF100" s="28" t="str">
        <f t="shared" si="20"/>
        <v/>
      </c>
      <c r="AG100" s="30" t="str">
        <f t="shared" si="21"/>
        <v/>
      </c>
      <c r="AH100" s="28" t="str">
        <f>IFERROR(VLOOKUP($I100&amp;"|"&amp;$A100,Table2[],4,FALSE),"")</f>
        <v/>
      </c>
      <c r="AI100" s="28" t="str">
        <f t="shared" si="22"/>
        <v/>
      </c>
      <c r="AJ100" s="31">
        <f t="shared" si="23"/>
        <v>0</v>
      </c>
      <c r="AK100" s="32">
        <f t="shared" si="27"/>
        <v>0</v>
      </c>
      <c r="AL100" s="33">
        <f t="shared" si="24"/>
        <v>0</v>
      </c>
      <c r="AM100" s="31">
        <f t="shared" si="25"/>
        <v>0</v>
      </c>
      <c r="AN100" s="32">
        <f t="shared" si="28"/>
        <v>0</v>
      </c>
      <c r="AO100" s="33">
        <f t="shared" si="26"/>
        <v>0</v>
      </c>
    </row>
    <row r="101" spans="1:41" s="14" customFormat="1" ht="27" customHeight="1" x14ac:dyDescent="0.25">
      <c r="A101" s="102"/>
      <c r="B101" s="22">
        <f>IFERROR(IF(VLOOKUP(A101,Table3[],MATCH('2023 sintesi '!I101,Table3[#Headers],0),0)=0,IFERROR(VLOOKUP($A101,Table1[],2,FALSE),0),VLOOKUP(A101,Table3[],MATCH('2023 sintesi '!I101,Table3[#Headers],0),0)),0)</f>
        <v>0</v>
      </c>
      <c r="C101" s="23">
        <f>IFERROR(VLOOKUP($A101,Table1[],3,FALSE),0)</f>
        <v>0</v>
      </c>
      <c r="D101" s="102"/>
      <c r="E101" s="102"/>
      <c r="F101" s="104"/>
      <c r="G101" s="102"/>
      <c r="H101" s="102"/>
      <c r="I101" s="109"/>
      <c r="J101" s="106"/>
      <c r="K101" s="107"/>
      <c r="L101" s="45"/>
      <c r="M101" s="45"/>
      <c r="N101" s="45"/>
      <c r="O101" s="45"/>
      <c r="P101" s="45"/>
      <c r="Q101" s="45"/>
      <c r="R101" s="45"/>
      <c r="S101" s="45"/>
      <c r="T101" s="45"/>
      <c r="U101" s="45"/>
      <c r="V101" s="45"/>
      <c r="W101" s="45"/>
      <c r="X101" s="25">
        <f t="shared" si="15"/>
        <v>0</v>
      </c>
      <c r="Y101" s="26">
        <f t="shared" si="16"/>
        <v>0</v>
      </c>
      <c r="Z101" s="26"/>
      <c r="AA101" s="27">
        <f t="shared" si="17"/>
        <v>0</v>
      </c>
      <c r="AB101" s="27">
        <f t="shared" si="18"/>
        <v>0</v>
      </c>
      <c r="AC101" s="28" t="str">
        <f>IFERROR(VLOOKUP($I101&amp;"|"&amp;$A101,Table2[],2,FALSE),"")</f>
        <v/>
      </c>
      <c r="AD101" s="29" t="str">
        <f>IFERROR(VLOOKUP($I101&amp;"|"&amp;$A101,Table2[],3,FALSE),"")</f>
        <v/>
      </c>
      <c r="AE101" s="28">
        <f t="shared" si="19"/>
        <v>0</v>
      </c>
      <c r="AF101" s="28" t="str">
        <f t="shared" si="20"/>
        <v/>
      </c>
      <c r="AG101" s="30" t="str">
        <f t="shared" si="21"/>
        <v/>
      </c>
      <c r="AH101" s="28" t="str">
        <f>IFERROR(VLOOKUP($I101&amp;"|"&amp;$A101,Table2[],4,FALSE),"")</f>
        <v/>
      </c>
      <c r="AI101" s="28" t="str">
        <f t="shared" si="22"/>
        <v/>
      </c>
      <c r="AJ101" s="31">
        <f t="shared" si="23"/>
        <v>0</v>
      </c>
      <c r="AK101" s="32">
        <f t="shared" si="27"/>
        <v>0</v>
      </c>
      <c r="AL101" s="33">
        <f t="shared" si="24"/>
        <v>0</v>
      </c>
      <c r="AM101" s="31">
        <f t="shared" si="25"/>
        <v>0</v>
      </c>
      <c r="AN101" s="32">
        <f t="shared" si="28"/>
        <v>0</v>
      </c>
      <c r="AO101" s="33">
        <f t="shared" si="26"/>
        <v>0</v>
      </c>
    </row>
    <row r="102" spans="1:41" s="14" customFormat="1" ht="27" customHeight="1" x14ac:dyDescent="0.25">
      <c r="A102" s="102"/>
      <c r="B102" s="22">
        <f>IFERROR(IF(VLOOKUP(A102,Table3[],MATCH('2023 sintesi '!I102,Table3[#Headers],0),0)=0,IFERROR(VLOOKUP($A102,Table1[],2,FALSE),0),VLOOKUP(A102,Table3[],MATCH('2023 sintesi '!I102,Table3[#Headers],0),0)),0)</f>
        <v>0</v>
      </c>
      <c r="C102" s="23">
        <f>IFERROR(VLOOKUP($A102,Table1[],3,FALSE),0)</f>
        <v>0</v>
      </c>
      <c r="D102" s="102"/>
      <c r="E102" s="102"/>
      <c r="F102" s="104"/>
      <c r="G102" s="102"/>
      <c r="H102" s="102"/>
      <c r="I102" s="109"/>
      <c r="J102" s="106"/>
      <c r="K102" s="107"/>
      <c r="L102" s="45"/>
      <c r="M102" s="46"/>
      <c r="N102" s="46"/>
      <c r="O102" s="46"/>
      <c r="P102" s="46"/>
      <c r="Q102" s="36"/>
      <c r="R102" s="36"/>
      <c r="S102" s="36"/>
      <c r="T102" s="36"/>
      <c r="U102" s="36"/>
      <c r="V102" s="36"/>
      <c r="W102" s="36"/>
      <c r="X102" s="25">
        <f t="shared" si="15"/>
        <v>0</v>
      </c>
      <c r="Y102" s="26">
        <f t="shared" si="16"/>
        <v>0</v>
      </c>
      <c r="Z102" s="26"/>
      <c r="AA102" s="27">
        <f t="shared" si="17"/>
        <v>0</v>
      </c>
      <c r="AB102" s="27">
        <f t="shared" si="18"/>
        <v>0</v>
      </c>
      <c r="AC102" s="28" t="str">
        <f>IFERROR(VLOOKUP($I102&amp;"|"&amp;$A102,Table2[],2,FALSE),"")</f>
        <v/>
      </c>
      <c r="AD102" s="29" t="str">
        <f>IFERROR(VLOOKUP($I102&amp;"|"&amp;$A102,Table2[],3,FALSE),"")</f>
        <v/>
      </c>
      <c r="AE102" s="28">
        <f t="shared" si="19"/>
        <v>0</v>
      </c>
      <c r="AF102" s="28" t="str">
        <f t="shared" si="20"/>
        <v/>
      </c>
      <c r="AG102" s="30" t="str">
        <f t="shared" si="21"/>
        <v/>
      </c>
      <c r="AH102" s="28" t="str">
        <f>IFERROR(VLOOKUP($I102&amp;"|"&amp;$A102,Table2[],4,FALSE),"")</f>
        <v/>
      </c>
      <c r="AI102" s="28" t="str">
        <f t="shared" si="22"/>
        <v/>
      </c>
      <c r="AJ102" s="31">
        <f t="shared" si="23"/>
        <v>0</v>
      </c>
      <c r="AK102" s="32">
        <f t="shared" si="27"/>
        <v>0</v>
      </c>
      <c r="AL102" s="33">
        <f t="shared" si="24"/>
        <v>0</v>
      </c>
      <c r="AM102" s="31">
        <f t="shared" si="25"/>
        <v>0</v>
      </c>
      <c r="AN102" s="32">
        <f t="shared" si="28"/>
        <v>0</v>
      </c>
      <c r="AO102" s="33">
        <f t="shared" si="26"/>
        <v>0</v>
      </c>
    </row>
    <row r="103" spans="1:41" s="14" customFormat="1" ht="27" customHeight="1" x14ac:dyDescent="0.25">
      <c r="A103" s="102"/>
      <c r="B103" s="22">
        <f>IFERROR(IF(VLOOKUP(A103,Table3[],MATCH('2023 sintesi '!I103,Table3[#Headers],0),0)=0,IFERROR(VLOOKUP($A103,Table1[],2,FALSE),0),VLOOKUP(A103,Table3[],MATCH('2023 sintesi '!I103,Table3[#Headers],0),0)),0)</f>
        <v>0</v>
      </c>
      <c r="C103" s="23">
        <f>IFERROR(VLOOKUP($A103,Table1[],3,FALSE),0)</f>
        <v>0</v>
      </c>
      <c r="D103" s="102"/>
      <c r="E103" s="102"/>
      <c r="F103" s="104"/>
      <c r="G103" s="102"/>
      <c r="H103" s="102"/>
      <c r="I103" s="109"/>
      <c r="J103" s="106"/>
      <c r="K103" s="107"/>
      <c r="L103" s="45"/>
      <c r="M103" s="46"/>
      <c r="N103" s="46"/>
      <c r="O103" s="46"/>
      <c r="P103" s="46"/>
      <c r="Q103" s="46"/>
      <c r="R103" s="46"/>
      <c r="S103" s="46"/>
      <c r="T103" s="46"/>
      <c r="U103" s="46"/>
      <c r="V103" s="46"/>
      <c r="W103" s="46"/>
      <c r="X103" s="25">
        <f t="shared" si="15"/>
        <v>0</v>
      </c>
      <c r="Y103" s="26">
        <f t="shared" si="16"/>
        <v>0</v>
      </c>
      <c r="Z103" s="26"/>
      <c r="AA103" s="27">
        <f t="shared" si="17"/>
        <v>0</v>
      </c>
      <c r="AB103" s="27">
        <f t="shared" si="18"/>
        <v>0</v>
      </c>
      <c r="AC103" s="28" t="str">
        <f>IFERROR(VLOOKUP($I103&amp;"|"&amp;$A103,Table2[],2,FALSE),"")</f>
        <v/>
      </c>
      <c r="AD103" s="29" t="str">
        <f>IFERROR(VLOOKUP($I103&amp;"|"&amp;$A103,Table2[],3,FALSE),"")</f>
        <v/>
      </c>
      <c r="AE103" s="28">
        <f t="shared" si="19"/>
        <v>0</v>
      </c>
      <c r="AF103" s="28" t="str">
        <f t="shared" si="20"/>
        <v/>
      </c>
      <c r="AG103" s="30" t="str">
        <f t="shared" si="21"/>
        <v/>
      </c>
      <c r="AH103" s="28" t="str">
        <f>IFERROR(VLOOKUP($I103&amp;"|"&amp;$A103,Table2[],4,FALSE),"")</f>
        <v/>
      </c>
      <c r="AI103" s="28" t="str">
        <f t="shared" si="22"/>
        <v/>
      </c>
      <c r="AJ103" s="31">
        <f t="shared" si="23"/>
        <v>0</v>
      </c>
      <c r="AK103" s="32">
        <f t="shared" si="27"/>
        <v>0</v>
      </c>
      <c r="AL103" s="33">
        <f t="shared" si="24"/>
        <v>0</v>
      </c>
      <c r="AM103" s="31">
        <f t="shared" si="25"/>
        <v>0</v>
      </c>
      <c r="AN103" s="32">
        <f t="shared" si="28"/>
        <v>0</v>
      </c>
      <c r="AO103" s="33">
        <f t="shared" si="26"/>
        <v>0</v>
      </c>
    </row>
    <row r="104" spans="1:41" s="14" customFormat="1" ht="27" customHeight="1" x14ac:dyDescent="0.25">
      <c r="A104" s="102"/>
      <c r="B104" s="22">
        <f>IFERROR(IF(VLOOKUP(A104,Table3[],MATCH('2023 sintesi '!I104,Table3[#Headers],0),0)=0,IFERROR(VLOOKUP($A104,Table1[],2,FALSE),0),VLOOKUP(A104,Table3[],MATCH('2023 sintesi '!I104,Table3[#Headers],0),0)),0)</f>
        <v>0</v>
      </c>
      <c r="C104" s="23">
        <f>IFERROR(VLOOKUP($A104,Table1[],3,FALSE),0)</f>
        <v>0</v>
      </c>
      <c r="D104" s="102"/>
      <c r="E104" s="102"/>
      <c r="F104" s="104"/>
      <c r="G104" s="102"/>
      <c r="H104" s="102"/>
      <c r="I104" s="109"/>
      <c r="J104" s="106"/>
      <c r="K104" s="107"/>
      <c r="L104" s="45"/>
      <c r="M104" s="45"/>
      <c r="N104" s="45"/>
      <c r="O104" s="45"/>
      <c r="P104" s="45"/>
      <c r="Q104" s="45"/>
      <c r="R104" s="45"/>
      <c r="S104" s="45"/>
      <c r="T104" s="45"/>
      <c r="U104" s="45"/>
      <c r="V104" s="45"/>
      <c r="W104" s="45"/>
      <c r="X104" s="25">
        <f t="shared" si="15"/>
        <v>0</v>
      </c>
      <c r="Y104" s="26">
        <f t="shared" si="16"/>
        <v>0</v>
      </c>
      <c r="Z104" s="26"/>
      <c r="AA104" s="27">
        <f t="shared" si="17"/>
        <v>0</v>
      </c>
      <c r="AB104" s="27">
        <f t="shared" si="18"/>
        <v>0</v>
      </c>
      <c r="AC104" s="28" t="str">
        <f>IFERROR(VLOOKUP($I104&amp;"|"&amp;$A104,Table2[],2,FALSE),"")</f>
        <v/>
      </c>
      <c r="AD104" s="29" t="str">
        <f>IFERROR(VLOOKUP($I104&amp;"|"&amp;$A104,Table2[],3,FALSE),"")</f>
        <v/>
      </c>
      <c r="AE104" s="28">
        <f t="shared" si="19"/>
        <v>0</v>
      </c>
      <c r="AF104" s="28" t="str">
        <f t="shared" si="20"/>
        <v/>
      </c>
      <c r="AG104" s="30" t="str">
        <f t="shared" si="21"/>
        <v/>
      </c>
      <c r="AH104" s="28" t="str">
        <f>IFERROR(VLOOKUP($I104&amp;"|"&amp;$A104,Table2[],4,FALSE),"")</f>
        <v/>
      </c>
      <c r="AI104" s="28" t="str">
        <f t="shared" si="22"/>
        <v/>
      </c>
      <c r="AJ104" s="31">
        <f t="shared" si="23"/>
        <v>0</v>
      </c>
      <c r="AK104" s="32">
        <f t="shared" si="27"/>
        <v>0</v>
      </c>
      <c r="AL104" s="33">
        <f t="shared" si="24"/>
        <v>0</v>
      </c>
      <c r="AM104" s="31">
        <f t="shared" si="25"/>
        <v>0</v>
      </c>
      <c r="AN104" s="32">
        <f t="shared" si="28"/>
        <v>0</v>
      </c>
      <c r="AO104" s="33">
        <f t="shared" si="26"/>
        <v>0</v>
      </c>
    </row>
    <row r="105" spans="1:41" s="14" customFormat="1" ht="27" customHeight="1" x14ac:dyDescent="0.25">
      <c r="A105" s="102"/>
      <c r="B105" s="22">
        <f>IFERROR(IF(VLOOKUP(A105,Table3[],MATCH('2023 sintesi '!I105,Table3[#Headers],0),0)=0,IFERROR(VLOOKUP($A105,Table1[],2,FALSE),0),VLOOKUP(A105,Table3[],MATCH('2023 sintesi '!I105,Table3[#Headers],0),0)),0)</f>
        <v>0</v>
      </c>
      <c r="C105" s="23">
        <f>IFERROR(VLOOKUP($A105,Table1[],3,FALSE),0)</f>
        <v>0</v>
      </c>
      <c r="D105" s="102"/>
      <c r="E105" s="102"/>
      <c r="F105" s="108"/>
      <c r="G105" s="102"/>
      <c r="H105" s="102"/>
      <c r="I105" s="105"/>
      <c r="J105" s="106"/>
      <c r="K105" s="111"/>
      <c r="L105" s="45"/>
      <c r="M105" s="46"/>
      <c r="N105" s="46"/>
      <c r="O105" s="46"/>
      <c r="P105" s="46"/>
      <c r="Q105" s="46"/>
      <c r="R105" s="46"/>
      <c r="S105" s="46"/>
      <c r="T105" s="46"/>
      <c r="U105" s="46"/>
      <c r="V105" s="46"/>
      <c r="W105" s="46"/>
      <c r="X105" s="25">
        <f t="shared" si="15"/>
        <v>0</v>
      </c>
      <c r="Y105" s="26">
        <f t="shared" si="16"/>
        <v>0</v>
      </c>
      <c r="Z105" s="26"/>
      <c r="AA105" s="27">
        <f t="shared" si="17"/>
        <v>0</v>
      </c>
      <c r="AB105" s="27">
        <f t="shared" si="18"/>
        <v>0</v>
      </c>
      <c r="AC105" s="28" t="str">
        <f>IFERROR(VLOOKUP($I105&amp;"|"&amp;$A105,Table2[],2,FALSE),"")</f>
        <v/>
      </c>
      <c r="AD105" s="29" t="str">
        <f>IFERROR(VLOOKUP($I105&amp;"|"&amp;$A105,Table2[],3,FALSE),"")</f>
        <v/>
      </c>
      <c r="AE105" s="28">
        <f t="shared" si="19"/>
        <v>0</v>
      </c>
      <c r="AF105" s="28" t="str">
        <f t="shared" si="20"/>
        <v/>
      </c>
      <c r="AG105" s="30" t="str">
        <f t="shared" si="21"/>
        <v/>
      </c>
      <c r="AH105" s="28" t="str">
        <f>IFERROR(VLOOKUP($I105&amp;"|"&amp;$A105,Table2[],4,FALSE),"")</f>
        <v/>
      </c>
      <c r="AI105" s="28" t="str">
        <f t="shared" si="22"/>
        <v/>
      </c>
      <c r="AJ105" s="31">
        <f t="shared" si="23"/>
        <v>0</v>
      </c>
      <c r="AK105" s="32">
        <f t="shared" si="27"/>
        <v>0</v>
      </c>
      <c r="AL105" s="33">
        <f t="shared" si="24"/>
        <v>0</v>
      </c>
      <c r="AM105" s="31">
        <f t="shared" si="25"/>
        <v>0</v>
      </c>
      <c r="AN105" s="32">
        <f t="shared" si="28"/>
        <v>0</v>
      </c>
      <c r="AO105" s="33">
        <f t="shared" si="26"/>
        <v>0</v>
      </c>
    </row>
    <row r="106" spans="1:41" s="14" customFormat="1" ht="27" customHeight="1" x14ac:dyDescent="0.25">
      <c r="A106" s="102"/>
      <c r="B106" s="22">
        <f>IFERROR(IF(VLOOKUP(A106,Table3[],MATCH('2023 sintesi '!I106,Table3[#Headers],0),0)=0,IFERROR(VLOOKUP($A106,Table1[],2,FALSE),0),VLOOKUP(A106,Table3[],MATCH('2023 sintesi '!I106,Table3[#Headers],0),0)),0)</f>
        <v>0</v>
      </c>
      <c r="C106" s="23">
        <f>IFERROR(VLOOKUP($A106,Table1[],3,FALSE),0)</f>
        <v>0</v>
      </c>
      <c r="D106" s="102"/>
      <c r="E106" s="102"/>
      <c r="F106" s="108"/>
      <c r="G106" s="102"/>
      <c r="H106" s="102"/>
      <c r="I106" s="105"/>
      <c r="J106" s="106"/>
      <c r="K106" s="111"/>
      <c r="L106" s="45"/>
      <c r="M106" s="46"/>
      <c r="N106" s="46"/>
      <c r="O106" s="46"/>
      <c r="P106" s="46"/>
      <c r="Q106" s="46"/>
      <c r="R106" s="46"/>
      <c r="S106" s="46"/>
      <c r="T106" s="46"/>
      <c r="U106" s="46"/>
      <c r="V106" s="46"/>
      <c r="W106" s="46"/>
      <c r="X106" s="25">
        <f t="shared" si="15"/>
        <v>0</v>
      </c>
      <c r="Y106" s="26">
        <f t="shared" si="16"/>
        <v>0</v>
      </c>
      <c r="Z106" s="26"/>
      <c r="AA106" s="27">
        <f t="shared" si="17"/>
        <v>0</v>
      </c>
      <c r="AB106" s="27">
        <f t="shared" si="18"/>
        <v>0</v>
      </c>
      <c r="AC106" s="28" t="str">
        <f>IFERROR(VLOOKUP($I106&amp;"|"&amp;$A106,Table2[],2,FALSE),"")</f>
        <v/>
      </c>
      <c r="AD106" s="29" t="str">
        <f>IFERROR(VLOOKUP($I106&amp;"|"&amp;$A106,Table2[],3,FALSE),"")</f>
        <v/>
      </c>
      <c r="AE106" s="28">
        <f t="shared" si="19"/>
        <v>0</v>
      </c>
      <c r="AF106" s="28" t="str">
        <f t="shared" si="20"/>
        <v/>
      </c>
      <c r="AG106" s="30" t="str">
        <f t="shared" si="21"/>
        <v/>
      </c>
      <c r="AH106" s="28" t="str">
        <f>IFERROR(VLOOKUP($I106&amp;"|"&amp;$A106,Table2[],4,FALSE),"")</f>
        <v/>
      </c>
      <c r="AI106" s="28" t="str">
        <f t="shared" si="22"/>
        <v/>
      </c>
      <c r="AJ106" s="31">
        <f t="shared" si="23"/>
        <v>0</v>
      </c>
      <c r="AK106" s="32">
        <f t="shared" si="27"/>
        <v>0</v>
      </c>
      <c r="AL106" s="33">
        <f t="shared" si="24"/>
        <v>0</v>
      </c>
      <c r="AM106" s="31">
        <f t="shared" si="25"/>
        <v>0</v>
      </c>
      <c r="AN106" s="32">
        <f t="shared" si="28"/>
        <v>0</v>
      </c>
      <c r="AO106" s="33">
        <f t="shared" si="26"/>
        <v>0</v>
      </c>
    </row>
    <row r="107" spans="1:41" s="14" customFormat="1" ht="27" customHeight="1" x14ac:dyDescent="0.25">
      <c r="A107" s="102"/>
      <c r="B107" s="22">
        <f>IFERROR(IF(VLOOKUP(A107,Table3[],MATCH('2023 sintesi '!I107,Table3[#Headers],0),0)=0,IFERROR(VLOOKUP($A107,Table1[],2,FALSE),0),VLOOKUP(A107,Table3[],MATCH('2023 sintesi '!I107,Table3[#Headers],0),0)),0)</f>
        <v>0</v>
      </c>
      <c r="C107" s="23">
        <f>IFERROR(VLOOKUP($A107,Table1[],3,FALSE),0)</f>
        <v>0</v>
      </c>
      <c r="D107" s="102"/>
      <c r="E107" s="102"/>
      <c r="F107" s="104"/>
      <c r="G107" s="102"/>
      <c r="H107" s="102"/>
      <c r="I107" s="109"/>
      <c r="J107" s="106"/>
      <c r="K107" s="111"/>
      <c r="L107" s="45"/>
      <c r="M107" s="46"/>
      <c r="N107" s="46"/>
      <c r="O107" s="46"/>
      <c r="P107" s="46"/>
      <c r="Q107" s="36"/>
      <c r="R107" s="36"/>
      <c r="S107" s="36"/>
      <c r="T107" s="36"/>
      <c r="U107" s="36"/>
      <c r="V107" s="36"/>
      <c r="W107" s="36"/>
      <c r="X107" s="25">
        <f t="shared" si="15"/>
        <v>0</v>
      </c>
      <c r="Y107" s="26">
        <f t="shared" si="16"/>
        <v>0</v>
      </c>
      <c r="Z107" s="26"/>
      <c r="AA107" s="27">
        <f t="shared" si="17"/>
        <v>0</v>
      </c>
      <c r="AB107" s="27">
        <f t="shared" si="18"/>
        <v>0</v>
      </c>
      <c r="AC107" s="28" t="str">
        <f>IFERROR(VLOOKUP($I107&amp;"|"&amp;$A107,Table2[],2,FALSE),"")</f>
        <v/>
      </c>
      <c r="AD107" s="29" t="str">
        <f>IFERROR(VLOOKUP($I107&amp;"|"&amp;$A107,Table2[],3,FALSE),"")</f>
        <v/>
      </c>
      <c r="AE107" s="28">
        <f t="shared" si="19"/>
        <v>0</v>
      </c>
      <c r="AF107" s="28" t="str">
        <f t="shared" si="20"/>
        <v/>
      </c>
      <c r="AG107" s="30" t="str">
        <f t="shared" si="21"/>
        <v/>
      </c>
      <c r="AH107" s="28" t="str">
        <f>IFERROR(VLOOKUP($I107&amp;"|"&amp;$A107,Table2[],4,FALSE),"")</f>
        <v/>
      </c>
      <c r="AI107" s="28" t="str">
        <f t="shared" si="22"/>
        <v/>
      </c>
      <c r="AJ107" s="31">
        <f t="shared" si="23"/>
        <v>0</v>
      </c>
      <c r="AK107" s="32">
        <f t="shared" si="27"/>
        <v>0</v>
      </c>
      <c r="AL107" s="33">
        <f t="shared" si="24"/>
        <v>0</v>
      </c>
      <c r="AM107" s="31">
        <f t="shared" si="25"/>
        <v>0</v>
      </c>
      <c r="AN107" s="32">
        <f t="shared" si="28"/>
        <v>0</v>
      </c>
      <c r="AO107" s="33">
        <f t="shared" si="26"/>
        <v>0</v>
      </c>
    </row>
    <row r="108" spans="1:41" s="14" customFormat="1" ht="27" customHeight="1" x14ac:dyDescent="0.25">
      <c r="A108" s="102"/>
      <c r="B108" s="22">
        <f>IFERROR(IF(VLOOKUP(A108,Table3[],MATCH('2023 sintesi '!I108,Table3[#Headers],0),0)=0,IFERROR(VLOOKUP($A108,Table1[],2,FALSE),0),VLOOKUP(A108,Table3[],MATCH('2023 sintesi '!I108,Table3[#Headers],0),0)),0)</f>
        <v>0</v>
      </c>
      <c r="C108" s="23">
        <f>IFERROR(VLOOKUP($A108,Table1[],3,FALSE),0)</f>
        <v>0</v>
      </c>
      <c r="D108" s="102"/>
      <c r="E108" s="102"/>
      <c r="F108" s="104"/>
      <c r="G108" s="102"/>
      <c r="H108" s="102"/>
      <c r="I108" s="109"/>
      <c r="J108" s="106"/>
      <c r="K108" s="111"/>
      <c r="L108" s="45"/>
      <c r="M108" s="46"/>
      <c r="N108" s="46"/>
      <c r="O108" s="46"/>
      <c r="P108" s="46"/>
      <c r="Q108" s="36"/>
      <c r="R108" s="36"/>
      <c r="S108" s="36"/>
      <c r="T108" s="36"/>
      <c r="U108" s="36"/>
      <c r="V108" s="36"/>
      <c r="W108" s="36"/>
      <c r="X108" s="25">
        <f t="shared" si="15"/>
        <v>0</v>
      </c>
      <c r="Y108" s="26">
        <f t="shared" si="16"/>
        <v>0</v>
      </c>
      <c r="Z108" s="26"/>
      <c r="AA108" s="27">
        <f t="shared" si="17"/>
        <v>0</v>
      </c>
      <c r="AB108" s="27">
        <f t="shared" si="18"/>
        <v>0</v>
      </c>
      <c r="AC108" s="28" t="str">
        <f>IFERROR(VLOOKUP($I108&amp;"|"&amp;$A108,Table2[],2,FALSE),"")</f>
        <v/>
      </c>
      <c r="AD108" s="29" t="str">
        <f>IFERROR(VLOOKUP($I108&amp;"|"&amp;$A108,Table2[],3,FALSE),"")</f>
        <v/>
      </c>
      <c r="AE108" s="28">
        <f t="shared" si="19"/>
        <v>0</v>
      </c>
      <c r="AF108" s="28" t="str">
        <f t="shared" si="20"/>
        <v/>
      </c>
      <c r="AG108" s="30" t="str">
        <f t="shared" si="21"/>
        <v/>
      </c>
      <c r="AH108" s="28" t="str">
        <f>IFERROR(VLOOKUP($I108&amp;"|"&amp;$A108,Table2[],4,FALSE),"")</f>
        <v/>
      </c>
      <c r="AI108" s="28" t="str">
        <f t="shared" si="22"/>
        <v/>
      </c>
      <c r="AJ108" s="31">
        <f t="shared" si="23"/>
        <v>0</v>
      </c>
      <c r="AK108" s="32">
        <f t="shared" si="27"/>
        <v>0</v>
      </c>
      <c r="AL108" s="33">
        <f t="shared" si="24"/>
        <v>0</v>
      </c>
      <c r="AM108" s="31">
        <f t="shared" si="25"/>
        <v>0</v>
      </c>
      <c r="AN108" s="32">
        <f t="shared" si="28"/>
        <v>0</v>
      </c>
      <c r="AO108" s="33">
        <f t="shared" si="26"/>
        <v>0</v>
      </c>
    </row>
    <row r="109" spans="1:41" s="14" customFormat="1" ht="27" customHeight="1" x14ac:dyDescent="0.25">
      <c r="A109" s="102"/>
      <c r="B109" s="22">
        <f>IFERROR(IF(VLOOKUP(A109,Table3[],MATCH('2023 sintesi '!I109,Table3[#Headers],0),0)=0,IFERROR(VLOOKUP($A109,Table1[],2,FALSE),0),VLOOKUP(A109,Table3[],MATCH('2023 sintesi '!I109,Table3[#Headers],0),0)),0)</f>
        <v>0</v>
      </c>
      <c r="C109" s="23">
        <f>IFERROR(VLOOKUP($A109,Table1[],3,FALSE),0)</f>
        <v>0</v>
      </c>
      <c r="D109" s="102"/>
      <c r="E109" s="102"/>
      <c r="F109" s="104"/>
      <c r="G109" s="102"/>
      <c r="H109" s="102"/>
      <c r="I109" s="109"/>
      <c r="J109" s="106"/>
      <c r="K109" s="107"/>
      <c r="L109" s="45"/>
      <c r="M109" s="46"/>
      <c r="N109" s="46"/>
      <c r="O109" s="46"/>
      <c r="P109" s="46"/>
      <c r="Q109" s="36"/>
      <c r="R109" s="36"/>
      <c r="S109" s="36"/>
      <c r="T109" s="36"/>
      <c r="U109" s="36"/>
      <c r="V109" s="36"/>
      <c r="W109" s="36"/>
      <c r="X109" s="25">
        <f t="shared" si="15"/>
        <v>0</v>
      </c>
      <c r="Y109" s="26">
        <f t="shared" si="16"/>
        <v>0</v>
      </c>
      <c r="Z109" s="26"/>
      <c r="AA109" s="27">
        <f t="shared" si="17"/>
        <v>0</v>
      </c>
      <c r="AB109" s="27">
        <f t="shared" si="18"/>
        <v>0</v>
      </c>
      <c r="AC109" s="28" t="str">
        <f>IFERROR(VLOOKUP($I109&amp;"|"&amp;$A109,Table2[],2,FALSE),"")</f>
        <v/>
      </c>
      <c r="AD109" s="29" t="str">
        <f>IFERROR(VLOOKUP($I109&amp;"|"&amp;$A109,Table2[],3,FALSE),"")</f>
        <v/>
      </c>
      <c r="AE109" s="28">
        <f t="shared" si="19"/>
        <v>0</v>
      </c>
      <c r="AF109" s="28" t="str">
        <f t="shared" si="20"/>
        <v/>
      </c>
      <c r="AG109" s="30" t="str">
        <f t="shared" si="21"/>
        <v/>
      </c>
      <c r="AH109" s="28" t="str">
        <f>IFERROR(VLOOKUP($I109&amp;"|"&amp;$A109,Table2[],4,FALSE),"")</f>
        <v/>
      </c>
      <c r="AI109" s="28" t="str">
        <f t="shared" si="22"/>
        <v/>
      </c>
      <c r="AJ109" s="31">
        <f t="shared" si="23"/>
        <v>0</v>
      </c>
      <c r="AK109" s="32">
        <f t="shared" si="27"/>
        <v>0</v>
      </c>
      <c r="AL109" s="33">
        <f t="shared" si="24"/>
        <v>0</v>
      </c>
      <c r="AM109" s="31">
        <f t="shared" si="25"/>
        <v>0</v>
      </c>
      <c r="AN109" s="32">
        <f t="shared" si="28"/>
        <v>0</v>
      </c>
      <c r="AO109" s="33">
        <f t="shared" si="26"/>
        <v>0</v>
      </c>
    </row>
    <row r="110" spans="1:41" s="14" customFormat="1" ht="27" customHeight="1" x14ac:dyDescent="0.25">
      <c r="A110" s="102"/>
      <c r="B110" s="22">
        <f>IFERROR(IF(VLOOKUP(A110,Table3[],MATCH('2023 sintesi '!I110,Table3[#Headers],0),0)=0,IFERROR(VLOOKUP($A110,Table1[],2,FALSE),0),VLOOKUP(A110,Table3[],MATCH('2023 sintesi '!I110,Table3[#Headers],0),0)),0)</f>
        <v>0</v>
      </c>
      <c r="C110" s="23">
        <f>IFERROR(VLOOKUP($A110,Table1[],3,FALSE),0)</f>
        <v>0</v>
      </c>
      <c r="D110" s="102"/>
      <c r="E110" s="102"/>
      <c r="F110" s="104"/>
      <c r="G110" s="102"/>
      <c r="H110" s="102"/>
      <c r="I110" s="109"/>
      <c r="J110" s="106"/>
      <c r="K110" s="111"/>
      <c r="L110" s="45"/>
      <c r="M110" s="46"/>
      <c r="N110" s="46"/>
      <c r="O110" s="46"/>
      <c r="P110" s="46"/>
      <c r="Q110" s="36"/>
      <c r="R110" s="36"/>
      <c r="S110" s="36"/>
      <c r="T110" s="36"/>
      <c r="U110" s="36"/>
      <c r="V110" s="36"/>
      <c r="W110" s="36"/>
      <c r="X110" s="25">
        <f t="shared" si="15"/>
        <v>0</v>
      </c>
      <c r="Y110" s="26">
        <f t="shared" si="16"/>
        <v>0</v>
      </c>
      <c r="Z110" s="26"/>
      <c r="AA110" s="27">
        <f t="shared" si="17"/>
        <v>0</v>
      </c>
      <c r="AB110" s="27">
        <f t="shared" si="18"/>
        <v>0</v>
      </c>
      <c r="AC110" s="28" t="str">
        <f>IFERROR(VLOOKUP($I110&amp;"|"&amp;$A110,Table2[],2,FALSE),"")</f>
        <v/>
      </c>
      <c r="AD110" s="29" t="str">
        <f>IFERROR(VLOOKUP($I110&amp;"|"&amp;$A110,Table2[],3,FALSE),"")</f>
        <v/>
      </c>
      <c r="AE110" s="28">
        <f t="shared" si="19"/>
        <v>0</v>
      </c>
      <c r="AF110" s="28" t="str">
        <f t="shared" si="20"/>
        <v/>
      </c>
      <c r="AG110" s="30" t="str">
        <f t="shared" si="21"/>
        <v/>
      </c>
      <c r="AH110" s="28" t="str">
        <f>IFERROR(VLOOKUP($I110&amp;"|"&amp;$A110,Table2[],4,FALSE),"")</f>
        <v/>
      </c>
      <c r="AI110" s="28" t="str">
        <f t="shared" si="22"/>
        <v/>
      </c>
      <c r="AJ110" s="31">
        <f t="shared" si="23"/>
        <v>0</v>
      </c>
      <c r="AK110" s="32">
        <f t="shared" si="27"/>
        <v>0</v>
      </c>
      <c r="AL110" s="33">
        <f t="shared" si="24"/>
        <v>0</v>
      </c>
      <c r="AM110" s="31">
        <f t="shared" si="25"/>
        <v>0</v>
      </c>
      <c r="AN110" s="32">
        <f t="shared" si="28"/>
        <v>0</v>
      </c>
      <c r="AO110" s="33">
        <f t="shared" si="26"/>
        <v>0</v>
      </c>
    </row>
    <row r="111" spans="1:41" s="14" customFormat="1" ht="27" customHeight="1" x14ac:dyDescent="0.25">
      <c r="A111" s="102"/>
      <c r="B111" s="22">
        <f>IFERROR(IF(VLOOKUP(A111,Table3[],MATCH('2023 sintesi '!I111,Table3[#Headers],0),0)=0,IFERROR(VLOOKUP($A111,Table1[],2,FALSE),0),VLOOKUP(A111,Table3[],MATCH('2023 sintesi '!I111,Table3[#Headers],0),0)),0)</f>
        <v>0</v>
      </c>
      <c r="C111" s="23">
        <f>IFERROR(VLOOKUP($A111,Table1[],3,FALSE),0)</f>
        <v>0</v>
      </c>
      <c r="D111" s="102"/>
      <c r="E111" s="102"/>
      <c r="F111" s="104"/>
      <c r="G111" s="102"/>
      <c r="H111" s="102"/>
      <c r="I111" s="109"/>
      <c r="J111" s="106"/>
      <c r="K111" s="111"/>
      <c r="L111" s="45"/>
      <c r="M111" s="46"/>
      <c r="N111" s="46"/>
      <c r="O111" s="46"/>
      <c r="P111" s="46"/>
      <c r="Q111" s="36"/>
      <c r="R111" s="36"/>
      <c r="S111" s="36"/>
      <c r="T111" s="36"/>
      <c r="U111" s="36"/>
      <c r="V111" s="36"/>
      <c r="W111" s="36"/>
      <c r="X111" s="25">
        <f t="shared" si="15"/>
        <v>0</v>
      </c>
      <c r="Y111" s="26">
        <f t="shared" si="16"/>
        <v>0</v>
      </c>
      <c r="Z111" s="26"/>
      <c r="AA111" s="27">
        <f t="shared" si="17"/>
        <v>0</v>
      </c>
      <c r="AB111" s="27">
        <f t="shared" si="18"/>
        <v>0</v>
      </c>
      <c r="AC111" s="28" t="str">
        <f>IFERROR(VLOOKUP($I111&amp;"|"&amp;$A111,Table2[],2,FALSE),"")</f>
        <v/>
      </c>
      <c r="AD111" s="29" t="str">
        <f>IFERROR(VLOOKUP($I111&amp;"|"&amp;$A111,Table2[],3,FALSE),"")</f>
        <v/>
      </c>
      <c r="AE111" s="28">
        <f t="shared" si="19"/>
        <v>0</v>
      </c>
      <c r="AF111" s="28" t="str">
        <f t="shared" si="20"/>
        <v/>
      </c>
      <c r="AG111" s="30" t="str">
        <f t="shared" si="21"/>
        <v/>
      </c>
      <c r="AH111" s="28" t="str">
        <f>IFERROR(VLOOKUP($I111&amp;"|"&amp;$A111,Table2[],4,FALSE),"")</f>
        <v/>
      </c>
      <c r="AI111" s="28" t="str">
        <f t="shared" si="22"/>
        <v/>
      </c>
      <c r="AJ111" s="31">
        <f t="shared" si="23"/>
        <v>0</v>
      </c>
      <c r="AK111" s="32">
        <f t="shared" si="27"/>
        <v>0</v>
      </c>
      <c r="AL111" s="33">
        <f t="shared" si="24"/>
        <v>0</v>
      </c>
      <c r="AM111" s="31">
        <f t="shared" si="25"/>
        <v>0</v>
      </c>
      <c r="AN111" s="32">
        <f t="shared" si="28"/>
        <v>0</v>
      </c>
      <c r="AO111" s="33">
        <f t="shared" si="26"/>
        <v>0</v>
      </c>
    </row>
    <row r="112" spans="1:41" s="14" customFormat="1" ht="27" customHeight="1" x14ac:dyDescent="0.25">
      <c r="A112" s="102"/>
      <c r="B112" s="22">
        <f>IFERROR(IF(VLOOKUP(A112,Table3[],MATCH('2023 sintesi '!I112,Table3[#Headers],0),0)=0,IFERROR(VLOOKUP($A112,Table1[],2,FALSE),0),VLOOKUP(A112,Table3[],MATCH('2023 sintesi '!I112,Table3[#Headers],0),0)),0)</f>
        <v>0</v>
      </c>
      <c r="C112" s="23">
        <f>IFERROR(VLOOKUP($A112,Table1[],3,FALSE),0)</f>
        <v>0</v>
      </c>
      <c r="D112" s="102"/>
      <c r="E112" s="102"/>
      <c r="F112" s="104"/>
      <c r="G112" s="102"/>
      <c r="H112" s="102"/>
      <c r="I112" s="109"/>
      <c r="J112" s="106"/>
      <c r="K112" s="111"/>
      <c r="L112" s="45"/>
      <c r="M112" s="46"/>
      <c r="N112" s="46"/>
      <c r="O112" s="46"/>
      <c r="P112" s="46"/>
      <c r="Q112" s="36"/>
      <c r="R112" s="36"/>
      <c r="S112" s="36"/>
      <c r="T112" s="36"/>
      <c r="U112" s="36"/>
      <c r="V112" s="36"/>
      <c r="W112" s="36"/>
      <c r="X112" s="25">
        <f t="shared" si="15"/>
        <v>0</v>
      </c>
      <c r="Y112" s="26">
        <f t="shared" si="16"/>
        <v>0</v>
      </c>
      <c r="Z112" s="26"/>
      <c r="AA112" s="27">
        <f t="shared" si="17"/>
        <v>0</v>
      </c>
      <c r="AB112" s="27">
        <f t="shared" si="18"/>
        <v>0</v>
      </c>
      <c r="AC112" s="28" t="str">
        <f>IFERROR(VLOOKUP($I112&amp;"|"&amp;$A112,Table2[],2,FALSE),"")</f>
        <v/>
      </c>
      <c r="AD112" s="29" t="str">
        <f>IFERROR(VLOOKUP($I112&amp;"|"&amp;$A112,Table2[],3,FALSE),"")</f>
        <v/>
      </c>
      <c r="AE112" s="28">
        <f t="shared" si="19"/>
        <v>0</v>
      </c>
      <c r="AF112" s="28" t="str">
        <f t="shared" si="20"/>
        <v/>
      </c>
      <c r="AG112" s="30" t="str">
        <f t="shared" si="21"/>
        <v/>
      </c>
      <c r="AH112" s="28" t="str">
        <f>IFERROR(VLOOKUP($I112&amp;"|"&amp;$A112,Table2[],4,FALSE),"")</f>
        <v/>
      </c>
      <c r="AI112" s="28" t="str">
        <f t="shared" si="22"/>
        <v/>
      </c>
      <c r="AJ112" s="31">
        <f t="shared" si="23"/>
        <v>0</v>
      </c>
      <c r="AK112" s="32">
        <f t="shared" si="27"/>
        <v>0</v>
      </c>
      <c r="AL112" s="33">
        <f t="shared" si="24"/>
        <v>0</v>
      </c>
      <c r="AM112" s="31">
        <f t="shared" si="25"/>
        <v>0</v>
      </c>
      <c r="AN112" s="32">
        <f t="shared" si="28"/>
        <v>0</v>
      </c>
      <c r="AO112" s="33">
        <f t="shared" si="26"/>
        <v>0</v>
      </c>
    </row>
    <row r="113" spans="1:41" s="14" customFormat="1" ht="27" customHeight="1" x14ac:dyDescent="0.25">
      <c r="A113" s="102"/>
      <c r="B113" s="22">
        <f>IFERROR(IF(VLOOKUP(A113,Table3[],MATCH('2023 sintesi '!I113,Table3[#Headers],0),0)=0,IFERROR(VLOOKUP($A113,Table1[],2,FALSE),0),VLOOKUP(A113,Table3[],MATCH('2023 sintesi '!I113,Table3[#Headers],0),0)),0)</f>
        <v>0</v>
      </c>
      <c r="C113" s="23">
        <f>IFERROR(VLOOKUP($A113,Table1[],3,FALSE),0)</f>
        <v>0</v>
      </c>
      <c r="D113" s="102"/>
      <c r="E113" s="102"/>
      <c r="F113" s="104"/>
      <c r="G113" s="102"/>
      <c r="H113" s="102"/>
      <c r="I113" s="109"/>
      <c r="J113" s="106"/>
      <c r="K113" s="111"/>
      <c r="L113" s="35"/>
      <c r="M113" s="36"/>
      <c r="N113" s="36"/>
      <c r="O113" s="36"/>
      <c r="P113" s="36"/>
      <c r="Q113" s="36"/>
      <c r="R113" s="36"/>
      <c r="S113" s="36"/>
      <c r="T113" s="36"/>
      <c r="U113" s="36"/>
      <c r="V113" s="36"/>
      <c r="W113" s="36"/>
      <c r="X113" s="25">
        <f t="shared" si="15"/>
        <v>0</v>
      </c>
      <c r="Y113" s="26">
        <f t="shared" si="16"/>
        <v>0</v>
      </c>
      <c r="Z113" s="26"/>
      <c r="AA113" s="27">
        <f t="shared" si="17"/>
        <v>0</v>
      </c>
      <c r="AB113" s="27">
        <f t="shared" si="18"/>
        <v>0</v>
      </c>
      <c r="AC113" s="28" t="str">
        <f>IFERROR(VLOOKUP($I113&amp;"|"&amp;$A113,Table2[],2,FALSE),"")</f>
        <v/>
      </c>
      <c r="AD113" s="29" t="str">
        <f>IFERROR(VLOOKUP($I113&amp;"|"&amp;$A113,Table2[],3,FALSE),"")</f>
        <v/>
      </c>
      <c r="AE113" s="28">
        <f t="shared" si="19"/>
        <v>0</v>
      </c>
      <c r="AF113" s="28" t="str">
        <f t="shared" si="20"/>
        <v/>
      </c>
      <c r="AG113" s="30" t="str">
        <f t="shared" si="21"/>
        <v/>
      </c>
      <c r="AH113" s="28" t="str">
        <f>IFERROR(VLOOKUP($I113&amp;"|"&amp;$A113,Table2[],4,FALSE),"")</f>
        <v/>
      </c>
      <c r="AI113" s="28" t="str">
        <f t="shared" si="22"/>
        <v/>
      </c>
      <c r="AJ113" s="31">
        <f t="shared" si="23"/>
        <v>0</v>
      </c>
      <c r="AK113" s="32">
        <f t="shared" si="27"/>
        <v>0</v>
      </c>
      <c r="AL113" s="33">
        <f t="shared" si="24"/>
        <v>0</v>
      </c>
      <c r="AM113" s="31">
        <f t="shared" si="25"/>
        <v>0</v>
      </c>
      <c r="AN113" s="32">
        <f t="shared" si="28"/>
        <v>0</v>
      </c>
      <c r="AO113" s="33">
        <f t="shared" si="26"/>
        <v>0</v>
      </c>
    </row>
    <row r="114" spans="1:41" s="14" customFormat="1" ht="27" customHeight="1" x14ac:dyDescent="0.25">
      <c r="A114" s="102"/>
      <c r="B114" s="22">
        <f>IFERROR(IF(VLOOKUP(A114,Table3[],MATCH('2023 sintesi '!I114,Table3[#Headers],0),0)=0,IFERROR(VLOOKUP($A114,Table1[],2,FALSE),0),VLOOKUP(A114,Table3[],MATCH('2023 sintesi '!I114,Table3[#Headers],0),0)),0)</f>
        <v>0</v>
      </c>
      <c r="C114" s="23">
        <f>IFERROR(VLOOKUP($A114,Table1[],3,FALSE),0)</f>
        <v>0</v>
      </c>
      <c r="D114" s="102"/>
      <c r="E114" s="102"/>
      <c r="F114" s="104"/>
      <c r="G114" s="102"/>
      <c r="H114" s="102"/>
      <c r="I114" s="109"/>
      <c r="J114" s="106"/>
      <c r="K114" s="107"/>
      <c r="L114" s="35"/>
      <c r="M114" s="35"/>
      <c r="N114" s="35"/>
      <c r="O114" s="35"/>
      <c r="P114" s="35"/>
      <c r="Q114" s="35"/>
      <c r="R114" s="35"/>
      <c r="S114" s="35"/>
      <c r="T114" s="35"/>
      <c r="U114" s="35"/>
      <c r="V114" s="35"/>
      <c r="W114" s="35"/>
      <c r="X114" s="25">
        <f t="shared" si="15"/>
        <v>0</v>
      </c>
      <c r="Y114" s="26">
        <f t="shared" si="16"/>
        <v>0</v>
      </c>
      <c r="Z114" s="26"/>
      <c r="AA114" s="27">
        <f t="shared" si="17"/>
        <v>0</v>
      </c>
      <c r="AB114" s="27">
        <f t="shared" si="18"/>
        <v>0</v>
      </c>
      <c r="AC114" s="28" t="str">
        <f>IFERROR(VLOOKUP($I114&amp;"|"&amp;$A114,Table2[],2,FALSE),"")</f>
        <v/>
      </c>
      <c r="AD114" s="29" t="str">
        <f>IFERROR(VLOOKUP($I114&amp;"|"&amp;$A114,Table2[],3,FALSE),"")</f>
        <v/>
      </c>
      <c r="AE114" s="28">
        <f t="shared" si="19"/>
        <v>0</v>
      </c>
      <c r="AF114" s="28" t="str">
        <f t="shared" si="20"/>
        <v/>
      </c>
      <c r="AG114" s="30" t="str">
        <f t="shared" si="21"/>
        <v/>
      </c>
      <c r="AH114" s="28" t="str">
        <f>IFERROR(VLOOKUP($I114&amp;"|"&amp;$A114,Table2[],4,FALSE),"")</f>
        <v/>
      </c>
      <c r="AI114" s="28" t="str">
        <f t="shared" si="22"/>
        <v/>
      </c>
      <c r="AJ114" s="31">
        <f t="shared" si="23"/>
        <v>0</v>
      </c>
      <c r="AK114" s="32">
        <f t="shared" si="27"/>
        <v>0</v>
      </c>
      <c r="AL114" s="33">
        <f t="shared" si="24"/>
        <v>0</v>
      </c>
      <c r="AM114" s="31">
        <f t="shared" si="25"/>
        <v>0</v>
      </c>
      <c r="AN114" s="32">
        <f t="shared" si="28"/>
        <v>0</v>
      </c>
      <c r="AO114" s="33">
        <f t="shared" si="26"/>
        <v>0</v>
      </c>
    </row>
    <row r="115" spans="1:41" s="14" customFormat="1" ht="27" customHeight="1" x14ac:dyDescent="0.25">
      <c r="A115" s="102"/>
      <c r="B115" s="22">
        <f>IFERROR(IF(VLOOKUP(A115,Table3[],MATCH('2023 sintesi '!I115,Table3[#Headers],0),0)=0,IFERROR(VLOOKUP($A115,Table1[],2,FALSE),0),VLOOKUP(A115,Table3[],MATCH('2023 sintesi '!I115,Table3[#Headers],0),0)),0)</f>
        <v>0</v>
      </c>
      <c r="C115" s="23">
        <f>IFERROR(VLOOKUP($A115,Table1[],3,FALSE),0)</f>
        <v>0</v>
      </c>
      <c r="D115" s="102"/>
      <c r="E115" s="102"/>
      <c r="F115" s="104"/>
      <c r="G115" s="102"/>
      <c r="H115" s="102"/>
      <c r="I115" s="109"/>
      <c r="J115" s="106"/>
      <c r="K115" s="111"/>
      <c r="L115" s="35"/>
      <c r="M115" s="36"/>
      <c r="N115" s="36"/>
      <c r="O115" s="36"/>
      <c r="P115" s="36"/>
      <c r="Q115" s="36"/>
      <c r="R115" s="36"/>
      <c r="S115" s="36"/>
      <c r="T115" s="36"/>
      <c r="U115" s="36"/>
      <c r="V115" s="36"/>
      <c r="W115" s="36"/>
      <c r="X115" s="25">
        <f t="shared" si="15"/>
        <v>0</v>
      </c>
      <c r="Y115" s="26">
        <f t="shared" si="16"/>
        <v>0</v>
      </c>
      <c r="Z115" s="26"/>
      <c r="AA115" s="27">
        <f t="shared" si="17"/>
        <v>0</v>
      </c>
      <c r="AB115" s="27">
        <f t="shared" si="18"/>
        <v>0</v>
      </c>
      <c r="AC115" s="28" t="str">
        <f>IFERROR(VLOOKUP($I115&amp;"|"&amp;$A115,Table2[],2,FALSE),"")</f>
        <v/>
      </c>
      <c r="AD115" s="29" t="str">
        <f>IFERROR(VLOOKUP($I115&amp;"|"&amp;$A115,Table2[],3,FALSE),"")</f>
        <v/>
      </c>
      <c r="AE115" s="28">
        <f t="shared" si="19"/>
        <v>0</v>
      </c>
      <c r="AF115" s="28" t="str">
        <f t="shared" si="20"/>
        <v/>
      </c>
      <c r="AG115" s="30" t="str">
        <f t="shared" si="21"/>
        <v/>
      </c>
      <c r="AH115" s="28" t="str">
        <f>IFERROR(VLOOKUP($I115&amp;"|"&amp;$A115,Table2[],4,FALSE),"")</f>
        <v/>
      </c>
      <c r="AI115" s="28" t="str">
        <f t="shared" si="22"/>
        <v/>
      </c>
      <c r="AJ115" s="31">
        <f t="shared" si="23"/>
        <v>0</v>
      </c>
      <c r="AK115" s="32">
        <f t="shared" si="27"/>
        <v>0</v>
      </c>
      <c r="AL115" s="33">
        <f t="shared" si="24"/>
        <v>0</v>
      </c>
      <c r="AM115" s="31">
        <f t="shared" si="25"/>
        <v>0</v>
      </c>
      <c r="AN115" s="32">
        <f t="shared" si="28"/>
        <v>0</v>
      </c>
      <c r="AO115" s="33">
        <f t="shared" si="26"/>
        <v>0</v>
      </c>
    </row>
    <row r="116" spans="1:41" s="14" customFormat="1" ht="27" customHeight="1" x14ac:dyDescent="0.25">
      <c r="A116" s="102"/>
      <c r="B116" s="22">
        <f>IFERROR(IF(VLOOKUP(A116,Table3[],MATCH('2023 sintesi '!I116,Table3[#Headers],0),0)=0,IFERROR(VLOOKUP($A116,Table1[],2,FALSE),0),VLOOKUP(A116,Table3[],MATCH('2023 sintesi '!I116,Table3[#Headers],0),0)),0)</f>
        <v>0</v>
      </c>
      <c r="C116" s="23">
        <f>IFERROR(VLOOKUP($A116,Table1[],3,FALSE),0)</f>
        <v>0</v>
      </c>
      <c r="D116" s="102"/>
      <c r="E116" s="102"/>
      <c r="F116" s="104"/>
      <c r="G116" s="102"/>
      <c r="H116" s="102"/>
      <c r="I116" s="109"/>
      <c r="J116" s="106"/>
      <c r="K116" s="111"/>
      <c r="L116" s="35"/>
      <c r="M116" s="36"/>
      <c r="N116" s="36"/>
      <c r="O116" s="36"/>
      <c r="P116" s="36"/>
      <c r="Q116" s="36"/>
      <c r="R116" s="36"/>
      <c r="S116" s="36"/>
      <c r="T116" s="36"/>
      <c r="U116" s="36"/>
      <c r="V116" s="36"/>
      <c r="W116" s="36"/>
      <c r="X116" s="25">
        <f t="shared" si="15"/>
        <v>0</v>
      </c>
      <c r="Y116" s="26">
        <f t="shared" si="16"/>
        <v>0</v>
      </c>
      <c r="Z116" s="26"/>
      <c r="AA116" s="27">
        <f t="shared" si="17"/>
        <v>0</v>
      </c>
      <c r="AB116" s="27">
        <f t="shared" si="18"/>
        <v>0</v>
      </c>
      <c r="AC116" s="28" t="str">
        <f>IFERROR(VLOOKUP($I116&amp;"|"&amp;$A116,Table2[],2,FALSE),"")</f>
        <v/>
      </c>
      <c r="AD116" s="29" t="str">
        <f>IFERROR(VLOOKUP($I116&amp;"|"&amp;$A116,Table2[],3,FALSE),"")</f>
        <v/>
      </c>
      <c r="AE116" s="28">
        <f t="shared" si="19"/>
        <v>0</v>
      </c>
      <c r="AF116" s="28" t="str">
        <f t="shared" si="20"/>
        <v/>
      </c>
      <c r="AG116" s="30" t="str">
        <f t="shared" si="21"/>
        <v/>
      </c>
      <c r="AH116" s="28" t="str">
        <f>IFERROR(VLOOKUP($I116&amp;"|"&amp;$A116,Table2[],4,FALSE),"")</f>
        <v/>
      </c>
      <c r="AI116" s="28" t="str">
        <f t="shared" si="22"/>
        <v/>
      </c>
      <c r="AJ116" s="31">
        <f t="shared" si="23"/>
        <v>0</v>
      </c>
      <c r="AK116" s="32">
        <f t="shared" si="27"/>
        <v>0</v>
      </c>
      <c r="AL116" s="33">
        <f t="shared" si="24"/>
        <v>0</v>
      </c>
      <c r="AM116" s="31">
        <f t="shared" si="25"/>
        <v>0</v>
      </c>
      <c r="AN116" s="32">
        <f t="shared" si="28"/>
        <v>0</v>
      </c>
      <c r="AO116" s="33">
        <f t="shared" si="26"/>
        <v>0</v>
      </c>
    </row>
    <row r="117" spans="1:41" s="14" customFormat="1" ht="27" customHeight="1" x14ac:dyDescent="0.25">
      <c r="A117" s="102"/>
      <c r="B117" s="22">
        <f>IFERROR(IF(VLOOKUP(A117,Table3[],MATCH('2023 sintesi '!I117,Table3[#Headers],0),0)=0,IFERROR(VLOOKUP($A117,Table1[],2,FALSE),0),VLOOKUP(A117,Table3[],MATCH('2023 sintesi '!I117,Table3[#Headers],0),0)),0)</f>
        <v>0</v>
      </c>
      <c r="C117" s="23">
        <f>IFERROR(VLOOKUP($A117,Table1[],3,FALSE),0)</f>
        <v>0</v>
      </c>
      <c r="D117" s="102"/>
      <c r="E117" s="102"/>
      <c r="F117" s="104"/>
      <c r="G117" s="102"/>
      <c r="H117" s="102"/>
      <c r="I117" s="109"/>
      <c r="J117" s="106"/>
      <c r="K117" s="112"/>
      <c r="L117" s="35"/>
      <c r="M117" s="36"/>
      <c r="N117" s="36"/>
      <c r="O117" s="36"/>
      <c r="P117" s="36"/>
      <c r="Q117" s="36"/>
      <c r="R117" s="36"/>
      <c r="S117" s="36"/>
      <c r="T117" s="36"/>
      <c r="U117" s="36"/>
      <c r="V117" s="36"/>
      <c r="W117" s="36"/>
      <c r="X117" s="25">
        <f t="shared" si="15"/>
        <v>0</v>
      </c>
      <c r="Y117" s="26">
        <f t="shared" si="16"/>
        <v>0</v>
      </c>
      <c r="Z117" s="26"/>
      <c r="AA117" s="27">
        <f t="shared" si="17"/>
        <v>0</v>
      </c>
      <c r="AB117" s="27">
        <f t="shared" si="18"/>
        <v>0</v>
      </c>
      <c r="AC117" s="28" t="str">
        <f>IFERROR(VLOOKUP($I117&amp;"|"&amp;$A117,Table2[],2,FALSE),"")</f>
        <v/>
      </c>
      <c r="AD117" s="29" t="str">
        <f>IFERROR(VLOOKUP($I117&amp;"|"&amp;$A117,Table2[],3,FALSE),"")</f>
        <v/>
      </c>
      <c r="AE117" s="28">
        <f t="shared" si="19"/>
        <v>0</v>
      </c>
      <c r="AF117" s="28" t="str">
        <f t="shared" si="20"/>
        <v/>
      </c>
      <c r="AG117" s="30" t="str">
        <f t="shared" si="21"/>
        <v/>
      </c>
      <c r="AH117" s="28" t="str">
        <f>IFERROR(VLOOKUP($I117&amp;"|"&amp;$A117,Table2[],4,FALSE),"")</f>
        <v/>
      </c>
      <c r="AI117" s="28" t="str">
        <f t="shared" si="22"/>
        <v/>
      </c>
      <c r="AJ117" s="31">
        <f t="shared" si="23"/>
        <v>0</v>
      </c>
      <c r="AK117" s="32">
        <f t="shared" si="27"/>
        <v>0</v>
      </c>
      <c r="AL117" s="33">
        <f t="shared" si="24"/>
        <v>0</v>
      </c>
      <c r="AM117" s="31">
        <f t="shared" si="25"/>
        <v>0</v>
      </c>
      <c r="AN117" s="32">
        <f t="shared" si="28"/>
        <v>0</v>
      </c>
      <c r="AO117" s="33">
        <f t="shared" si="26"/>
        <v>0</v>
      </c>
    </row>
    <row r="118" spans="1:41" s="14" customFormat="1" ht="27" customHeight="1" x14ac:dyDescent="0.25">
      <c r="A118" s="102"/>
      <c r="B118" s="22">
        <f>IFERROR(IF(VLOOKUP(A118,Table3[],MATCH('2023 sintesi '!I118,Table3[#Headers],0),0)=0,IFERROR(VLOOKUP($A118,Table1[],2,FALSE),0),VLOOKUP(A118,Table3[],MATCH('2023 sintesi '!I118,Table3[#Headers],0),0)),0)</f>
        <v>0</v>
      </c>
      <c r="C118" s="23">
        <f>IFERROR(VLOOKUP($A118,Table1[],3,FALSE),0)</f>
        <v>0</v>
      </c>
      <c r="D118" s="102"/>
      <c r="E118" s="102"/>
      <c r="F118" s="104"/>
      <c r="G118" s="102"/>
      <c r="H118" s="102"/>
      <c r="I118" s="109"/>
      <c r="J118" s="106"/>
      <c r="K118" s="112"/>
      <c r="L118" s="35"/>
      <c r="M118" s="36"/>
      <c r="N118" s="36"/>
      <c r="O118" s="36"/>
      <c r="P118" s="36"/>
      <c r="Q118" s="36"/>
      <c r="R118" s="36"/>
      <c r="S118" s="36"/>
      <c r="T118" s="36"/>
      <c r="U118" s="36"/>
      <c r="V118" s="36"/>
      <c r="W118" s="36"/>
      <c r="X118" s="25">
        <f t="shared" si="15"/>
        <v>0</v>
      </c>
      <c r="Y118" s="26">
        <f t="shared" si="16"/>
        <v>0</v>
      </c>
      <c r="Z118" s="26"/>
      <c r="AA118" s="27">
        <f t="shared" si="17"/>
        <v>0</v>
      </c>
      <c r="AB118" s="27">
        <f t="shared" si="18"/>
        <v>0</v>
      </c>
      <c r="AC118" s="28" t="str">
        <f>IFERROR(VLOOKUP($I118&amp;"|"&amp;$A118,Table2[],2,FALSE),"")</f>
        <v/>
      </c>
      <c r="AD118" s="29" t="str">
        <f>IFERROR(VLOOKUP($I118&amp;"|"&amp;$A118,Table2[],3,FALSE),"")</f>
        <v/>
      </c>
      <c r="AE118" s="28">
        <f t="shared" si="19"/>
        <v>0</v>
      </c>
      <c r="AF118" s="28" t="str">
        <f t="shared" si="20"/>
        <v/>
      </c>
      <c r="AG118" s="30" t="str">
        <f t="shared" si="21"/>
        <v/>
      </c>
      <c r="AH118" s="28" t="str">
        <f>IFERROR(VLOOKUP($I118&amp;"|"&amp;$A118,Table2[],4,FALSE),"")</f>
        <v/>
      </c>
      <c r="AI118" s="28" t="str">
        <f t="shared" si="22"/>
        <v/>
      </c>
      <c r="AJ118" s="31">
        <f t="shared" si="23"/>
        <v>0</v>
      </c>
      <c r="AK118" s="32">
        <f t="shared" si="27"/>
        <v>0</v>
      </c>
      <c r="AL118" s="33">
        <f t="shared" si="24"/>
        <v>0</v>
      </c>
      <c r="AM118" s="31">
        <f t="shared" si="25"/>
        <v>0</v>
      </c>
      <c r="AN118" s="32">
        <f t="shared" si="28"/>
        <v>0</v>
      </c>
      <c r="AO118" s="33">
        <f t="shared" si="26"/>
        <v>0</v>
      </c>
    </row>
    <row r="119" spans="1:41" s="14" customFormat="1" ht="27" customHeight="1" x14ac:dyDescent="0.25">
      <c r="A119" s="102"/>
      <c r="B119" s="22">
        <f>IFERROR(IF(VLOOKUP(A119,Table3[],MATCH('2023 sintesi '!I119,Table3[#Headers],0),0)=0,IFERROR(VLOOKUP($A119,Table1[],2,FALSE),0),VLOOKUP(A119,Table3[],MATCH('2023 sintesi '!I119,Table3[#Headers],0),0)),0)</f>
        <v>0</v>
      </c>
      <c r="C119" s="23">
        <f>IFERROR(VLOOKUP($A119,Table1[],3,FALSE),0)</f>
        <v>0</v>
      </c>
      <c r="D119" s="102"/>
      <c r="E119" s="102"/>
      <c r="F119" s="104"/>
      <c r="G119" s="102"/>
      <c r="H119" s="102"/>
      <c r="I119" s="109"/>
      <c r="J119" s="106"/>
      <c r="K119" s="111"/>
      <c r="L119" s="35"/>
      <c r="M119" s="36"/>
      <c r="N119" s="36"/>
      <c r="O119" s="36"/>
      <c r="P119" s="36"/>
      <c r="Q119" s="36"/>
      <c r="R119" s="36"/>
      <c r="S119" s="36"/>
      <c r="T119" s="36"/>
      <c r="U119" s="36"/>
      <c r="V119" s="36"/>
      <c r="W119" s="36"/>
      <c r="X119" s="25">
        <f t="shared" si="15"/>
        <v>0</v>
      </c>
      <c r="Y119" s="26">
        <f t="shared" si="16"/>
        <v>0</v>
      </c>
      <c r="Z119" s="26"/>
      <c r="AA119" s="27">
        <f t="shared" si="17"/>
        <v>0</v>
      </c>
      <c r="AB119" s="27">
        <f t="shared" si="18"/>
        <v>0</v>
      </c>
      <c r="AC119" s="28" t="str">
        <f>IFERROR(VLOOKUP($I119&amp;"|"&amp;$A119,Table2[],2,FALSE),"")</f>
        <v/>
      </c>
      <c r="AD119" s="29" t="str">
        <f>IFERROR(VLOOKUP($I119&amp;"|"&amp;$A119,Table2[],3,FALSE),"")</f>
        <v/>
      </c>
      <c r="AE119" s="28">
        <f t="shared" si="19"/>
        <v>0</v>
      </c>
      <c r="AF119" s="28" t="str">
        <f t="shared" si="20"/>
        <v/>
      </c>
      <c r="AG119" s="30" t="str">
        <f t="shared" si="21"/>
        <v/>
      </c>
      <c r="AH119" s="28" t="str">
        <f>IFERROR(VLOOKUP($I119&amp;"|"&amp;$A119,Table2[],4,FALSE),"")</f>
        <v/>
      </c>
      <c r="AI119" s="28" t="str">
        <f t="shared" si="22"/>
        <v/>
      </c>
      <c r="AJ119" s="31">
        <f t="shared" si="23"/>
        <v>0</v>
      </c>
      <c r="AK119" s="32">
        <f t="shared" si="27"/>
        <v>0</v>
      </c>
      <c r="AL119" s="33">
        <f t="shared" si="24"/>
        <v>0</v>
      </c>
      <c r="AM119" s="31">
        <f t="shared" si="25"/>
        <v>0</v>
      </c>
      <c r="AN119" s="32">
        <f t="shared" si="28"/>
        <v>0</v>
      </c>
      <c r="AO119" s="33">
        <f t="shared" si="26"/>
        <v>0</v>
      </c>
    </row>
    <row r="120" spans="1:41" s="14" customFormat="1" ht="27" customHeight="1" x14ac:dyDescent="0.25">
      <c r="A120" s="102"/>
      <c r="B120" s="22">
        <f>IFERROR(IF(VLOOKUP(A120,Table3[],MATCH('2023 sintesi '!I120,Table3[#Headers],0),0)=0,IFERROR(VLOOKUP($A120,Table1[],2,FALSE),0),VLOOKUP(A120,Table3[],MATCH('2023 sintesi '!I120,Table3[#Headers],0),0)),0)</f>
        <v>0</v>
      </c>
      <c r="C120" s="23">
        <f>IFERROR(VLOOKUP($A120,Table1[],3,FALSE),0)</f>
        <v>0</v>
      </c>
      <c r="D120" s="102"/>
      <c r="E120" s="102"/>
      <c r="F120" s="104"/>
      <c r="G120" s="102"/>
      <c r="H120" s="102"/>
      <c r="I120" s="109"/>
      <c r="J120" s="106"/>
      <c r="K120" s="111"/>
      <c r="L120" s="35"/>
      <c r="M120" s="36"/>
      <c r="N120" s="36"/>
      <c r="O120" s="36"/>
      <c r="P120" s="36"/>
      <c r="Q120" s="36"/>
      <c r="R120" s="36"/>
      <c r="S120" s="36"/>
      <c r="T120" s="36"/>
      <c r="U120" s="36"/>
      <c r="V120" s="36"/>
      <c r="W120" s="36"/>
      <c r="X120" s="25">
        <f t="shared" si="15"/>
        <v>0</v>
      </c>
      <c r="Y120" s="26">
        <f t="shared" si="16"/>
        <v>0</v>
      </c>
      <c r="Z120" s="26"/>
      <c r="AA120" s="27">
        <f t="shared" si="17"/>
        <v>0</v>
      </c>
      <c r="AB120" s="27">
        <f t="shared" si="18"/>
        <v>0</v>
      </c>
      <c r="AC120" s="28" t="str">
        <f>IFERROR(VLOOKUP($I120&amp;"|"&amp;$A120,Table2[],2,FALSE),"")</f>
        <v/>
      </c>
      <c r="AD120" s="29" t="str">
        <f>IFERROR(VLOOKUP($I120&amp;"|"&amp;$A120,Table2[],3,FALSE),"")</f>
        <v/>
      </c>
      <c r="AE120" s="28">
        <f t="shared" si="19"/>
        <v>0</v>
      </c>
      <c r="AF120" s="28" t="str">
        <f t="shared" si="20"/>
        <v/>
      </c>
      <c r="AG120" s="30" t="str">
        <f t="shared" si="21"/>
        <v/>
      </c>
      <c r="AH120" s="28" t="str">
        <f>IFERROR(VLOOKUP($I120&amp;"|"&amp;$A120,Table2[],4,FALSE),"")</f>
        <v/>
      </c>
      <c r="AI120" s="28" t="str">
        <f t="shared" si="22"/>
        <v/>
      </c>
      <c r="AJ120" s="31">
        <f t="shared" si="23"/>
        <v>0</v>
      </c>
      <c r="AK120" s="32">
        <f t="shared" si="27"/>
        <v>0</v>
      </c>
      <c r="AL120" s="33">
        <f t="shared" si="24"/>
        <v>0</v>
      </c>
      <c r="AM120" s="31">
        <f t="shared" si="25"/>
        <v>0</v>
      </c>
      <c r="AN120" s="32">
        <f t="shared" si="28"/>
        <v>0</v>
      </c>
      <c r="AO120" s="33">
        <f t="shared" si="26"/>
        <v>0</v>
      </c>
    </row>
    <row r="121" spans="1:41" s="14" customFormat="1" ht="27" customHeight="1" x14ac:dyDescent="0.25">
      <c r="A121" s="102"/>
      <c r="B121" s="22">
        <f>IFERROR(IF(VLOOKUP(A121,Table3[],MATCH('2023 sintesi '!I121,Table3[#Headers],0),0)=0,IFERROR(VLOOKUP($A121,Table1[],2,FALSE),0),VLOOKUP(A121,Table3[],MATCH('2023 sintesi '!I121,Table3[#Headers],0),0)),0)</f>
        <v>0</v>
      </c>
      <c r="C121" s="23">
        <f>IFERROR(VLOOKUP($A121,Table1[],3,FALSE),0)</f>
        <v>0</v>
      </c>
      <c r="D121" s="102"/>
      <c r="E121" s="102"/>
      <c r="F121" s="104"/>
      <c r="G121" s="102"/>
      <c r="H121" s="102"/>
      <c r="I121" s="109"/>
      <c r="J121" s="106"/>
      <c r="K121" s="111"/>
      <c r="L121" s="35"/>
      <c r="M121" s="36"/>
      <c r="N121" s="36"/>
      <c r="O121" s="36"/>
      <c r="P121" s="36"/>
      <c r="Q121" s="36"/>
      <c r="R121" s="36"/>
      <c r="S121" s="36"/>
      <c r="T121" s="36"/>
      <c r="U121" s="36"/>
      <c r="V121" s="36"/>
      <c r="W121" s="36"/>
      <c r="X121" s="25">
        <f t="shared" si="15"/>
        <v>0</v>
      </c>
      <c r="Y121" s="26">
        <f t="shared" si="16"/>
        <v>0</v>
      </c>
      <c r="Z121" s="26"/>
      <c r="AA121" s="27">
        <f t="shared" si="17"/>
        <v>0</v>
      </c>
      <c r="AB121" s="27">
        <f t="shared" si="18"/>
        <v>0</v>
      </c>
      <c r="AC121" s="28" t="str">
        <f>IFERROR(VLOOKUP($I121&amp;"|"&amp;$A121,Table2[],2,FALSE),"")</f>
        <v/>
      </c>
      <c r="AD121" s="29" t="str">
        <f>IFERROR(VLOOKUP($I121&amp;"|"&amp;$A121,Table2[],3,FALSE),"")</f>
        <v/>
      </c>
      <c r="AE121" s="28">
        <f t="shared" si="19"/>
        <v>0</v>
      </c>
      <c r="AF121" s="28" t="str">
        <f t="shared" si="20"/>
        <v/>
      </c>
      <c r="AG121" s="30" t="str">
        <f t="shared" si="21"/>
        <v/>
      </c>
      <c r="AH121" s="28" t="str">
        <f>IFERROR(VLOOKUP($I121&amp;"|"&amp;$A121,Table2[],4,FALSE),"")</f>
        <v/>
      </c>
      <c r="AI121" s="28" t="str">
        <f t="shared" si="22"/>
        <v/>
      </c>
      <c r="AJ121" s="31">
        <f t="shared" si="23"/>
        <v>0</v>
      </c>
      <c r="AK121" s="32">
        <f t="shared" si="27"/>
        <v>0</v>
      </c>
      <c r="AL121" s="33">
        <f t="shared" si="24"/>
        <v>0</v>
      </c>
      <c r="AM121" s="31">
        <f t="shared" si="25"/>
        <v>0</v>
      </c>
      <c r="AN121" s="32">
        <f t="shared" si="28"/>
        <v>0</v>
      </c>
      <c r="AO121" s="33">
        <f t="shared" si="26"/>
        <v>0</v>
      </c>
    </row>
    <row r="122" spans="1:41" s="14" customFormat="1" ht="27" customHeight="1" x14ac:dyDescent="0.25">
      <c r="A122" s="102"/>
      <c r="B122" s="22">
        <f>IFERROR(IF(VLOOKUP(A122,Table3[],MATCH('2023 sintesi '!I122,Table3[#Headers],0),0)=0,IFERROR(VLOOKUP($A122,Table1[],2,FALSE),0),VLOOKUP(A122,Table3[],MATCH('2023 sintesi '!I122,Table3[#Headers],0),0)),0)</f>
        <v>0</v>
      </c>
      <c r="C122" s="23">
        <f>IFERROR(VLOOKUP($A122,Table1[],3,FALSE),0)</f>
        <v>0</v>
      </c>
      <c r="D122" s="102"/>
      <c r="E122" s="102"/>
      <c r="F122" s="104"/>
      <c r="G122" s="102"/>
      <c r="H122" s="102"/>
      <c r="I122" s="109"/>
      <c r="J122" s="106"/>
      <c r="K122" s="111"/>
      <c r="L122" s="35"/>
      <c r="M122" s="36"/>
      <c r="N122" s="36"/>
      <c r="O122" s="36"/>
      <c r="P122" s="36"/>
      <c r="Q122" s="36"/>
      <c r="R122" s="36"/>
      <c r="S122" s="36"/>
      <c r="T122" s="36"/>
      <c r="U122" s="36"/>
      <c r="V122" s="36"/>
      <c r="W122" s="36"/>
      <c r="X122" s="25">
        <f t="shared" si="15"/>
        <v>0</v>
      </c>
      <c r="Y122" s="26">
        <f t="shared" si="16"/>
        <v>0</v>
      </c>
      <c r="Z122" s="26"/>
      <c r="AA122" s="27">
        <f t="shared" si="17"/>
        <v>0</v>
      </c>
      <c r="AB122" s="27">
        <f t="shared" si="18"/>
        <v>0</v>
      </c>
      <c r="AC122" s="28" t="str">
        <f>IFERROR(VLOOKUP($I122&amp;"|"&amp;$A122,Table2[],2,FALSE),"")</f>
        <v/>
      </c>
      <c r="AD122" s="29" t="str">
        <f>IFERROR(VLOOKUP($I122&amp;"|"&amp;$A122,Table2[],3,FALSE),"")</f>
        <v/>
      </c>
      <c r="AE122" s="28">
        <f t="shared" si="19"/>
        <v>0</v>
      </c>
      <c r="AF122" s="28" t="str">
        <f t="shared" si="20"/>
        <v/>
      </c>
      <c r="AG122" s="30" t="str">
        <f t="shared" si="21"/>
        <v/>
      </c>
      <c r="AH122" s="28" t="str">
        <f>IFERROR(VLOOKUP($I122&amp;"|"&amp;$A122,Table2[],4,FALSE),"")</f>
        <v/>
      </c>
      <c r="AI122" s="28" t="str">
        <f t="shared" si="22"/>
        <v/>
      </c>
      <c r="AJ122" s="31">
        <f t="shared" si="23"/>
        <v>0</v>
      </c>
      <c r="AK122" s="32">
        <f t="shared" si="27"/>
        <v>0</v>
      </c>
      <c r="AL122" s="33">
        <f t="shared" si="24"/>
        <v>0</v>
      </c>
      <c r="AM122" s="31">
        <f t="shared" si="25"/>
        <v>0</v>
      </c>
      <c r="AN122" s="32">
        <f t="shared" si="28"/>
        <v>0</v>
      </c>
      <c r="AO122" s="33">
        <f t="shared" si="26"/>
        <v>0</v>
      </c>
    </row>
    <row r="123" spans="1:41" s="14" customFormat="1" ht="27" customHeight="1" x14ac:dyDescent="0.25">
      <c r="A123" s="102"/>
      <c r="B123" s="22">
        <f>IFERROR(IF(VLOOKUP(A123,Table3[],MATCH('2023 sintesi '!I123,Table3[#Headers],0),0)=0,IFERROR(VLOOKUP($A123,Table1[],2,FALSE),0),VLOOKUP(A123,Table3[],MATCH('2023 sintesi '!I123,Table3[#Headers],0),0)),0)</f>
        <v>0</v>
      </c>
      <c r="C123" s="23">
        <f>IFERROR(VLOOKUP($A123,Table1[],3,FALSE),0)</f>
        <v>0</v>
      </c>
      <c r="D123" s="102"/>
      <c r="E123" s="102"/>
      <c r="F123" s="104"/>
      <c r="G123" s="102"/>
      <c r="H123" s="102"/>
      <c r="I123" s="109"/>
      <c r="J123" s="106"/>
      <c r="K123" s="107"/>
      <c r="L123" s="35"/>
      <c r="M123" s="36"/>
      <c r="N123" s="36"/>
      <c r="O123" s="36"/>
      <c r="P123" s="36"/>
      <c r="Q123" s="36"/>
      <c r="R123" s="36"/>
      <c r="S123" s="36"/>
      <c r="T123" s="36"/>
      <c r="U123" s="36"/>
      <c r="V123" s="36"/>
      <c r="W123" s="36"/>
      <c r="X123" s="25">
        <f t="shared" si="15"/>
        <v>0</v>
      </c>
      <c r="Y123" s="26">
        <f t="shared" si="16"/>
        <v>0</v>
      </c>
      <c r="Z123" s="26"/>
      <c r="AA123" s="27">
        <f t="shared" si="17"/>
        <v>0</v>
      </c>
      <c r="AB123" s="27">
        <f t="shared" si="18"/>
        <v>0</v>
      </c>
      <c r="AC123" s="28" t="str">
        <f>IFERROR(VLOOKUP($I123&amp;"|"&amp;$A123,Table2[],2,FALSE),"")</f>
        <v/>
      </c>
      <c r="AD123" s="29" t="str">
        <f>IFERROR(VLOOKUP($I123&amp;"|"&amp;$A123,Table2[],3,FALSE),"")</f>
        <v/>
      </c>
      <c r="AE123" s="28">
        <f t="shared" si="19"/>
        <v>0</v>
      </c>
      <c r="AF123" s="28" t="str">
        <f t="shared" si="20"/>
        <v/>
      </c>
      <c r="AG123" s="30" t="str">
        <f t="shared" si="21"/>
        <v/>
      </c>
      <c r="AH123" s="28" t="str">
        <f>IFERROR(VLOOKUP($I123&amp;"|"&amp;$A123,Table2[],4,FALSE),"")</f>
        <v/>
      </c>
      <c r="AI123" s="28" t="str">
        <f t="shared" si="22"/>
        <v/>
      </c>
      <c r="AJ123" s="31">
        <f t="shared" si="23"/>
        <v>0</v>
      </c>
      <c r="AK123" s="32">
        <f t="shared" si="27"/>
        <v>0</v>
      </c>
      <c r="AL123" s="33">
        <f t="shared" si="24"/>
        <v>0</v>
      </c>
      <c r="AM123" s="31">
        <f t="shared" si="25"/>
        <v>0</v>
      </c>
      <c r="AN123" s="32">
        <f t="shared" si="28"/>
        <v>0</v>
      </c>
      <c r="AO123" s="33">
        <f t="shared" si="26"/>
        <v>0</v>
      </c>
    </row>
    <row r="124" spans="1:41" s="14" customFormat="1" ht="27" customHeight="1" x14ac:dyDescent="0.25">
      <c r="A124" s="102"/>
      <c r="B124" s="22">
        <f>IFERROR(IF(VLOOKUP(A124,Table3[],MATCH('2023 sintesi '!I124,Table3[#Headers],0),0)=0,IFERROR(VLOOKUP($A124,Table1[],2,FALSE),0),VLOOKUP(A124,Table3[],MATCH('2023 sintesi '!I124,Table3[#Headers],0),0)),0)</f>
        <v>0</v>
      </c>
      <c r="C124" s="23">
        <f>IFERROR(VLOOKUP($A124,Table1[],3,FALSE),0)</f>
        <v>0</v>
      </c>
      <c r="D124" s="102"/>
      <c r="E124" s="102"/>
      <c r="F124" s="104"/>
      <c r="G124" s="102"/>
      <c r="H124" s="102"/>
      <c r="I124" s="109"/>
      <c r="J124" s="106"/>
      <c r="K124" s="111"/>
      <c r="L124" s="35"/>
      <c r="M124" s="36"/>
      <c r="N124" s="36"/>
      <c r="O124" s="36"/>
      <c r="P124" s="36"/>
      <c r="Q124" s="36"/>
      <c r="R124" s="36"/>
      <c r="S124" s="36"/>
      <c r="T124" s="36"/>
      <c r="U124" s="36"/>
      <c r="V124" s="36"/>
      <c r="W124" s="36"/>
      <c r="X124" s="25">
        <f t="shared" si="15"/>
        <v>0</v>
      </c>
      <c r="Y124" s="26">
        <f t="shared" si="16"/>
        <v>0</v>
      </c>
      <c r="Z124" s="26"/>
      <c r="AA124" s="27">
        <f t="shared" si="17"/>
        <v>0</v>
      </c>
      <c r="AB124" s="27">
        <f t="shared" si="18"/>
        <v>0</v>
      </c>
      <c r="AC124" s="28" t="str">
        <f>IFERROR(VLOOKUP($I124&amp;"|"&amp;$A124,Table2[],2,FALSE),"")</f>
        <v/>
      </c>
      <c r="AD124" s="29" t="str">
        <f>IFERROR(VLOOKUP($I124&amp;"|"&amp;$A124,Table2[],3,FALSE),"")</f>
        <v/>
      </c>
      <c r="AE124" s="28">
        <f t="shared" si="19"/>
        <v>0</v>
      </c>
      <c r="AF124" s="28" t="str">
        <f t="shared" si="20"/>
        <v/>
      </c>
      <c r="AG124" s="30" t="str">
        <f t="shared" si="21"/>
        <v/>
      </c>
      <c r="AH124" s="28" t="str">
        <f>IFERROR(VLOOKUP($I124&amp;"|"&amp;$A124,Table2[],4,FALSE),"")</f>
        <v/>
      </c>
      <c r="AI124" s="28" t="str">
        <f t="shared" si="22"/>
        <v/>
      </c>
      <c r="AJ124" s="31">
        <f t="shared" si="23"/>
        <v>0</v>
      </c>
      <c r="AK124" s="32">
        <f t="shared" si="27"/>
        <v>0</v>
      </c>
      <c r="AL124" s="33">
        <f t="shared" si="24"/>
        <v>0</v>
      </c>
      <c r="AM124" s="31">
        <f t="shared" si="25"/>
        <v>0</v>
      </c>
      <c r="AN124" s="32">
        <f t="shared" si="28"/>
        <v>0</v>
      </c>
      <c r="AO124" s="33">
        <f t="shared" si="26"/>
        <v>0</v>
      </c>
    </row>
    <row r="125" spans="1:41" s="14" customFormat="1" ht="27" customHeight="1" x14ac:dyDescent="0.25">
      <c r="A125" s="102"/>
      <c r="B125" s="22">
        <f>IFERROR(IF(VLOOKUP(A125,Table3[],MATCH('2023 sintesi '!I125,Table3[#Headers],0),0)=0,IFERROR(VLOOKUP($A125,Table1[],2,FALSE),0),VLOOKUP(A125,Table3[],MATCH('2023 sintesi '!I125,Table3[#Headers],0),0)),0)</f>
        <v>0</v>
      </c>
      <c r="C125" s="23">
        <f>IFERROR(VLOOKUP($A125,Table1[],3,FALSE),0)</f>
        <v>0</v>
      </c>
      <c r="D125" s="102"/>
      <c r="E125" s="102"/>
      <c r="F125" s="104"/>
      <c r="G125" s="102"/>
      <c r="H125" s="102"/>
      <c r="I125" s="109"/>
      <c r="J125" s="106"/>
      <c r="K125" s="107"/>
      <c r="L125" s="35"/>
      <c r="M125" s="36"/>
      <c r="N125" s="36"/>
      <c r="O125" s="36"/>
      <c r="P125" s="36"/>
      <c r="Q125" s="36"/>
      <c r="R125" s="36"/>
      <c r="S125" s="36"/>
      <c r="T125" s="36"/>
      <c r="U125" s="36"/>
      <c r="V125" s="36"/>
      <c r="W125" s="36"/>
      <c r="X125" s="25">
        <f t="shared" si="15"/>
        <v>0</v>
      </c>
      <c r="Y125" s="26">
        <f t="shared" si="16"/>
        <v>0</v>
      </c>
      <c r="Z125" s="26"/>
      <c r="AA125" s="27">
        <f t="shared" si="17"/>
        <v>0</v>
      </c>
      <c r="AB125" s="27">
        <f t="shared" si="18"/>
        <v>0</v>
      </c>
      <c r="AC125" s="28" t="str">
        <f>IFERROR(VLOOKUP($I125&amp;"|"&amp;$A125,Table2[],2,FALSE),"")</f>
        <v/>
      </c>
      <c r="AD125" s="29" t="str">
        <f>IFERROR(VLOOKUP($I125&amp;"|"&amp;$A125,Table2[],3,FALSE),"")</f>
        <v/>
      </c>
      <c r="AE125" s="28">
        <f t="shared" si="19"/>
        <v>0</v>
      </c>
      <c r="AF125" s="28" t="str">
        <f t="shared" si="20"/>
        <v/>
      </c>
      <c r="AG125" s="30" t="str">
        <f t="shared" si="21"/>
        <v/>
      </c>
      <c r="AH125" s="28" t="str">
        <f>IFERROR(VLOOKUP($I125&amp;"|"&amp;$A125,Table2[],4,FALSE),"")</f>
        <v/>
      </c>
      <c r="AI125" s="28" t="str">
        <f t="shared" si="22"/>
        <v/>
      </c>
      <c r="AJ125" s="31">
        <f t="shared" si="23"/>
        <v>0</v>
      </c>
      <c r="AK125" s="32">
        <f t="shared" si="27"/>
        <v>0</v>
      </c>
      <c r="AL125" s="33">
        <f t="shared" si="24"/>
        <v>0</v>
      </c>
      <c r="AM125" s="31">
        <f t="shared" si="25"/>
        <v>0</v>
      </c>
      <c r="AN125" s="32">
        <f t="shared" si="28"/>
        <v>0</v>
      </c>
      <c r="AO125" s="33">
        <f t="shared" si="26"/>
        <v>0</v>
      </c>
    </row>
    <row r="126" spans="1:41" s="14" customFormat="1" ht="27" customHeight="1" x14ac:dyDescent="0.25">
      <c r="A126" s="102"/>
      <c r="B126" s="22">
        <f>IFERROR(IF(VLOOKUP(A126,Table3[],MATCH('2023 sintesi '!I126,Table3[#Headers],0),0)=0,IFERROR(VLOOKUP($A126,Table1[],2,FALSE),0),VLOOKUP(A126,Table3[],MATCH('2023 sintesi '!I126,Table3[#Headers],0),0)),0)</f>
        <v>0</v>
      </c>
      <c r="C126" s="23">
        <f>IFERROR(VLOOKUP($A126,Table1[],3,FALSE),0)</f>
        <v>0</v>
      </c>
      <c r="D126" s="102"/>
      <c r="E126" s="102"/>
      <c r="F126" s="104"/>
      <c r="G126" s="102"/>
      <c r="H126" s="102"/>
      <c r="I126" s="109"/>
      <c r="J126" s="106"/>
      <c r="K126" s="107"/>
      <c r="L126" s="35"/>
      <c r="M126" s="36"/>
      <c r="N126" s="36"/>
      <c r="O126" s="36"/>
      <c r="P126" s="36"/>
      <c r="Q126" s="36"/>
      <c r="R126" s="36"/>
      <c r="S126" s="36"/>
      <c r="T126" s="36"/>
      <c r="U126" s="36"/>
      <c r="V126" s="36"/>
      <c r="W126" s="36"/>
      <c r="X126" s="25">
        <f t="shared" si="15"/>
        <v>0</v>
      </c>
      <c r="Y126" s="26">
        <f t="shared" si="16"/>
        <v>0</v>
      </c>
      <c r="Z126" s="26"/>
      <c r="AA126" s="27">
        <f t="shared" si="17"/>
        <v>0</v>
      </c>
      <c r="AB126" s="27">
        <f t="shared" si="18"/>
        <v>0</v>
      </c>
      <c r="AC126" s="28" t="str">
        <f>IFERROR(VLOOKUP($I126&amp;"|"&amp;$A126,Table2[],2,FALSE),"")</f>
        <v/>
      </c>
      <c r="AD126" s="29" t="str">
        <f>IFERROR(VLOOKUP($I126&amp;"|"&amp;$A126,Table2[],3,FALSE),"")</f>
        <v/>
      </c>
      <c r="AE126" s="28">
        <f t="shared" si="19"/>
        <v>0</v>
      </c>
      <c r="AF126" s="28" t="str">
        <f t="shared" si="20"/>
        <v/>
      </c>
      <c r="AG126" s="30" t="str">
        <f t="shared" si="21"/>
        <v/>
      </c>
      <c r="AH126" s="28" t="str">
        <f>IFERROR(VLOOKUP($I126&amp;"|"&amp;$A126,Table2[],4,FALSE),"")</f>
        <v/>
      </c>
      <c r="AI126" s="28" t="str">
        <f t="shared" si="22"/>
        <v/>
      </c>
      <c r="AJ126" s="31">
        <f t="shared" si="23"/>
        <v>0</v>
      </c>
      <c r="AK126" s="32">
        <f t="shared" si="27"/>
        <v>0</v>
      </c>
      <c r="AL126" s="33">
        <f t="shared" si="24"/>
        <v>0</v>
      </c>
      <c r="AM126" s="31">
        <f t="shared" si="25"/>
        <v>0</v>
      </c>
      <c r="AN126" s="32">
        <f t="shared" si="28"/>
        <v>0</v>
      </c>
      <c r="AO126" s="33">
        <f t="shared" si="26"/>
        <v>0</v>
      </c>
    </row>
    <row r="127" spans="1:41" s="14" customFormat="1" ht="27" customHeight="1" x14ac:dyDescent="0.25">
      <c r="A127" s="102"/>
      <c r="B127" s="22">
        <f>IFERROR(IF(VLOOKUP(A127,Table3[],MATCH('2023 sintesi '!I127,Table3[#Headers],0),0)=0,IFERROR(VLOOKUP($A127,Table1[],2,FALSE),0),VLOOKUP(A127,Table3[],MATCH('2023 sintesi '!I127,Table3[#Headers],0),0)),0)</f>
        <v>0</v>
      </c>
      <c r="C127" s="23">
        <f>IFERROR(VLOOKUP($A127,Table1[],3,FALSE),0)</f>
        <v>0</v>
      </c>
      <c r="D127" s="102"/>
      <c r="E127" s="102"/>
      <c r="F127" s="104"/>
      <c r="G127" s="102"/>
      <c r="H127" s="102"/>
      <c r="I127" s="105"/>
      <c r="J127" s="110"/>
      <c r="K127" s="107"/>
      <c r="L127" s="35"/>
      <c r="M127" s="36"/>
      <c r="N127" s="36"/>
      <c r="O127" s="36"/>
      <c r="P127" s="36"/>
      <c r="Q127" s="36"/>
      <c r="R127" s="36"/>
      <c r="S127" s="36"/>
      <c r="T127" s="36"/>
      <c r="U127" s="36"/>
      <c r="V127" s="36"/>
      <c r="W127" s="36"/>
      <c r="X127" s="25">
        <f t="shared" si="15"/>
        <v>0</v>
      </c>
      <c r="Y127" s="26">
        <f t="shared" si="16"/>
        <v>0</v>
      </c>
      <c r="Z127" s="26"/>
      <c r="AA127" s="27">
        <f t="shared" si="17"/>
        <v>0</v>
      </c>
      <c r="AB127" s="27">
        <f t="shared" si="18"/>
        <v>0</v>
      </c>
      <c r="AC127" s="28" t="str">
        <f>IFERROR(VLOOKUP($I127&amp;"|"&amp;$A127,Table2[],2,FALSE),"")</f>
        <v/>
      </c>
      <c r="AD127" s="29" t="str">
        <f>IFERROR(VLOOKUP($I127&amp;"|"&amp;$A127,Table2[],3,FALSE),"")</f>
        <v/>
      </c>
      <c r="AE127" s="28">
        <f t="shared" si="19"/>
        <v>0</v>
      </c>
      <c r="AF127" s="28" t="str">
        <f t="shared" si="20"/>
        <v/>
      </c>
      <c r="AG127" s="30" t="str">
        <f t="shared" si="21"/>
        <v/>
      </c>
      <c r="AH127" s="28" t="str">
        <f>IFERROR(VLOOKUP($I127&amp;"|"&amp;$A127,Table2[],4,FALSE),"")</f>
        <v/>
      </c>
      <c r="AI127" s="28" t="str">
        <f t="shared" si="22"/>
        <v/>
      </c>
      <c r="AJ127" s="31">
        <f t="shared" si="23"/>
        <v>0</v>
      </c>
      <c r="AK127" s="32">
        <f t="shared" si="27"/>
        <v>0</v>
      </c>
      <c r="AL127" s="33">
        <f t="shared" si="24"/>
        <v>0</v>
      </c>
      <c r="AM127" s="31">
        <f t="shared" si="25"/>
        <v>0</v>
      </c>
      <c r="AN127" s="32">
        <f t="shared" si="28"/>
        <v>0</v>
      </c>
      <c r="AO127" s="33">
        <f t="shared" si="26"/>
        <v>0</v>
      </c>
    </row>
    <row r="128" spans="1:41" s="14" customFormat="1" ht="27" customHeight="1" x14ac:dyDescent="0.25">
      <c r="A128" s="102"/>
      <c r="B128" s="22">
        <f>IFERROR(IF(VLOOKUP(A128,Table3[],MATCH('2023 sintesi '!I128,Table3[#Headers],0),0)=0,IFERROR(VLOOKUP($A128,Table1[],2,FALSE),0),VLOOKUP(A128,Table3[],MATCH('2023 sintesi '!I128,Table3[#Headers],0),0)),0)</f>
        <v>0</v>
      </c>
      <c r="C128" s="23">
        <f>IFERROR(VLOOKUP($A128,Table1[],3,FALSE),0)</f>
        <v>0</v>
      </c>
      <c r="D128" s="102"/>
      <c r="E128" s="102"/>
      <c r="F128" s="108"/>
      <c r="G128" s="102"/>
      <c r="H128" s="102"/>
      <c r="I128" s="109"/>
      <c r="J128" s="106"/>
      <c r="K128" s="107"/>
      <c r="L128" s="35"/>
      <c r="M128" s="36"/>
      <c r="N128" s="36"/>
      <c r="O128" s="36"/>
      <c r="P128" s="36"/>
      <c r="Q128" s="36"/>
      <c r="R128" s="36"/>
      <c r="S128" s="36"/>
      <c r="T128" s="36"/>
      <c r="U128" s="36"/>
      <c r="V128" s="36"/>
      <c r="W128" s="36"/>
      <c r="X128" s="25">
        <f t="shared" si="15"/>
        <v>0</v>
      </c>
      <c r="Y128" s="26">
        <f t="shared" si="16"/>
        <v>0</v>
      </c>
      <c r="Z128" s="26"/>
      <c r="AA128" s="27">
        <f t="shared" si="17"/>
        <v>0</v>
      </c>
      <c r="AB128" s="27">
        <f t="shared" si="18"/>
        <v>0</v>
      </c>
      <c r="AC128" s="28" t="str">
        <f>IFERROR(VLOOKUP($I128&amp;"|"&amp;$A128,Table2[],2,FALSE),"")</f>
        <v/>
      </c>
      <c r="AD128" s="29" t="str">
        <f>IFERROR(VLOOKUP($I128&amp;"|"&amp;$A128,Table2[],3,FALSE),"")</f>
        <v/>
      </c>
      <c r="AE128" s="28">
        <f t="shared" si="19"/>
        <v>0</v>
      </c>
      <c r="AF128" s="28" t="str">
        <f t="shared" si="20"/>
        <v/>
      </c>
      <c r="AG128" s="30" t="str">
        <f t="shared" si="21"/>
        <v/>
      </c>
      <c r="AH128" s="28" t="str">
        <f>IFERROR(VLOOKUP($I128&amp;"|"&amp;$A128,Table2[],4,FALSE),"")</f>
        <v/>
      </c>
      <c r="AI128" s="28" t="str">
        <f t="shared" si="22"/>
        <v/>
      </c>
      <c r="AJ128" s="31">
        <f t="shared" si="23"/>
        <v>0</v>
      </c>
      <c r="AK128" s="32">
        <f t="shared" si="27"/>
        <v>0</v>
      </c>
      <c r="AL128" s="33">
        <f t="shared" si="24"/>
        <v>0</v>
      </c>
      <c r="AM128" s="31">
        <f t="shared" si="25"/>
        <v>0</v>
      </c>
      <c r="AN128" s="32">
        <f t="shared" si="28"/>
        <v>0</v>
      </c>
      <c r="AO128" s="33">
        <f t="shared" si="26"/>
        <v>0</v>
      </c>
    </row>
    <row r="129" spans="1:41" s="14" customFormat="1" ht="27" customHeight="1" x14ac:dyDescent="0.25">
      <c r="A129" s="102"/>
      <c r="B129" s="22">
        <f>IFERROR(IF(VLOOKUP(A129,Table3[],MATCH('2023 sintesi '!I129,Table3[#Headers],0),0)=0,IFERROR(VLOOKUP($A129,Table1[],2,FALSE),0),VLOOKUP(A129,Table3[],MATCH('2023 sintesi '!I129,Table3[#Headers],0),0)),0)</f>
        <v>0</v>
      </c>
      <c r="C129" s="23">
        <f>IFERROR(VLOOKUP($A129,Table1[],3,FALSE),0)</f>
        <v>0</v>
      </c>
      <c r="D129" s="102"/>
      <c r="E129" s="102"/>
      <c r="F129" s="108"/>
      <c r="G129" s="102"/>
      <c r="H129" s="102"/>
      <c r="I129" s="109"/>
      <c r="J129" s="106"/>
      <c r="K129" s="107"/>
      <c r="L129" s="35"/>
      <c r="M129" s="35"/>
      <c r="N129" s="35"/>
      <c r="O129" s="35"/>
      <c r="P129" s="35"/>
      <c r="Q129" s="35"/>
      <c r="R129" s="35"/>
      <c r="S129" s="35"/>
      <c r="T129" s="35"/>
      <c r="U129" s="35"/>
      <c r="V129" s="35"/>
      <c r="W129" s="35"/>
      <c r="X129" s="25">
        <f t="shared" si="15"/>
        <v>0</v>
      </c>
      <c r="Y129" s="26">
        <f t="shared" si="16"/>
        <v>0</v>
      </c>
      <c r="Z129" s="26"/>
      <c r="AA129" s="27">
        <f t="shared" si="17"/>
        <v>0</v>
      </c>
      <c r="AB129" s="27">
        <f t="shared" si="18"/>
        <v>0</v>
      </c>
      <c r="AC129" s="28" t="str">
        <f>IFERROR(VLOOKUP($I129&amp;"|"&amp;$A129,Table2[],2,FALSE),"")</f>
        <v/>
      </c>
      <c r="AD129" s="29" t="str">
        <f>IFERROR(VLOOKUP($I129&amp;"|"&amp;$A129,Table2[],3,FALSE),"")</f>
        <v/>
      </c>
      <c r="AE129" s="28">
        <f t="shared" si="19"/>
        <v>0</v>
      </c>
      <c r="AF129" s="28" t="str">
        <f t="shared" si="20"/>
        <v/>
      </c>
      <c r="AG129" s="30" t="str">
        <f t="shared" si="21"/>
        <v/>
      </c>
      <c r="AH129" s="28" t="str">
        <f>IFERROR(VLOOKUP($I129&amp;"|"&amp;$A129,Table2[],4,FALSE),"")</f>
        <v/>
      </c>
      <c r="AI129" s="28" t="str">
        <f t="shared" si="22"/>
        <v/>
      </c>
      <c r="AJ129" s="31">
        <f t="shared" si="23"/>
        <v>0</v>
      </c>
      <c r="AK129" s="32">
        <f t="shared" si="27"/>
        <v>0</v>
      </c>
      <c r="AL129" s="33">
        <f t="shared" si="24"/>
        <v>0</v>
      </c>
      <c r="AM129" s="31">
        <f t="shared" si="25"/>
        <v>0</v>
      </c>
      <c r="AN129" s="32">
        <f t="shared" si="28"/>
        <v>0</v>
      </c>
      <c r="AO129" s="33">
        <f t="shared" si="26"/>
        <v>0</v>
      </c>
    </row>
    <row r="130" spans="1:41" s="14" customFormat="1" ht="27" customHeight="1" x14ac:dyDescent="0.25">
      <c r="A130" s="102"/>
      <c r="B130" s="22">
        <f>IFERROR(IF(VLOOKUP(A130,Table3[],MATCH('2023 sintesi '!I130,Table3[#Headers],0),0)=0,IFERROR(VLOOKUP($A130,Table1[],2,FALSE),0),VLOOKUP(A130,Table3[],MATCH('2023 sintesi '!I130,Table3[#Headers],0),0)),0)</f>
        <v>0</v>
      </c>
      <c r="C130" s="23">
        <f>IFERROR(VLOOKUP($A130,Table1[],3,FALSE),0)</f>
        <v>0</v>
      </c>
      <c r="D130" s="102"/>
      <c r="E130" s="102"/>
      <c r="F130" s="108"/>
      <c r="G130" s="102"/>
      <c r="H130" s="102"/>
      <c r="I130" s="109"/>
      <c r="J130" s="106"/>
      <c r="K130" s="107"/>
      <c r="L130" s="35"/>
      <c r="M130" s="36"/>
      <c r="N130" s="36"/>
      <c r="O130" s="36"/>
      <c r="P130" s="36"/>
      <c r="Q130" s="36"/>
      <c r="R130" s="36"/>
      <c r="S130" s="36"/>
      <c r="T130" s="36"/>
      <c r="U130" s="36"/>
      <c r="V130" s="36"/>
      <c r="W130" s="36"/>
      <c r="X130" s="25">
        <f t="shared" si="15"/>
        <v>0</v>
      </c>
      <c r="Y130" s="26">
        <f t="shared" si="16"/>
        <v>0</v>
      </c>
      <c r="Z130" s="26"/>
      <c r="AA130" s="27">
        <f t="shared" si="17"/>
        <v>0</v>
      </c>
      <c r="AB130" s="27">
        <f t="shared" si="18"/>
        <v>0</v>
      </c>
      <c r="AC130" s="28" t="str">
        <f>IFERROR(VLOOKUP($I130&amp;"|"&amp;$A130,Table2[],2,FALSE),"")</f>
        <v/>
      </c>
      <c r="AD130" s="29" t="str">
        <f>IFERROR(VLOOKUP($I130&amp;"|"&amp;$A130,Table2[],3,FALSE),"")</f>
        <v/>
      </c>
      <c r="AE130" s="28">
        <f t="shared" si="19"/>
        <v>0</v>
      </c>
      <c r="AF130" s="28" t="str">
        <f t="shared" si="20"/>
        <v/>
      </c>
      <c r="AG130" s="30" t="str">
        <f t="shared" si="21"/>
        <v/>
      </c>
      <c r="AH130" s="28" t="str">
        <f>IFERROR(VLOOKUP($I130&amp;"|"&amp;$A130,Table2[],4,FALSE),"")</f>
        <v/>
      </c>
      <c r="AI130" s="28" t="str">
        <f t="shared" si="22"/>
        <v/>
      </c>
      <c r="AJ130" s="31">
        <f t="shared" si="23"/>
        <v>0</v>
      </c>
      <c r="AK130" s="32">
        <f t="shared" si="27"/>
        <v>0</v>
      </c>
      <c r="AL130" s="33">
        <f t="shared" si="24"/>
        <v>0</v>
      </c>
      <c r="AM130" s="31">
        <f t="shared" si="25"/>
        <v>0</v>
      </c>
      <c r="AN130" s="32">
        <f t="shared" si="28"/>
        <v>0</v>
      </c>
      <c r="AO130" s="33">
        <f t="shared" si="26"/>
        <v>0</v>
      </c>
    </row>
    <row r="131" spans="1:41" s="14" customFormat="1" ht="27" customHeight="1" x14ac:dyDescent="0.25">
      <c r="A131" s="102"/>
      <c r="B131" s="22">
        <f>IFERROR(IF(VLOOKUP(A131,Table3[],MATCH('2023 sintesi '!I131,Table3[#Headers],0),0)=0,IFERROR(VLOOKUP($A131,Table1[],2,FALSE),0),VLOOKUP(A131,Table3[],MATCH('2023 sintesi '!I131,Table3[#Headers],0),0)),0)</f>
        <v>0</v>
      </c>
      <c r="C131" s="23">
        <f>IFERROR(VLOOKUP($A131,Table1[],3,FALSE),0)</f>
        <v>0</v>
      </c>
      <c r="D131" s="102"/>
      <c r="E131" s="102"/>
      <c r="F131" s="108"/>
      <c r="G131" s="102"/>
      <c r="H131" s="102"/>
      <c r="I131" s="109"/>
      <c r="J131" s="106"/>
      <c r="K131" s="107"/>
      <c r="L131" s="35"/>
      <c r="M131" s="35"/>
      <c r="N131" s="35"/>
      <c r="O131" s="35"/>
      <c r="P131" s="35"/>
      <c r="Q131" s="35"/>
      <c r="R131" s="35"/>
      <c r="S131" s="35"/>
      <c r="T131" s="35"/>
      <c r="U131" s="35"/>
      <c r="V131" s="35"/>
      <c r="W131" s="35"/>
      <c r="X131" s="25">
        <f t="shared" si="15"/>
        <v>0</v>
      </c>
      <c r="Y131" s="26">
        <f t="shared" si="16"/>
        <v>0</v>
      </c>
      <c r="Z131" s="26"/>
      <c r="AA131" s="27">
        <f t="shared" si="17"/>
        <v>0</v>
      </c>
      <c r="AB131" s="27">
        <f t="shared" si="18"/>
        <v>0</v>
      </c>
      <c r="AC131" s="28" t="str">
        <f>IFERROR(VLOOKUP($I131&amp;"|"&amp;$A131,Table2[],2,FALSE),"")</f>
        <v/>
      </c>
      <c r="AD131" s="29" t="str">
        <f>IFERROR(VLOOKUP($I131&amp;"|"&amp;$A131,Table2[],3,FALSE),"")</f>
        <v/>
      </c>
      <c r="AE131" s="28">
        <f t="shared" si="19"/>
        <v>0</v>
      </c>
      <c r="AF131" s="28" t="str">
        <f t="shared" si="20"/>
        <v/>
      </c>
      <c r="AG131" s="30" t="str">
        <f t="shared" si="21"/>
        <v/>
      </c>
      <c r="AH131" s="28" t="str">
        <f>IFERROR(VLOOKUP($I131&amp;"|"&amp;$A131,Table2[],4,FALSE),"")</f>
        <v/>
      </c>
      <c r="AI131" s="28" t="str">
        <f t="shared" si="22"/>
        <v/>
      </c>
      <c r="AJ131" s="31">
        <f t="shared" si="23"/>
        <v>0</v>
      </c>
      <c r="AK131" s="32">
        <f t="shared" si="27"/>
        <v>0</v>
      </c>
      <c r="AL131" s="33">
        <f t="shared" si="24"/>
        <v>0</v>
      </c>
      <c r="AM131" s="31">
        <f t="shared" si="25"/>
        <v>0</v>
      </c>
      <c r="AN131" s="32">
        <f t="shared" si="28"/>
        <v>0</v>
      </c>
      <c r="AO131" s="33">
        <f t="shared" si="26"/>
        <v>0</v>
      </c>
    </row>
    <row r="132" spans="1:41" s="14" customFormat="1" ht="27" customHeight="1" x14ac:dyDescent="0.25">
      <c r="A132" s="102"/>
      <c r="B132" s="22">
        <f>IFERROR(IF(VLOOKUP(A132,Table3[],MATCH('2023 sintesi '!I132,Table3[#Headers],0),0)=0,IFERROR(VLOOKUP($A132,Table1[],2,FALSE),0),VLOOKUP(A132,Table3[],MATCH('2023 sintesi '!I132,Table3[#Headers],0),0)),0)</f>
        <v>0</v>
      </c>
      <c r="C132" s="23">
        <f>IFERROR(VLOOKUP($A132,Table1[],3,FALSE),0)</f>
        <v>0</v>
      </c>
      <c r="D132" s="102"/>
      <c r="E132" s="102"/>
      <c r="F132" s="108"/>
      <c r="G132" s="102"/>
      <c r="H132" s="102"/>
      <c r="I132" s="109"/>
      <c r="J132" s="106"/>
      <c r="K132" s="107"/>
      <c r="L132" s="35"/>
      <c r="M132" s="35"/>
      <c r="N132" s="35"/>
      <c r="O132" s="35"/>
      <c r="P132" s="35"/>
      <c r="Q132" s="35"/>
      <c r="R132" s="35"/>
      <c r="S132" s="35"/>
      <c r="T132" s="35"/>
      <c r="U132" s="35"/>
      <c r="V132" s="35"/>
      <c r="W132" s="35"/>
      <c r="X132" s="25">
        <f t="shared" si="15"/>
        <v>0</v>
      </c>
      <c r="Y132" s="26">
        <f t="shared" si="16"/>
        <v>0</v>
      </c>
      <c r="Z132" s="26"/>
      <c r="AA132" s="27">
        <f t="shared" si="17"/>
        <v>0</v>
      </c>
      <c r="AB132" s="27">
        <f t="shared" si="18"/>
        <v>0</v>
      </c>
      <c r="AC132" s="28" t="str">
        <f>IFERROR(VLOOKUP($I132&amp;"|"&amp;$A132,Table2[],2,FALSE),"")</f>
        <v/>
      </c>
      <c r="AD132" s="29" t="str">
        <f>IFERROR(VLOOKUP($I132&amp;"|"&amp;$A132,Table2[],3,FALSE),"")</f>
        <v/>
      </c>
      <c r="AE132" s="28">
        <f t="shared" si="19"/>
        <v>0</v>
      </c>
      <c r="AF132" s="28" t="str">
        <f t="shared" si="20"/>
        <v/>
      </c>
      <c r="AG132" s="30" t="str">
        <f t="shared" si="21"/>
        <v/>
      </c>
      <c r="AH132" s="28" t="str">
        <f>IFERROR(VLOOKUP($I132&amp;"|"&amp;$A132,Table2[],4,FALSE),"")</f>
        <v/>
      </c>
      <c r="AI132" s="28" t="str">
        <f t="shared" si="22"/>
        <v/>
      </c>
      <c r="AJ132" s="31">
        <f t="shared" si="23"/>
        <v>0</v>
      </c>
      <c r="AK132" s="32">
        <f t="shared" si="27"/>
        <v>0</v>
      </c>
      <c r="AL132" s="33">
        <f t="shared" si="24"/>
        <v>0</v>
      </c>
      <c r="AM132" s="31">
        <f t="shared" si="25"/>
        <v>0</v>
      </c>
      <c r="AN132" s="32">
        <f t="shared" si="28"/>
        <v>0</v>
      </c>
      <c r="AO132" s="33">
        <f t="shared" si="26"/>
        <v>0</v>
      </c>
    </row>
    <row r="133" spans="1:41" s="14" customFormat="1" ht="27" customHeight="1" x14ac:dyDescent="0.25">
      <c r="A133" s="102"/>
      <c r="B133" s="22">
        <f>IFERROR(IF(VLOOKUP(A133,Table3[],MATCH('2023 sintesi '!I133,Table3[#Headers],0),0)=0,IFERROR(VLOOKUP($A133,Table1[],2,FALSE),0),VLOOKUP(A133,Table3[],MATCH('2023 sintesi '!I133,Table3[#Headers],0),0)),0)</f>
        <v>0</v>
      </c>
      <c r="C133" s="23">
        <f>IFERROR(VLOOKUP($A133,Table1[],3,FALSE),0)</f>
        <v>0</v>
      </c>
      <c r="D133" s="102"/>
      <c r="E133" s="102"/>
      <c r="F133" s="108"/>
      <c r="G133" s="102"/>
      <c r="H133" s="102"/>
      <c r="I133" s="109"/>
      <c r="J133" s="106"/>
      <c r="K133" s="107"/>
      <c r="L133" s="35"/>
      <c r="M133" s="35"/>
      <c r="N133" s="35"/>
      <c r="O133" s="35"/>
      <c r="P133" s="35"/>
      <c r="Q133" s="35"/>
      <c r="R133" s="35"/>
      <c r="S133" s="35"/>
      <c r="T133" s="35"/>
      <c r="U133" s="35"/>
      <c r="V133" s="35"/>
      <c r="W133" s="35"/>
      <c r="X133" s="25">
        <f t="shared" si="15"/>
        <v>0</v>
      </c>
      <c r="Y133" s="26">
        <f t="shared" si="16"/>
        <v>0</v>
      </c>
      <c r="Z133" s="26"/>
      <c r="AA133" s="27">
        <f t="shared" si="17"/>
        <v>0</v>
      </c>
      <c r="AB133" s="27">
        <f t="shared" si="18"/>
        <v>0</v>
      </c>
      <c r="AC133" s="28" t="str">
        <f>IFERROR(VLOOKUP($I133&amp;"|"&amp;$A133,Table2[],2,FALSE),"")</f>
        <v/>
      </c>
      <c r="AD133" s="29" t="str">
        <f>IFERROR(VLOOKUP($I133&amp;"|"&amp;$A133,Table2[],3,FALSE),"")</f>
        <v/>
      </c>
      <c r="AE133" s="28">
        <f t="shared" si="19"/>
        <v>0</v>
      </c>
      <c r="AF133" s="28" t="str">
        <f t="shared" si="20"/>
        <v/>
      </c>
      <c r="AG133" s="30" t="str">
        <f t="shared" si="21"/>
        <v/>
      </c>
      <c r="AH133" s="28" t="str">
        <f>IFERROR(VLOOKUP($I133&amp;"|"&amp;$A133,Table2[],4,FALSE),"")</f>
        <v/>
      </c>
      <c r="AI133" s="28" t="str">
        <f t="shared" si="22"/>
        <v/>
      </c>
      <c r="AJ133" s="31">
        <f t="shared" si="23"/>
        <v>0</v>
      </c>
      <c r="AK133" s="32">
        <f t="shared" si="27"/>
        <v>0</v>
      </c>
      <c r="AL133" s="33">
        <f t="shared" si="24"/>
        <v>0</v>
      </c>
      <c r="AM133" s="31">
        <f t="shared" si="25"/>
        <v>0</v>
      </c>
      <c r="AN133" s="32">
        <f t="shared" si="28"/>
        <v>0</v>
      </c>
      <c r="AO133" s="33">
        <f t="shared" si="26"/>
        <v>0</v>
      </c>
    </row>
    <row r="134" spans="1:41" s="14" customFormat="1" ht="27" customHeight="1" x14ac:dyDescent="0.25">
      <c r="A134" s="102"/>
      <c r="B134" s="22">
        <f>IFERROR(IF(VLOOKUP(A134,Table3[],MATCH('2023 sintesi '!I134,Table3[#Headers],0),0)=0,IFERROR(VLOOKUP($A134,Table1[],2,FALSE),0),VLOOKUP(A134,Table3[],MATCH('2023 sintesi '!I134,Table3[#Headers],0),0)),0)</f>
        <v>0</v>
      </c>
      <c r="C134" s="23">
        <f>IFERROR(VLOOKUP($A134,Table1[],3,FALSE),0)</f>
        <v>0</v>
      </c>
      <c r="D134" s="102"/>
      <c r="E134" s="102"/>
      <c r="F134" s="108"/>
      <c r="G134" s="102"/>
      <c r="H134" s="102"/>
      <c r="I134" s="109"/>
      <c r="J134" s="106"/>
      <c r="K134" s="107"/>
      <c r="L134" s="35"/>
      <c r="M134" s="36"/>
      <c r="N134" s="36"/>
      <c r="O134" s="36"/>
      <c r="P134" s="36"/>
      <c r="Q134" s="36"/>
      <c r="R134" s="36"/>
      <c r="S134" s="36"/>
      <c r="T134" s="36"/>
      <c r="U134" s="36"/>
      <c r="V134" s="36"/>
      <c r="W134" s="36"/>
      <c r="X134" s="25">
        <f t="shared" si="15"/>
        <v>0</v>
      </c>
      <c r="Y134" s="26">
        <f t="shared" si="16"/>
        <v>0</v>
      </c>
      <c r="Z134" s="26"/>
      <c r="AA134" s="27">
        <f t="shared" si="17"/>
        <v>0</v>
      </c>
      <c r="AB134" s="27">
        <f t="shared" si="18"/>
        <v>0</v>
      </c>
      <c r="AC134" s="28" t="str">
        <f>IFERROR(VLOOKUP($I134&amp;"|"&amp;$A134,Table2[],2,FALSE),"")</f>
        <v/>
      </c>
      <c r="AD134" s="29" t="str">
        <f>IFERROR(VLOOKUP($I134&amp;"|"&amp;$A134,Table2[],3,FALSE),"")</f>
        <v/>
      </c>
      <c r="AE134" s="28">
        <f t="shared" si="19"/>
        <v>0</v>
      </c>
      <c r="AF134" s="28" t="str">
        <f t="shared" si="20"/>
        <v/>
      </c>
      <c r="AG134" s="30" t="str">
        <f t="shared" si="21"/>
        <v/>
      </c>
      <c r="AH134" s="28" t="str">
        <f>IFERROR(VLOOKUP($I134&amp;"|"&amp;$A134,Table2[],4,FALSE),"")</f>
        <v/>
      </c>
      <c r="AI134" s="28" t="str">
        <f t="shared" si="22"/>
        <v/>
      </c>
      <c r="AJ134" s="31">
        <f t="shared" si="23"/>
        <v>0</v>
      </c>
      <c r="AK134" s="32">
        <f t="shared" si="27"/>
        <v>0</v>
      </c>
      <c r="AL134" s="33">
        <f t="shared" si="24"/>
        <v>0</v>
      </c>
      <c r="AM134" s="31">
        <f t="shared" si="25"/>
        <v>0</v>
      </c>
      <c r="AN134" s="32">
        <f t="shared" si="28"/>
        <v>0</v>
      </c>
      <c r="AO134" s="33">
        <f t="shared" si="26"/>
        <v>0</v>
      </c>
    </row>
    <row r="135" spans="1:41" s="14" customFormat="1" ht="27" customHeight="1" x14ac:dyDescent="0.25">
      <c r="A135" s="102"/>
      <c r="B135" s="22">
        <f>IFERROR(IF(VLOOKUP(A135,Table3[],MATCH('2023 sintesi '!I135,Table3[#Headers],0),0)=0,IFERROR(VLOOKUP($A135,Table1[],2,FALSE),0),VLOOKUP(A135,Table3[],MATCH('2023 sintesi '!I135,Table3[#Headers],0),0)),0)</f>
        <v>0</v>
      </c>
      <c r="C135" s="23">
        <f>IFERROR(VLOOKUP($A135,Table1[],3,FALSE),0)</f>
        <v>0</v>
      </c>
      <c r="D135" s="102"/>
      <c r="E135" s="102"/>
      <c r="F135" s="108"/>
      <c r="G135" s="102"/>
      <c r="H135" s="102"/>
      <c r="I135" s="109"/>
      <c r="J135" s="106"/>
      <c r="K135" s="112"/>
      <c r="L135" s="35"/>
      <c r="M135" s="36"/>
      <c r="N135" s="36"/>
      <c r="O135" s="36"/>
      <c r="P135" s="36"/>
      <c r="Q135" s="36"/>
      <c r="R135" s="36"/>
      <c r="S135" s="36"/>
      <c r="T135" s="36"/>
      <c r="U135" s="36"/>
      <c r="V135" s="36"/>
      <c r="W135" s="36"/>
      <c r="X135" s="25">
        <f t="shared" si="15"/>
        <v>0</v>
      </c>
      <c r="Y135" s="26">
        <f t="shared" si="16"/>
        <v>0</v>
      </c>
      <c r="Z135" s="26"/>
      <c r="AA135" s="27">
        <f t="shared" si="17"/>
        <v>0</v>
      </c>
      <c r="AB135" s="27">
        <f t="shared" si="18"/>
        <v>0</v>
      </c>
      <c r="AC135" s="28" t="str">
        <f>IFERROR(VLOOKUP($I135&amp;"|"&amp;$A135,Table2[],2,FALSE),"")</f>
        <v/>
      </c>
      <c r="AD135" s="29" t="str">
        <f>IFERROR(VLOOKUP($I135&amp;"|"&amp;$A135,Table2[],3,FALSE),"")</f>
        <v/>
      </c>
      <c r="AE135" s="28">
        <f t="shared" si="19"/>
        <v>0</v>
      </c>
      <c r="AF135" s="28" t="str">
        <f t="shared" si="20"/>
        <v/>
      </c>
      <c r="AG135" s="30" t="str">
        <f t="shared" si="21"/>
        <v/>
      </c>
      <c r="AH135" s="28" t="str">
        <f>IFERROR(VLOOKUP($I135&amp;"|"&amp;$A135,Table2[],4,FALSE),"")</f>
        <v/>
      </c>
      <c r="AI135" s="28" t="str">
        <f t="shared" si="22"/>
        <v/>
      </c>
      <c r="AJ135" s="31">
        <f t="shared" si="23"/>
        <v>0</v>
      </c>
      <c r="AK135" s="32">
        <f t="shared" si="27"/>
        <v>0</v>
      </c>
      <c r="AL135" s="33">
        <f t="shared" si="24"/>
        <v>0</v>
      </c>
      <c r="AM135" s="31">
        <f t="shared" si="25"/>
        <v>0</v>
      </c>
      <c r="AN135" s="32">
        <f t="shared" si="28"/>
        <v>0</v>
      </c>
      <c r="AO135" s="33">
        <f t="shared" si="26"/>
        <v>0</v>
      </c>
    </row>
    <row r="136" spans="1:41" s="14" customFormat="1" ht="27" customHeight="1" x14ac:dyDescent="0.25">
      <c r="A136" s="102"/>
      <c r="B136" s="22">
        <f>IFERROR(IF(VLOOKUP(A136,Table3[],MATCH('2023 sintesi '!I136,Table3[#Headers],0),0)=0,IFERROR(VLOOKUP($A136,Table1[],2,FALSE),0),VLOOKUP(A136,Table3[],MATCH('2023 sintesi '!I136,Table3[#Headers],0),0)),0)</f>
        <v>0</v>
      </c>
      <c r="C136" s="23">
        <f>IFERROR(VLOOKUP($A136,Table1[],3,FALSE),0)</f>
        <v>0</v>
      </c>
      <c r="D136" s="102"/>
      <c r="E136" s="102"/>
      <c r="F136" s="108"/>
      <c r="G136" s="102"/>
      <c r="H136" s="102"/>
      <c r="I136" s="109"/>
      <c r="J136" s="106"/>
      <c r="K136" s="107"/>
      <c r="L136" s="35"/>
      <c r="M136" s="36"/>
      <c r="N136" s="36"/>
      <c r="O136" s="36"/>
      <c r="P136" s="36"/>
      <c r="Q136" s="36"/>
      <c r="R136" s="36"/>
      <c r="S136" s="36"/>
      <c r="T136" s="36"/>
      <c r="U136" s="36"/>
      <c r="V136" s="36"/>
      <c r="W136" s="36"/>
      <c r="X136" s="25">
        <f t="shared" si="15"/>
        <v>0</v>
      </c>
      <c r="Y136" s="26">
        <f t="shared" si="16"/>
        <v>0</v>
      </c>
      <c r="Z136" s="26"/>
      <c r="AA136" s="27">
        <f t="shared" si="17"/>
        <v>0</v>
      </c>
      <c r="AB136" s="27">
        <f t="shared" si="18"/>
        <v>0</v>
      </c>
      <c r="AC136" s="28" t="str">
        <f>IFERROR(VLOOKUP($I136&amp;"|"&amp;$A136,Table2[],2,FALSE),"")</f>
        <v/>
      </c>
      <c r="AD136" s="29" t="str">
        <f>IFERROR(VLOOKUP($I136&amp;"|"&amp;$A136,Table2[],3,FALSE),"")</f>
        <v/>
      </c>
      <c r="AE136" s="28">
        <f t="shared" si="19"/>
        <v>0</v>
      </c>
      <c r="AF136" s="28" t="str">
        <f t="shared" si="20"/>
        <v/>
      </c>
      <c r="AG136" s="30" t="str">
        <f t="shared" si="21"/>
        <v/>
      </c>
      <c r="AH136" s="28" t="str">
        <f>IFERROR(VLOOKUP($I136&amp;"|"&amp;$A136,Table2[],4,FALSE),"")</f>
        <v/>
      </c>
      <c r="AI136" s="28" t="str">
        <f t="shared" si="22"/>
        <v/>
      </c>
      <c r="AJ136" s="31">
        <f t="shared" si="23"/>
        <v>0</v>
      </c>
      <c r="AK136" s="32">
        <f t="shared" si="27"/>
        <v>0</v>
      </c>
      <c r="AL136" s="33">
        <f t="shared" si="24"/>
        <v>0</v>
      </c>
      <c r="AM136" s="31">
        <f t="shared" si="25"/>
        <v>0</v>
      </c>
      <c r="AN136" s="32">
        <f t="shared" si="28"/>
        <v>0</v>
      </c>
      <c r="AO136" s="33">
        <f t="shared" si="26"/>
        <v>0</v>
      </c>
    </row>
    <row r="137" spans="1:41" s="14" customFormat="1" ht="27" customHeight="1" x14ac:dyDescent="0.25">
      <c r="A137" s="102"/>
      <c r="B137" s="22">
        <f>IFERROR(IF(VLOOKUP(A137,Table3[],MATCH('2023 sintesi '!I137,Table3[#Headers],0),0)=0,IFERROR(VLOOKUP($A137,Table1[],2,FALSE),0),VLOOKUP(A137,Table3[],MATCH('2023 sintesi '!I137,Table3[#Headers],0),0)),0)</f>
        <v>0</v>
      </c>
      <c r="C137" s="23">
        <f>IFERROR(VLOOKUP($A137,Table1[],3,FALSE),0)</f>
        <v>0</v>
      </c>
      <c r="D137" s="102"/>
      <c r="E137" s="102"/>
      <c r="F137" s="108"/>
      <c r="G137" s="102"/>
      <c r="H137" s="102"/>
      <c r="I137" s="109"/>
      <c r="J137" s="106"/>
      <c r="K137" s="107"/>
      <c r="L137" s="35"/>
      <c r="M137" s="36"/>
      <c r="N137" s="36"/>
      <c r="O137" s="36"/>
      <c r="P137" s="36"/>
      <c r="Q137" s="36"/>
      <c r="R137" s="36"/>
      <c r="S137" s="36"/>
      <c r="T137" s="36"/>
      <c r="U137" s="36"/>
      <c r="V137" s="36"/>
      <c r="W137" s="36"/>
      <c r="X137" s="25">
        <f t="shared" si="15"/>
        <v>0</v>
      </c>
      <c r="Y137" s="26">
        <f t="shared" si="16"/>
        <v>0</v>
      </c>
      <c r="Z137" s="26"/>
      <c r="AA137" s="27">
        <f t="shared" si="17"/>
        <v>0</v>
      </c>
      <c r="AB137" s="27">
        <f t="shared" si="18"/>
        <v>0</v>
      </c>
      <c r="AC137" s="28" t="str">
        <f>IFERROR(VLOOKUP($I137&amp;"|"&amp;$A137,Table2[],2,FALSE),"")</f>
        <v/>
      </c>
      <c r="AD137" s="29" t="str">
        <f>IFERROR(VLOOKUP($I137&amp;"|"&amp;$A137,Table2[],3,FALSE),"")</f>
        <v/>
      </c>
      <c r="AE137" s="28">
        <f t="shared" si="19"/>
        <v>0</v>
      </c>
      <c r="AF137" s="28" t="str">
        <f t="shared" si="20"/>
        <v/>
      </c>
      <c r="AG137" s="30" t="str">
        <f t="shared" si="21"/>
        <v/>
      </c>
      <c r="AH137" s="28" t="str">
        <f>IFERROR(VLOOKUP($I137&amp;"|"&amp;$A137,Table2[],4,FALSE),"")</f>
        <v/>
      </c>
      <c r="AI137" s="28" t="str">
        <f t="shared" si="22"/>
        <v/>
      </c>
      <c r="AJ137" s="31">
        <f t="shared" si="23"/>
        <v>0</v>
      </c>
      <c r="AK137" s="32">
        <f t="shared" si="27"/>
        <v>0</v>
      </c>
      <c r="AL137" s="33">
        <f t="shared" si="24"/>
        <v>0</v>
      </c>
      <c r="AM137" s="31">
        <f t="shared" si="25"/>
        <v>0</v>
      </c>
      <c r="AN137" s="32">
        <f t="shared" si="28"/>
        <v>0</v>
      </c>
      <c r="AO137" s="33">
        <f t="shared" si="26"/>
        <v>0</v>
      </c>
    </row>
    <row r="138" spans="1:41" s="14" customFormat="1" ht="27" customHeight="1" x14ac:dyDescent="0.25">
      <c r="A138" s="102"/>
      <c r="B138" s="22">
        <f>IFERROR(IF(VLOOKUP(A138,Table3[],MATCH('2023 sintesi '!I138,Table3[#Headers],0),0)=0,IFERROR(VLOOKUP($A138,Table1[],2,FALSE),0),VLOOKUP(A138,Table3[],MATCH('2023 sintesi '!I138,Table3[#Headers],0),0)),0)</f>
        <v>0</v>
      </c>
      <c r="C138" s="23">
        <f>IFERROR(VLOOKUP($A138,Table1[],3,FALSE),0)</f>
        <v>0</v>
      </c>
      <c r="D138" s="102"/>
      <c r="E138" s="102"/>
      <c r="F138" s="108"/>
      <c r="G138" s="102"/>
      <c r="H138" s="102"/>
      <c r="I138" s="109"/>
      <c r="J138" s="106"/>
      <c r="K138" s="107"/>
      <c r="L138" s="35"/>
      <c r="M138" s="36"/>
      <c r="N138" s="36"/>
      <c r="O138" s="36"/>
      <c r="P138" s="36"/>
      <c r="Q138" s="36"/>
      <c r="R138" s="36"/>
      <c r="S138" s="36"/>
      <c r="T138" s="36"/>
      <c r="U138" s="36"/>
      <c r="V138" s="36"/>
      <c r="W138" s="36"/>
      <c r="X138" s="25">
        <f t="shared" si="15"/>
        <v>0</v>
      </c>
      <c r="Y138" s="26">
        <f t="shared" si="16"/>
        <v>0</v>
      </c>
      <c r="Z138" s="26"/>
      <c r="AA138" s="27">
        <f t="shared" si="17"/>
        <v>0</v>
      </c>
      <c r="AB138" s="27">
        <f t="shared" si="18"/>
        <v>0</v>
      </c>
      <c r="AC138" s="28" t="str">
        <f>IFERROR(VLOOKUP($I138&amp;"|"&amp;$A138,Table2[],2,FALSE),"")</f>
        <v/>
      </c>
      <c r="AD138" s="29" t="str">
        <f>IFERROR(VLOOKUP($I138&amp;"|"&amp;$A138,Table2[],3,FALSE),"")</f>
        <v/>
      </c>
      <c r="AE138" s="28">
        <f t="shared" si="19"/>
        <v>0</v>
      </c>
      <c r="AF138" s="28" t="str">
        <f t="shared" si="20"/>
        <v/>
      </c>
      <c r="AG138" s="30" t="str">
        <f t="shared" si="21"/>
        <v/>
      </c>
      <c r="AH138" s="28" t="str">
        <f>IFERROR(VLOOKUP($I138&amp;"|"&amp;$A138,Table2[],4,FALSE),"")</f>
        <v/>
      </c>
      <c r="AI138" s="28" t="str">
        <f t="shared" si="22"/>
        <v/>
      </c>
      <c r="AJ138" s="31">
        <f t="shared" si="23"/>
        <v>0</v>
      </c>
      <c r="AK138" s="32">
        <f t="shared" si="27"/>
        <v>0</v>
      </c>
      <c r="AL138" s="33">
        <f t="shared" si="24"/>
        <v>0</v>
      </c>
      <c r="AM138" s="31">
        <f t="shared" si="25"/>
        <v>0</v>
      </c>
      <c r="AN138" s="32">
        <f t="shared" si="28"/>
        <v>0</v>
      </c>
      <c r="AO138" s="33">
        <f t="shared" si="26"/>
        <v>0</v>
      </c>
    </row>
    <row r="139" spans="1:41" s="14" customFormat="1" ht="27" customHeight="1" x14ac:dyDescent="0.25">
      <c r="A139" s="102"/>
      <c r="B139" s="22">
        <f>IFERROR(IF(VLOOKUP(A139,Table3[],MATCH('2023 sintesi '!I139,Table3[#Headers],0),0)=0,IFERROR(VLOOKUP($A139,Table1[],2,FALSE),0),VLOOKUP(A139,Table3[],MATCH('2023 sintesi '!I139,Table3[#Headers],0),0)),0)</f>
        <v>0</v>
      </c>
      <c r="C139" s="23">
        <f>IFERROR(VLOOKUP($A139,Table1[],3,FALSE),0)</f>
        <v>0</v>
      </c>
      <c r="D139" s="102"/>
      <c r="E139" s="102"/>
      <c r="F139" s="108"/>
      <c r="G139" s="102"/>
      <c r="H139" s="102"/>
      <c r="I139" s="109"/>
      <c r="J139" s="106"/>
      <c r="K139" s="107"/>
      <c r="L139" s="35"/>
      <c r="M139" s="36"/>
      <c r="N139" s="36"/>
      <c r="O139" s="36"/>
      <c r="P139" s="36"/>
      <c r="Q139" s="36"/>
      <c r="R139" s="36"/>
      <c r="S139" s="36"/>
      <c r="T139" s="36"/>
      <c r="U139" s="36"/>
      <c r="V139" s="36"/>
      <c r="W139" s="36"/>
      <c r="X139" s="25">
        <f t="shared" si="15"/>
        <v>0</v>
      </c>
      <c r="Y139" s="26">
        <f t="shared" si="16"/>
        <v>0</v>
      </c>
      <c r="Z139" s="26"/>
      <c r="AA139" s="27">
        <f t="shared" si="17"/>
        <v>0</v>
      </c>
      <c r="AB139" s="27">
        <f t="shared" si="18"/>
        <v>0</v>
      </c>
      <c r="AC139" s="28" t="str">
        <f>IFERROR(VLOOKUP($I139&amp;"|"&amp;$A139,Table2[],2,FALSE),"")</f>
        <v/>
      </c>
      <c r="AD139" s="29" t="str">
        <f>IFERROR(VLOOKUP($I139&amp;"|"&amp;$A139,Table2[],3,FALSE),"")</f>
        <v/>
      </c>
      <c r="AE139" s="28">
        <f t="shared" si="19"/>
        <v>0</v>
      </c>
      <c r="AF139" s="28" t="str">
        <f t="shared" si="20"/>
        <v/>
      </c>
      <c r="AG139" s="30" t="str">
        <f t="shared" si="21"/>
        <v/>
      </c>
      <c r="AH139" s="28" t="str">
        <f>IFERROR(VLOOKUP($I139&amp;"|"&amp;$A139,Table2[],4,FALSE),"")</f>
        <v/>
      </c>
      <c r="AI139" s="28" t="str">
        <f t="shared" si="22"/>
        <v/>
      </c>
      <c r="AJ139" s="31">
        <f t="shared" si="23"/>
        <v>0</v>
      </c>
      <c r="AK139" s="32">
        <f t="shared" si="27"/>
        <v>0</v>
      </c>
      <c r="AL139" s="33">
        <f t="shared" si="24"/>
        <v>0</v>
      </c>
      <c r="AM139" s="31">
        <f t="shared" si="25"/>
        <v>0</v>
      </c>
      <c r="AN139" s="32">
        <f t="shared" si="28"/>
        <v>0</v>
      </c>
      <c r="AO139" s="33">
        <f t="shared" si="26"/>
        <v>0</v>
      </c>
    </row>
    <row r="140" spans="1:41" s="14" customFormat="1" ht="27" customHeight="1" x14ac:dyDescent="0.25">
      <c r="A140" s="102"/>
      <c r="B140" s="22">
        <f>IFERROR(IF(VLOOKUP(A140,Table3[],MATCH('2023 sintesi '!I140,Table3[#Headers],0),0)=0,IFERROR(VLOOKUP($A140,Table1[],2,FALSE),0),VLOOKUP(A140,Table3[],MATCH('2023 sintesi '!I140,Table3[#Headers],0),0)),0)</f>
        <v>0</v>
      </c>
      <c r="C140" s="23">
        <f>IFERROR(VLOOKUP($A140,Table1[],3,FALSE),0)</f>
        <v>0</v>
      </c>
      <c r="D140" s="102"/>
      <c r="E140" s="102"/>
      <c r="F140" s="108"/>
      <c r="G140" s="102"/>
      <c r="H140" s="102"/>
      <c r="I140" s="109"/>
      <c r="J140" s="106"/>
      <c r="K140" s="107"/>
      <c r="L140" s="35"/>
      <c r="M140" s="36"/>
      <c r="N140" s="36"/>
      <c r="O140" s="36"/>
      <c r="P140" s="36"/>
      <c r="Q140" s="36"/>
      <c r="R140" s="36"/>
      <c r="S140" s="36"/>
      <c r="T140" s="36"/>
      <c r="U140" s="36"/>
      <c r="V140" s="36"/>
      <c r="W140" s="36"/>
      <c r="X140" s="25">
        <f t="shared" si="15"/>
        <v>0</v>
      </c>
      <c r="Y140" s="26">
        <f t="shared" si="16"/>
        <v>0</v>
      </c>
      <c r="Z140" s="26"/>
      <c r="AA140" s="27">
        <f t="shared" si="17"/>
        <v>0</v>
      </c>
      <c r="AB140" s="27">
        <f t="shared" si="18"/>
        <v>0</v>
      </c>
      <c r="AC140" s="28" t="str">
        <f>IFERROR(VLOOKUP($I140&amp;"|"&amp;$A140,Table2[],2,FALSE),"")</f>
        <v/>
      </c>
      <c r="AD140" s="29" t="str">
        <f>IFERROR(VLOOKUP($I140&amp;"|"&amp;$A140,Table2[],3,FALSE),"")</f>
        <v/>
      </c>
      <c r="AE140" s="28">
        <f t="shared" si="19"/>
        <v>0</v>
      </c>
      <c r="AF140" s="28" t="str">
        <f t="shared" si="20"/>
        <v/>
      </c>
      <c r="AG140" s="30" t="str">
        <f t="shared" si="21"/>
        <v/>
      </c>
      <c r="AH140" s="28" t="str">
        <f>IFERROR(VLOOKUP($I140&amp;"|"&amp;$A140,Table2[],4,FALSE),"")</f>
        <v/>
      </c>
      <c r="AI140" s="28" t="str">
        <f t="shared" si="22"/>
        <v/>
      </c>
      <c r="AJ140" s="31">
        <f t="shared" si="23"/>
        <v>0</v>
      </c>
      <c r="AK140" s="32">
        <f t="shared" si="27"/>
        <v>0</v>
      </c>
      <c r="AL140" s="33">
        <f t="shared" si="24"/>
        <v>0</v>
      </c>
      <c r="AM140" s="31">
        <f t="shared" si="25"/>
        <v>0</v>
      </c>
      <c r="AN140" s="32">
        <f t="shared" si="28"/>
        <v>0</v>
      </c>
      <c r="AO140" s="33">
        <f t="shared" si="26"/>
        <v>0</v>
      </c>
    </row>
    <row r="141" spans="1:41" s="14" customFormat="1" ht="27" customHeight="1" x14ac:dyDescent="0.25">
      <c r="A141" s="102"/>
      <c r="B141" s="22">
        <f>IFERROR(IF(VLOOKUP(A141,Table3[],MATCH('2023 sintesi '!I141,Table3[#Headers],0),0)=0,IFERROR(VLOOKUP($A141,Table1[],2,FALSE),0),VLOOKUP(A141,Table3[],MATCH('2023 sintesi '!I141,Table3[#Headers],0),0)),0)</f>
        <v>0</v>
      </c>
      <c r="C141" s="23">
        <f>IFERROR(VLOOKUP($A141,Table1[],3,FALSE),0)</f>
        <v>0</v>
      </c>
      <c r="D141" s="102"/>
      <c r="E141" s="102"/>
      <c r="F141" s="108"/>
      <c r="G141" s="102"/>
      <c r="H141" s="102"/>
      <c r="I141" s="109"/>
      <c r="J141" s="106"/>
      <c r="K141" s="107"/>
      <c r="L141" s="35"/>
      <c r="M141" s="36"/>
      <c r="N141" s="36"/>
      <c r="O141" s="36"/>
      <c r="P141" s="36"/>
      <c r="Q141" s="36"/>
      <c r="R141" s="36"/>
      <c r="S141" s="36"/>
      <c r="T141" s="36"/>
      <c r="U141" s="36"/>
      <c r="V141" s="36"/>
      <c r="W141" s="36"/>
      <c r="X141" s="25">
        <f t="shared" si="15"/>
        <v>0</v>
      </c>
      <c r="Y141" s="26">
        <f t="shared" si="16"/>
        <v>0</v>
      </c>
      <c r="Z141" s="26"/>
      <c r="AA141" s="27">
        <f t="shared" si="17"/>
        <v>0</v>
      </c>
      <c r="AB141" s="27">
        <f t="shared" si="18"/>
        <v>0</v>
      </c>
      <c r="AC141" s="28" t="str">
        <f>IFERROR(VLOOKUP($I141&amp;"|"&amp;$A141,Table2[],2,FALSE),"")</f>
        <v/>
      </c>
      <c r="AD141" s="29" t="str">
        <f>IFERROR(VLOOKUP($I141&amp;"|"&amp;$A141,Table2[],3,FALSE),"")</f>
        <v/>
      </c>
      <c r="AE141" s="28">
        <f t="shared" si="19"/>
        <v>0</v>
      </c>
      <c r="AF141" s="28" t="str">
        <f t="shared" si="20"/>
        <v/>
      </c>
      <c r="AG141" s="30" t="str">
        <f t="shared" si="21"/>
        <v/>
      </c>
      <c r="AH141" s="28" t="str">
        <f>IFERROR(VLOOKUP($I141&amp;"|"&amp;$A141,Table2[],4,FALSE),"")</f>
        <v/>
      </c>
      <c r="AI141" s="28" t="str">
        <f t="shared" si="22"/>
        <v/>
      </c>
      <c r="AJ141" s="31">
        <f t="shared" si="23"/>
        <v>0</v>
      </c>
      <c r="AK141" s="32">
        <f t="shared" si="27"/>
        <v>0</v>
      </c>
      <c r="AL141" s="33">
        <f t="shared" si="24"/>
        <v>0</v>
      </c>
      <c r="AM141" s="31">
        <f t="shared" si="25"/>
        <v>0</v>
      </c>
      <c r="AN141" s="32">
        <f t="shared" si="28"/>
        <v>0</v>
      </c>
      <c r="AO141" s="33">
        <f t="shared" si="26"/>
        <v>0</v>
      </c>
    </row>
    <row r="142" spans="1:41" s="14" customFormat="1" ht="27" customHeight="1" x14ac:dyDescent="0.25">
      <c r="A142" s="102"/>
      <c r="B142" s="22">
        <f>IFERROR(IF(VLOOKUP(A142,Table3[],MATCH('2023 sintesi '!I142,Table3[#Headers],0),0)=0,IFERROR(VLOOKUP($A142,Table1[],2,FALSE),0),VLOOKUP(A142,Table3[],MATCH('2023 sintesi '!I142,Table3[#Headers],0),0)),0)</f>
        <v>0</v>
      </c>
      <c r="C142" s="23">
        <f>IFERROR(VLOOKUP($A142,Table1[],3,FALSE),0)</f>
        <v>0</v>
      </c>
      <c r="D142" s="102"/>
      <c r="E142" s="102"/>
      <c r="F142" s="108"/>
      <c r="G142" s="102"/>
      <c r="H142" s="102"/>
      <c r="I142" s="109"/>
      <c r="J142" s="106"/>
      <c r="K142" s="107"/>
      <c r="L142" s="35"/>
      <c r="M142" s="35"/>
      <c r="N142" s="35"/>
      <c r="O142" s="35"/>
      <c r="P142" s="35"/>
      <c r="Q142" s="35"/>
      <c r="R142" s="35"/>
      <c r="S142" s="35"/>
      <c r="T142" s="35"/>
      <c r="U142" s="35"/>
      <c r="V142" s="35"/>
      <c r="W142" s="35"/>
      <c r="X142" s="25">
        <f t="shared" si="15"/>
        <v>0</v>
      </c>
      <c r="Y142" s="26">
        <f t="shared" si="16"/>
        <v>0</v>
      </c>
      <c r="Z142" s="26"/>
      <c r="AA142" s="27">
        <f t="shared" si="17"/>
        <v>0</v>
      </c>
      <c r="AB142" s="27">
        <f t="shared" si="18"/>
        <v>0</v>
      </c>
      <c r="AC142" s="28" t="str">
        <f>IFERROR(VLOOKUP($I142&amp;"|"&amp;$A142,Table2[],2,FALSE),"")</f>
        <v/>
      </c>
      <c r="AD142" s="29" t="str">
        <f>IFERROR(VLOOKUP($I142&amp;"|"&amp;$A142,Table2[],3,FALSE),"")</f>
        <v/>
      </c>
      <c r="AE142" s="28">
        <f t="shared" si="19"/>
        <v>0</v>
      </c>
      <c r="AF142" s="28" t="str">
        <f t="shared" si="20"/>
        <v/>
      </c>
      <c r="AG142" s="30" t="str">
        <f t="shared" si="21"/>
        <v/>
      </c>
      <c r="AH142" s="28" t="str">
        <f>IFERROR(VLOOKUP($I142&amp;"|"&amp;$A142,Table2[],4,FALSE),"")</f>
        <v/>
      </c>
      <c r="AI142" s="28" t="str">
        <f t="shared" si="22"/>
        <v/>
      </c>
      <c r="AJ142" s="31">
        <f t="shared" si="23"/>
        <v>0</v>
      </c>
      <c r="AK142" s="32">
        <f t="shared" si="27"/>
        <v>0</v>
      </c>
      <c r="AL142" s="33">
        <f t="shared" si="24"/>
        <v>0</v>
      </c>
      <c r="AM142" s="31">
        <f t="shared" si="25"/>
        <v>0</v>
      </c>
      <c r="AN142" s="32">
        <f t="shared" si="28"/>
        <v>0</v>
      </c>
      <c r="AO142" s="33">
        <f t="shared" si="26"/>
        <v>0</v>
      </c>
    </row>
    <row r="143" spans="1:41" s="14" customFormat="1" ht="27" customHeight="1" x14ac:dyDescent="0.25">
      <c r="A143" s="102"/>
      <c r="B143" s="22">
        <f>IFERROR(IF(VLOOKUP(A143,Table3[],MATCH('2023 sintesi '!I143,Table3[#Headers],0),0)=0,IFERROR(VLOOKUP($A143,Table1[],2,FALSE),0),VLOOKUP(A143,Table3[],MATCH('2023 sintesi '!I143,Table3[#Headers],0),0)),0)</f>
        <v>0</v>
      </c>
      <c r="C143" s="23">
        <f>IFERROR(VLOOKUP($A143,Table1[],3,FALSE),0)</f>
        <v>0</v>
      </c>
      <c r="D143" s="102"/>
      <c r="E143" s="102"/>
      <c r="F143" s="108"/>
      <c r="G143" s="102"/>
      <c r="H143" s="102"/>
      <c r="I143" s="109"/>
      <c r="J143" s="106"/>
      <c r="K143" s="107"/>
      <c r="L143" s="35"/>
      <c r="M143" s="36"/>
      <c r="N143" s="36"/>
      <c r="O143" s="36"/>
      <c r="P143" s="36"/>
      <c r="Q143" s="36"/>
      <c r="R143" s="36"/>
      <c r="S143" s="36"/>
      <c r="T143" s="36"/>
      <c r="U143" s="36"/>
      <c r="V143" s="36"/>
      <c r="W143" s="36"/>
      <c r="X143" s="25">
        <f t="shared" si="15"/>
        <v>0</v>
      </c>
      <c r="Y143" s="26">
        <f t="shared" si="16"/>
        <v>0</v>
      </c>
      <c r="Z143" s="26"/>
      <c r="AA143" s="27">
        <f t="shared" si="17"/>
        <v>0</v>
      </c>
      <c r="AB143" s="27">
        <f t="shared" si="18"/>
        <v>0</v>
      </c>
      <c r="AC143" s="28" t="str">
        <f>IFERROR(VLOOKUP($I143&amp;"|"&amp;$A143,Table2[],2,FALSE),"")</f>
        <v/>
      </c>
      <c r="AD143" s="29" t="str">
        <f>IFERROR(VLOOKUP($I143&amp;"|"&amp;$A143,Table2[],3,FALSE),"")</f>
        <v/>
      </c>
      <c r="AE143" s="28">
        <f t="shared" si="19"/>
        <v>0</v>
      </c>
      <c r="AF143" s="28" t="str">
        <f t="shared" si="20"/>
        <v/>
      </c>
      <c r="AG143" s="30" t="str">
        <f t="shared" si="21"/>
        <v/>
      </c>
      <c r="AH143" s="28" t="str">
        <f>IFERROR(VLOOKUP($I143&amp;"|"&amp;$A143,Table2[],4,FALSE),"")</f>
        <v/>
      </c>
      <c r="AI143" s="28" t="str">
        <f t="shared" si="22"/>
        <v/>
      </c>
      <c r="AJ143" s="31">
        <f t="shared" si="23"/>
        <v>0</v>
      </c>
      <c r="AK143" s="32">
        <f t="shared" si="27"/>
        <v>0</v>
      </c>
      <c r="AL143" s="33">
        <f t="shared" si="24"/>
        <v>0</v>
      </c>
      <c r="AM143" s="31">
        <f t="shared" si="25"/>
        <v>0</v>
      </c>
      <c r="AN143" s="32">
        <f t="shared" si="28"/>
        <v>0</v>
      </c>
      <c r="AO143" s="33">
        <f t="shared" si="26"/>
        <v>0</v>
      </c>
    </row>
    <row r="144" spans="1:41" s="14" customFormat="1" ht="27" customHeight="1" x14ac:dyDescent="0.25">
      <c r="A144" s="102"/>
      <c r="B144" s="22">
        <f>IFERROR(IF(VLOOKUP(A144,Table3[],MATCH('2023 sintesi '!I144,Table3[#Headers],0),0)=0,IFERROR(VLOOKUP($A144,Table1[],2,FALSE),0),VLOOKUP(A144,Table3[],MATCH('2023 sintesi '!I144,Table3[#Headers],0),0)),0)</f>
        <v>0</v>
      </c>
      <c r="C144" s="23">
        <f>IFERROR(VLOOKUP($A144,Table1[],3,FALSE),0)</f>
        <v>0</v>
      </c>
      <c r="D144" s="102"/>
      <c r="E144" s="102"/>
      <c r="F144" s="108"/>
      <c r="G144" s="102"/>
      <c r="H144" s="102"/>
      <c r="I144" s="109"/>
      <c r="J144" s="106"/>
      <c r="K144" s="107"/>
      <c r="L144" s="35"/>
      <c r="M144" s="35"/>
      <c r="N144" s="35"/>
      <c r="O144" s="35"/>
      <c r="P144" s="35"/>
      <c r="Q144" s="35"/>
      <c r="R144" s="35"/>
      <c r="S144" s="35"/>
      <c r="T144" s="35"/>
      <c r="U144" s="35"/>
      <c r="V144" s="35"/>
      <c r="W144" s="35"/>
      <c r="X144" s="25">
        <f t="shared" si="15"/>
        <v>0</v>
      </c>
      <c r="Y144" s="26">
        <f t="shared" si="16"/>
        <v>0</v>
      </c>
      <c r="Z144" s="26"/>
      <c r="AA144" s="27">
        <f t="shared" si="17"/>
        <v>0</v>
      </c>
      <c r="AB144" s="27">
        <f t="shared" si="18"/>
        <v>0</v>
      </c>
      <c r="AC144" s="28" t="str">
        <f>IFERROR(VLOOKUP($I144&amp;"|"&amp;$A144,Table2[],2,FALSE),"")</f>
        <v/>
      </c>
      <c r="AD144" s="29" t="str">
        <f>IFERROR(VLOOKUP($I144&amp;"|"&amp;$A144,Table2[],3,FALSE),"")</f>
        <v/>
      </c>
      <c r="AE144" s="28">
        <f t="shared" si="19"/>
        <v>0</v>
      </c>
      <c r="AF144" s="28" t="str">
        <f t="shared" si="20"/>
        <v/>
      </c>
      <c r="AG144" s="30" t="str">
        <f t="shared" si="21"/>
        <v/>
      </c>
      <c r="AH144" s="28" t="str">
        <f>IFERROR(VLOOKUP($I144&amp;"|"&amp;$A144,Table2[],4,FALSE),"")</f>
        <v/>
      </c>
      <c r="AI144" s="28" t="str">
        <f t="shared" si="22"/>
        <v/>
      </c>
      <c r="AJ144" s="31">
        <f t="shared" si="23"/>
        <v>0</v>
      </c>
      <c r="AK144" s="32">
        <f t="shared" si="27"/>
        <v>0</v>
      </c>
      <c r="AL144" s="33">
        <f t="shared" si="24"/>
        <v>0</v>
      </c>
      <c r="AM144" s="31">
        <f t="shared" si="25"/>
        <v>0</v>
      </c>
      <c r="AN144" s="32">
        <f t="shared" si="28"/>
        <v>0</v>
      </c>
      <c r="AO144" s="33">
        <f t="shared" si="26"/>
        <v>0</v>
      </c>
    </row>
    <row r="145" spans="1:41" s="14" customFormat="1" ht="27" customHeight="1" x14ac:dyDescent="0.25">
      <c r="A145" s="102"/>
      <c r="B145" s="22">
        <f>IFERROR(IF(VLOOKUP(A145,Table3[],MATCH('2023 sintesi '!I145,Table3[#Headers],0),0)=0,IFERROR(VLOOKUP($A145,Table1[],2,FALSE),0),VLOOKUP(A145,Table3[],MATCH('2023 sintesi '!I145,Table3[#Headers],0),0)),0)</f>
        <v>0</v>
      </c>
      <c r="C145" s="23">
        <f>IFERROR(VLOOKUP($A145,Table1[],3,FALSE),0)</f>
        <v>0</v>
      </c>
      <c r="D145" s="102"/>
      <c r="E145" s="102"/>
      <c r="F145" s="108"/>
      <c r="G145" s="102"/>
      <c r="H145" s="102"/>
      <c r="I145" s="109"/>
      <c r="J145" s="106"/>
      <c r="K145" s="107"/>
      <c r="L145" s="35"/>
      <c r="M145" s="36"/>
      <c r="N145" s="36"/>
      <c r="O145" s="36"/>
      <c r="P145" s="36"/>
      <c r="Q145" s="36"/>
      <c r="R145" s="36"/>
      <c r="S145" s="36"/>
      <c r="T145" s="36"/>
      <c r="U145" s="36"/>
      <c r="V145" s="36"/>
      <c r="W145" s="36"/>
      <c r="X145" s="25">
        <f t="shared" si="15"/>
        <v>0</v>
      </c>
      <c r="Y145" s="26">
        <f t="shared" si="16"/>
        <v>0</v>
      </c>
      <c r="Z145" s="26"/>
      <c r="AA145" s="27">
        <f t="shared" si="17"/>
        <v>0</v>
      </c>
      <c r="AB145" s="27">
        <f t="shared" si="18"/>
        <v>0</v>
      </c>
      <c r="AC145" s="28" t="str">
        <f>IFERROR(VLOOKUP($I145&amp;"|"&amp;$A145,Table2[],2,FALSE),"")</f>
        <v/>
      </c>
      <c r="AD145" s="29" t="str">
        <f>IFERROR(VLOOKUP($I145&amp;"|"&amp;$A145,Table2[],3,FALSE),"")</f>
        <v/>
      </c>
      <c r="AE145" s="28">
        <f t="shared" si="19"/>
        <v>0</v>
      </c>
      <c r="AF145" s="28" t="str">
        <f t="shared" si="20"/>
        <v/>
      </c>
      <c r="AG145" s="30" t="str">
        <f t="shared" si="21"/>
        <v/>
      </c>
      <c r="AH145" s="28" t="str">
        <f>IFERROR(VLOOKUP($I145&amp;"|"&amp;$A145,Table2[],4,FALSE),"")</f>
        <v/>
      </c>
      <c r="AI145" s="28" t="str">
        <f t="shared" si="22"/>
        <v/>
      </c>
      <c r="AJ145" s="31">
        <f t="shared" si="23"/>
        <v>0</v>
      </c>
      <c r="AK145" s="32">
        <f t="shared" si="27"/>
        <v>0</v>
      </c>
      <c r="AL145" s="33">
        <f t="shared" si="24"/>
        <v>0</v>
      </c>
      <c r="AM145" s="31">
        <f t="shared" si="25"/>
        <v>0</v>
      </c>
      <c r="AN145" s="32">
        <f t="shared" si="28"/>
        <v>0</v>
      </c>
      <c r="AO145" s="33">
        <f t="shared" si="26"/>
        <v>0</v>
      </c>
    </row>
    <row r="146" spans="1:41" s="14" customFormat="1" ht="27" customHeight="1" x14ac:dyDescent="0.25">
      <c r="A146" s="102"/>
      <c r="B146" s="22">
        <f>IFERROR(IF(VLOOKUP(A146,Table3[],MATCH('2023 sintesi '!I146,Table3[#Headers],0),0)=0,IFERROR(VLOOKUP($A146,Table1[],2,FALSE),0),VLOOKUP(A146,Table3[],MATCH('2023 sintesi '!I146,Table3[#Headers],0),0)),0)</f>
        <v>0</v>
      </c>
      <c r="C146" s="23">
        <f>IFERROR(VLOOKUP($A146,Table1[],3,FALSE),0)</f>
        <v>0</v>
      </c>
      <c r="D146" s="102"/>
      <c r="E146" s="102"/>
      <c r="F146" s="108"/>
      <c r="G146" s="102"/>
      <c r="H146" s="102"/>
      <c r="I146" s="109"/>
      <c r="J146" s="106"/>
      <c r="K146" s="107"/>
      <c r="L146" s="35"/>
      <c r="M146" s="35"/>
      <c r="N146" s="35"/>
      <c r="O146" s="35"/>
      <c r="P146" s="35"/>
      <c r="Q146" s="35"/>
      <c r="R146" s="35"/>
      <c r="S146" s="35"/>
      <c r="T146" s="35"/>
      <c r="U146" s="35"/>
      <c r="V146" s="35"/>
      <c r="W146" s="35"/>
      <c r="X146" s="25">
        <f t="shared" si="15"/>
        <v>0</v>
      </c>
      <c r="Y146" s="26">
        <f t="shared" si="16"/>
        <v>0</v>
      </c>
      <c r="Z146" s="26"/>
      <c r="AA146" s="27">
        <f t="shared" si="17"/>
        <v>0</v>
      </c>
      <c r="AB146" s="27">
        <f t="shared" si="18"/>
        <v>0</v>
      </c>
      <c r="AC146" s="28" t="str">
        <f>IFERROR(VLOOKUP($I146&amp;"|"&amp;$A146,Table2[],2,FALSE),"")</f>
        <v/>
      </c>
      <c r="AD146" s="29" t="str">
        <f>IFERROR(VLOOKUP($I146&amp;"|"&amp;$A146,Table2[],3,FALSE),"")</f>
        <v/>
      </c>
      <c r="AE146" s="28">
        <f t="shared" si="19"/>
        <v>0</v>
      </c>
      <c r="AF146" s="28" t="str">
        <f t="shared" si="20"/>
        <v/>
      </c>
      <c r="AG146" s="30" t="str">
        <f t="shared" si="21"/>
        <v/>
      </c>
      <c r="AH146" s="28" t="str">
        <f>IFERROR(VLOOKUP($I146&amp;"|"&amp;$A146,Table2[],4,FALSE),"")</f>
        <v/>
      </c>
      <c r="AI146" s="28" t="str">
        <f t="shared" si="22"/>
        <v/>
      </c>
      <c r="AJ146" s="31">
        <f t="shared" si="23"/>
        <v>0</v>
      </c>
      <c r="AK146" s="32">
        <f t="shared" si="27"/>
        <v>0</v>
      </c>
      <c r="AL146" s="33">
        <f t="shared" si="24"/>
        <v>0</v>
      </c>
      <c r="AM146" s="31">
        <f t="shared" si="25"/>
        <v>0</v>
      </c>
      <c r="AN146" s="32">
        <f t="shared" si="28"/>
        <v>0</v>
      </c>
      <c r="AO146" s="33">
        <f t="shared" si="26"/>
        <v>0</v>
      </c>
    </row>
    <row r="147" spans="1:41" s="14" customFormat="1" ht="27" customHeight="1" x14ac:dyDescent="0.25">
      <c r="A147" s="102"/>
      <c r="B147" s="22">
        <f>IFERROR(IF(VLOOKUP(A147,Table3[],MATCH('2023 sintesi '!I147,Table3[#Headers],0),0)=0,IFERROR(VLOOKUP($A147,Table1[],2,FALSE),0),VLOOKUP(A147,Table3[],MATCH('2023 sintesi '!I147,Table3[#Headers],0),0)),0)</f>
        <v>0</v>
      </c>
      <c r="C147" s="23">
        <f>IFERROR(VLOOKUP($A147,Table1[],3,FALSE),0)</f>
        <v>0</v>
      </c>
      <c r="D147" s="102"/>
      <c r="E147" s="102"/>
      <c r="F147" s="108"/>
      <c r="G147" s="102"/>
      <c r="H147" s="102"/>
      <c r="I147" s="109"/>
      <c r="J147" s="106"/>
      <c r="K147" s="107"/>
      <c r="L147" s="35"/>
      <c r="M147" s="36"/>
      <c r="N147" s="36"/>
      <c r="O147" s="36"/>
      <c r="P147" s="36"/>
      <c r="Q147" s="36"/>
      <c r="R147" s="36"/>
      <c r="S147" s="36"/>
      <c r="T147" s="36"/>
      <c r="U147" s="36"/>
      <c r="V147" s="36"/>
      <c r="W147" s="36"/>
      <c r="X147" s="25">
        <f t="shared" si="15"/>
        <v>0</v>
      </c>
      <c r="Y147" s="26">
        <f t="shared" si="16"/>
        <v>0</v>
      </c>
      <c r="Z147" s="26"/>
      <c r="AA147" s="27">
        <f t="shared" si="17"/>
        <v>0</v>
      </c>
      <c r="AB147" s="27">
        <f t="shared" si="18"/>
        <v>0</v>
      </c>
      <c r="AC147" s="28" t="str">
        <f>IFERROR(VLOOKUP($I147&amp;"|"&amp;$A147,Table2[],2,FALSE),"")</f>
        <v/>
      </c>
      <c r="AD147" s="29" t="str">
        <f>IFERROR(VLOOKUP($I147&amp;"|"&amp;$A147,Table2[],3,FALSE),"")</f>
        <v/>
      </c>
      <c r="AE147" s="28">
        <f t="shared" si="19"/>
        <v>0</v>
      </c>
      <c r="AF147" s="28" t="str">
        <f t="shared" si="20"/>
        <v/>
      </c>
      <c r="AG147" s="30" t="str">
        <f t="shared" si="21"/>
        <v/>
      </c>
      <c r="AH147" s="28" t="str">
        <f>IFERROR(VLOOKUP($I147&amp;"|"&amp;$A147,Table2[],4,FALSE),"")</f>
        <v/>
      </c>
      <c r="AI147" s="28" t="str">
        <f t="shared" si="22"/>
        <v/>
      </c>
      <c r="AJ147" s="31">
        <f t="shared" si="23"/>
        <v>0</v>
      </c>
      <c r="AK147" s="32">
        <f t="shared" si="27"/>
        <v>0</v>
      </c>
      <c r="AL147" s="33">
        <f t="shared" si="24"/>
        <v>0</v>
      </c>
      <c r="AM147" s="31">
        <f t="shared" si="25"/>
        <v>0</v>
      </c>
      <c r="AN147" s="32">
        <f t="shared" si="28"/>
        <v>0</v>
      </c>
      <c r="AO147" s="33">
        <f t="shared" si="26"/>
        <v>0</v>
      </c>
    </row>
    <row r="148" spans="1:41" s="14" customFormat="1" ht="27" customHeight="1" x14ac:dyDescent="0.25">
      <c r="A148" s="102"/>
      <c r="B148" s="22">
        <f>IFERROR(IF(VLOOKUP(A148,Table3[],MATCH('2023 sintesi '!I148,Table3[#Headers],0),0)=0,IFERROR(VLOOKUP($A148,Table1[],2,FALSE),0),VLOOKUP(A148,Table3[],MATCH('2023 sintesi '!I148,Table3[#Headers],0),0)),0)</f>
        <v>0</v>
      </c>
      <c r="C148" s="23">
        <f>IFERROR(VLOOKUP($A148,Table1[],3,FALSE),0)</f>
        <v>0</v>
      </c>
      <c r="D148" s="102"/>
      <c r="E148" s="102"/>
      <c r="F148" s="108"/>
      <c r="G148" s="102"/>
      <c r="H148" s="102"/>
      <c r="I148" s="109"/>
      <c r="J148" s="106"/>
      <c r="K148" s="107"/>
      <c r="L148" s="35"/>
      <c r="M148" s="35"/>
      <c r="N148" s="35"/>
      <c r="O148" s="35"/>
      <c r="P148" s="35"/>
      <c r="Q148" s="35"/>
      <c r="R148" s="35"/>
      <c r="S148" s="35"/>
      <c r="T148" s="35"/>
      <c r="U148" s="35"/>
      <c r="V148" s="35"/>
      <c r="W148" s="35"/>
      <c r="X148" s="25">
        <f t="shared" ref="X148:X211" si="29">IF($K148="ORE",SUM(L148:W148)/147,0)</f>
        <v>0</v>
      </c>
      <c r="Y148" s="26">
        <f t="shared" ref="Y148:Y211" si="30" xml:space="preserve"> IF($K148="ORE",SUM(L148:W148),0)</f>
        <v>0</v>
      </c>
      <c r="Z148" s="26"/>
      <c r="AA148" s="27">
        <f t="shared" ref="AA148:AA211" si="31">$Y148*$B148</f>
        <v>0</v>
      </c>
      <c r="AB148" s="27">
        <f t="shared" ref="AB148:AB211" si="32">IF($K148="LUMP SUM",SUM(L148:W148),0)</f>
        <v>0</v>
      </c>
      <c r="AC148" s="28" t="str">
        <f>IFERROR(VLOOKUP($I148&amp;"|"&amp;$A148,Table2[],2,FALSE),"")</f>
        <v/>
      </c>
      <c r="AD148" s="29" t="str">
        <f>IFERROR(VLOOKUP($I148&amp;"|"&amp;$A148,Table2[],3,FALSE),"")</f>
        <v/>
      </c>
      <c r="AE148" s="28">
        <f t="shared" ref="AE148:AE211" si="33">COUNTIFS($A$19:$A$226,A148,$I$19:$I$226,I148)</f>
        <v>0</v>
      </c>
      <c r="AF148" s="28" t="str">
        <f t="shared" ref="AF148:AF211" si="34">IFERROR(AC148/AE148,"")</f>
        <v/>
      </c>
      <c r="AG148" s="30" t="str">
        <f t="shared" ref="AG148:AG211" si="35">IFERROR(AD148/AE148,"")</f>
        <v/>
      </c>
      <c r="AH148" s="28" t="str">
        <f>IFERROR(VLOOKUP($I148&amp;"|"&amp;$A148,Table2[],4,FALSE),"")</f>
        <v/>
      </c>
      <c r="AI148" s="28" t="str">
        <f t="shared" ref="AI148:AI211" si="36">IFERROR(AH148/AE148,"")</f>
        <v/>
      </c>
      <c r="AJ148" s="31">
        <f t="shared" ref="AJ148:AJ211" si="37">IF($K148="ORE",SUM(Q148:W148),0)</f>
        <v>0</v>
      </c>
      <c r="AK148" s="32">
        <f t="shared" si="27"/>
        <v>0</v>
      </c>
      <c r="AL148" s="33">
        <f t="shared" ref="AL148:AL211" si="38">IF($K148="LUMP SUM",SUM(Q148:W148),0)</f>
        <v>0</v>
      </c>
      <c r="AM148" s="31">
        <f t="shared" ref="AM148:AM211" si="39">IF($K148="ORE",SUM(L148:P148),0)</f>
        <v>0</v>
      </c>
      <c r="AN148" s="32">
        <f t="shared" si="28"/>
        <v>0</v>
      </c>
      <c r="AO148" s="33">
        <f t="shared" ref="AO148:AO211" si="40">IF($K148="LUMP SUM",SUM(L148:P148),0)</f>
        <v>0</v>
      </c>
    </row>
    <row r="149" spans="1:41" s="14" customFormat="1" ht="27" customHeight="1" x14ac:dyDescent="0.25">
      <c r="A149" s="102"/>
      <c r="B149" s="22">
        <f>IFERROR(IF(VLOOKUP(A149,Table3[],MATCH('2023 sintesi '!I149,Table3[#Headers],0),0)=0,IFERROR(VLOOKUP($A149,Table1[],2,FALSE),0),VLOOKUP(A149,Table3[],MATCH('2023 sintesi '!I149,Table3[#Headers],0),0)),0)</f>
        <v>0</v>
      </c>
      <c r="C149" s="23">
        <f>IFERROR(VLOOKUP($A149,Table1[],3,FALSE),0)</f>
        <v>0</v>
      </c>
      <c r="D149" s="102"/>
      <c r="E149" s="102"/>
      <c r="F149" s="104"/>
      <c r="G149" s="102"/>
      <c r="H149" s="102"/>
      <c r="I149" s="105"/>
      <c r="J149" s="106"/>
      <c r="K149" s="107"/>
      <c r="L149" s="35"/>
      <c r="M149" s="36"/>
      <c r="N149" s="36"/>
      <c r="O149" s="36"/>
      <c r="P149" s="36"/>
      <c r="Q149" s="36"/>
      <c r="R149" s="36"/>
      <c r="S149" s="36"/>
      <c r="T149" s="36"/>
      <c r="U149" s="36"/>
      <c r="V149" s="36"/>
      <c r="W149" s="36"/>
      <c r="X149" s="25">
        <f t="shared" si="29"/>
        <v>0</v>
      </c>
      <c r="Y149" s="26">
        <f t="shared" si="30"/>
        <v>0</v>
      </c>
      <c r="Z149" s="26"/>
      <c r="AA149" s="27">
        <f t="shared" si="31"/>
        <v>0</v>
      </c>
      <c r="AB149" s="27">
        <f t="shared" si="32"/>
        <v>0</v>
      </c>
      <c r="AC149" s="28" t="str">
        <f>IFERROR(VLOOKUP($I149&amp;"|"&amp;$A149,Table2[],2,FALSE),"")</f>
        <v/>
      </c>
      <c r="AD149" s="29" t="str">
        <f>IFERROR(VLOOKUP($I149&amp;"|"&amp;$A149,Table2[],3,FALSE),"")</f>
        <v/>
      </c>
      <c r="AE149" s="28">
        <f t="shared" si="33"/>
        <v>0</v>
      </c>
      <c r="AF149" s="28" t="str">
        <f t="shared" si="34"/>
        <v/>
      </c>
      <c r="AG149" s="30" t="str">
        <f t="shared" si="35"/>
        <v/>
      </c>
      <c r="AH149" s="28" t="str">
        <f>IFERROR(VLOOKUP($I149&amp;"|"&amp;$A149,Table2[],4,FALSE),"")</f>
        <v/>
      </c>
      <c r="AI149" s="28" t="str">
        <f t="shared" si="36"/>
        <v/>
      </c>
      <c r="AJ149" s="31">
        <f t="shared" si="37"/>
        <v>0</v>
      </c>
      <c r="AK149" s="32">
        <f t="shared" si="27"/>
        <v>0</v>
      </c>
      <c r="AL149" s="33">
        <f t="shared" si="38"/>
        <v>0</v>
      </c>
      <c r="AM149" s="31">
        <f t="shared" si="39"/>
        <v>0</v>
      </c>
      <c r="AN149" s="32">
        <f t="shared" si="28"/>
        <v>0</v>
      </c>
      <c r="AO149" s="33">
        <f t="shared" si="40"/>
        <v>0</v>
      </c>
    </row>
    <row r="150" spans="1:41" s="14" customFormat="1" ht="27" customHeight="1" x14ac:dyDescent="0.25">
      <c r="A150" s="102"/>
      <c r="B150" s="22">
        <f>IFERROR(IF(VLOOKUP(A150,Table3[],MATCH('2023 sintesi '!I150,Table3[#Headers],0),0)=0,IFERROR(VLOOKUP($A150,Table1[],2,FALSE),0),VLOOKUP(A150,Table3[],MATCH('2023 sintesi '!I150,Table3[#Headers],0),0)),0)</f>
        <v>0</v>
      </c>
      <c r="C150" s="23">
        <f>IFERROR(VLOOKUP($A150,Table1[],3,FALSE),0)</f>
        <v>0</v>
      </c>
      <c r="D150" s="102"/>
      <c r="E150" s="102"/>
      <c r="F150" s="104"/>
      <c r="G150" s="102"/>
      <c r="H150" s="102"/>
      <c r="I150" s="105"/>
      <c r="J150" s="106"/>
      <c r="K150" s="107"/>
      <c r="L150" s="35"/>
      <c r="M150" s="36"/>
      <c r="N150" s="36"/>
      <c r="O150" s="36"/>
      <c r="P150" s="36"/>
      <c r="Q150" s="36"/>
      <c r="R150" s="36"/>
      <c r="S150" s="36"/>
      <c r="T150" s="36"/>
      <c r="U150" s="36"/>
      <c r="V150" s="36"/>
      <c r="W150" s="36"/>
      <c r="X150" s="25">
        <f t="shared" si="29"/>
        <v>0</v>
      </c>
      <c r="Y150" s="26">
        <f t="shared" si="30"/>
        <v>0</v>
      </c>
      <c r="Z150" s="26"/>
      <c r="AA150" s="27">
        <f t="shared" si="31"/>
        <v>0</v>
      </c>
      <c r="AB150" s="27">
        <f t="shared" si="32"/>
        <v>0</v>
      </c>
      <c r="AC150" s="28" t="str">
        <f>IFERROR(VLOOKUP($I150&amp;"|"&amp;$A150,Table2[],2,FALSE),"")</f>
        <v/>
      </c>
      <c r="AD150" s="29" t="str">
        <f>IFERROR(VLOOKUP($I150&amp;"|"&amp;$A150,Table2[],3,FALSE),"")</f>
        <v/>
      </c>
      <c r="AE150" s="28">
        <f t="shared" si="33"/>
        <v>0</v>
      </c>
      <c r="AF150" s="28" t="str">
        <f t="shared" si="34"/>
        <v/>
      </c>
      <c r="AG150" s="30" t="str">
        <f t="shared" si="35"/>
        <v/>
      </c>
      <c r="AH150" s="28" t="str">
        <f>IFERROR(VLOOKUP($I150&amp;"|"&amp;$A150,Table2[],4,FALSE),"")</f>
        <v/>
      </c>
      <c r="AI150" s="28" t="str">
        <f t="shared" si="36"/>
        <v/>
      </c>
      <c r="AJ150" s="31">
        <f t="shared" si="37"/>
        <v>0</v>
      </c>
      <c r="AK150" s="32">
        <f t="shared" si="27"/>
        <v>0</v>
      </c>
      <c r="AL150" s="33">
        <f t="shared" si="38"/>
        <v>0</v>
      </c>
      <c r="AM150" s="31">
        <f t="shared" si="39"/>
        <v>0</v>
      </c>
      <c r="AN150" s="32">
        <f t="shared" si="28"/>
        <v>0</v>
      </c>
      <c r="AO150" s="33">
        <f t="shared" si="40"/>
        <v>0</v>
      </c>
    </row>
    <row r="151" spans="1:41" s="14" customFormat="1" ht="27" customHeight="1" x14ac:dyDescent="0.25">
      <c r="A151" s="102"/>
      <c r="B151" s="22">
        <f>IFERROR(IF(VLOOKUP(A151,Table3[],MATCH('2023 sintesi '!I151,Table3[#Headers],0),0)=0,IFERROR(VLOOKUP($A151,Table1[],2,FALSE),0),VLOOKUP(A151,Table3[],MATCH('2023 sintesi '!I151,Table3[#Headers],0),0)),0)</f>
        <v>0</v>
      </c>
      <c r="C151" s="23">
        <f>IFERROR(VLOOKUP($A151,Table1[],3,FALSE),0)</f>
        <v>0</v>
      </c>
      <c r="D151" s="102"/>
      <c r="E151" s="102"/>
      <c r="F151" s="104"/>
      <c r="G151" s="102"/>
      <c r="H151" s="102"/>
      <c r="I151" s="109"/>
      <c r="J151" s="106"/>
      <c r="K151" s="107"/>
      <c r="L151" s="35"/>
      <c r="M151" s="35"/>
      <c r="N151" s="35"/>
      <c r="O151" s="35"/>
      <c r="P151" s="35"/>
      <c r="Q151" s="35"/>
      <c r="R151" s="35"/>
      <c r="S151" s="35"/>
      <c r="T151" s="35"/>
      <c r="U151" s="35"/>
      <c r="V151" s="35"/>
      <c r="W151" s="35"/>
      <c r="X151" s="25">
        <f t="shared" si="29"/>
        <v>0</v>
      </c>
      <c r="Y151" s="26">
        <f t="shared" si="30"/>
        <v>0</v>
      </c>
      <c r="Z151" s="26"/>
      <c r="AA151" s="27">
        <f t="shared" si="31"/>
        <v>0</v>
      </c>
      <c r="AB151" s="27">
        <f t="shared" si="32"/>
        <v>0</v>
      </c>
      <c r="AC151" s="28" t="str">
        <f>IFERROR(VLOOKUP($I151&amp;"|"&amp;$A151,Table2[],2,FALSE),"")</f>
        <v/>
      </c>
      <c r="AD151" s="29" t="str">
        <f>IFERROR(VLOOKUP($I151&amp;"|"&amp;$A151,Table2[],3,FALSE),"")</f>
        <v/>
      </c>
      <c r="AE151" s="28">
        <f t="shared" si="33"/>
        <v>0</v>
      </c>
      <c r="AF151" s="28" t="str">
        <f t="shared" si="34"/>
        <v/>
      </c>
      <c r="AG151" s="30" t="str">
        <f t="shared" si="35"/>
        <v/>
      </c>
      <c r="AH151" s="28" t="str">
        <f>IFERROR(VLOOKUP($I151&amp;"|"&amp;$A151,Table2[],4,FALSE),"")</f>
        <v/>
      </c>
      <c r="AI151" s="28" t="str">
        <f t="shared" si="36"/>
        <v/>
      </c>
      <c r="AJ151" s="31">
        <f t="shared" si="37"/>
        <v>0</v>
      </c>
      <c r="AK151" s="32">
        <f t="shared" si="27"/>
        <v>0</v>
      </c>
      <c r="AL151" s="33">
        <f t="shared" si="38"/>
        <v>0</v>
      </c>
      <c r="AM151" s="31">
        <f t="shared" si="39"/>
        <v>0</v>
      </c>
      <c r="AN151" s="32">
        <f t="shared" si="28"/>
        <v>0</v>
      </c>
      <c r="AO151" s="33">
        <f t="shared" si="40"/>
        <v>0</v>
      </c>
    </row>
    <row r="152" spans="1:41" s="14" customFormat="1" ht="27" customHeight="1" x14ac:dyDescent="0.25">
      <c r="A152" s="102"/>
      <c r="B152" s="22">
        <f>IFERROR(IF(VLOOKUP(A152,Table3[],MATCH('2023 sintesi '!I152,Table3[#Headers],0),0)=0,IFERROR(VLOOKUP($A152,Table1[],2,FALSE),0),VLOOKUP(A152,Table3[],MATCH('2023 sintesi '!I152,Table3[#Headers],0),0)),0)</f>
        <v>0</v>
      </c>
      <c r="C152" s="23">
        <f>IFERROR(VLOOKUP($A152,Table1[],3,FALSE),0)</f>
        <v>0</v>
      </c>
      <c r="D152" s="102"/>
      <c r="E152" s="102"/>
      <c r="F152" s="104"/>
      <c r="G152" s="102"/>
      <c r="H152" s="102"/>
      <c r="I152" s="109"/>
      <c r="J152" s="106"/>
      <c r="K152" s="107"/>
      <c r="L152" s="35"/>
      <c r="M152" s="35"/>
      <c r="N152" s="35"/>
      <c r="O152" s="35"/>
      <c r="P152" s="35"/>
      <c r="Q152" s="35"/>
      <c r="R152" s="35"/>
      <c r="S152" s="35"/>
      <c r="T152" s="35"/>
      <c r="U152" s="35"/>
      <c r="V152" s="35"/>
      <c r="W152" s="35"/>
      <c r="X152" s="25">
        <f t="shared" si="29"/>
        <v>0</v>
      </c>
      <c r="Y152" s="26">
        <f t="shared" si="30"/>
        <v>0</v>
      </c>
      <c r="Z152" s="26"/>
      <c r="AA152" s="27">
        <f t="shared" si="31"/>
        <v>0</v>
      </c>
      <c r="AB152" s="27">
        <f t="shared" si="32"/>
        <v>0</v>
      </c>
      <c r="AC152" s="28" t="str">
        <f>IFERROR(VLOOKUP($I152&amp;"|"&amp;$A152,Table2[],2,FALSE),"")</f>
        <v/>
      </c>
      <c r="AD152" s="29" t="str">
        <f>IFERROR(VLOOKUP($I152&amp;"|"&amp;$A152,Table2[],3,FALSE),"")</f>
        <v/>
      </c>
      <c r="AE152" s="28">
        <f t="shared" si="33"/>
        <v>0</v>
      </c>
      <c r="AF152" s="28" t="str">
        <f t="shared" si="34"/>
        <v/>
      </c>
      <c r="AG152" s="30" t="str">
        <f t="shared" si="35"/>
        <v/>
      </c>
      <c r="AH152" s="28" t="str">
        <f>IFERROR(VLOOKUP($I152&amp;"|"&amp;$A152,Table2[],4,FALSE),"")</f>
        <v/>
      </c>
      <c r="AI152" s="28" t="str">
        <f t="shared" si="36"/>
        <v/>
      </c>
      <c r="AJ152" s="31">
        <f t="shared" si="37"/>
        <v>0</v>
      </c>
      <c r="AK152" s="32">
        <f t="shared" si="27"/>
        <v>0</v>
      </c>
      <c r="AL152" s="33">
        <f t="shared" si="38"/>
        <v>0</v>
      </c>
      <c r="AM152" s="31">
        <f t="shared" si="39"/>
        <v>0</v>
      </c>
      <c r="AN152" s="32">
        <f t="shared" si="28"/>
        <v>0</v>
      </c>
      <c r="AO152" s="33">
        <f t="shared" si="40"/>
        <v>0</v>
      </c>
    </row>
    <row r="153" spans="1:41" s="14" customFormat="1" ht="27" customHeight="1" x14ac:dyDescent="0.25">
      <c r="A153" s="102"/>
      <c r="B153" s="22">
        <f>IFERROR(IF(VLOOKUP(A153,Table3[],MATCH('2023 sintesi '!I153,Table3[#Headers],0),0)=0,IFERROR(VLOOKUP($A153,Table1[],2,FALSE),0),VLOOKUP(A153,Table3[],MATCH('2023 sintesi '!I153,Table3[#Headers],0),0)),0)</f>
        <v>0</v>
      </c>
      <c r="C153" s="23">
        <f>IFERROR(VLOOKUP($A153,Table1[],3,FALSE),0)</f>
        <v>0</v>
      </c>
      <c r="D153" s="102"/>
      <c r="E153" s="102"/>
      <c r="F153" s="104"/>
      <c r="G153" s="102"/>
      <c r="H153" s="102"/>
      <c r="I153" s="109"/>
      <c r="J153" s="106"/>
      <c r="K153" s="107"/>
      <c r="L153" s="35"/>
      <c r="M153" s="35"/>
      <c r="N153" s="35"/>
      <c r="O153" s="35"/>
      <c r="P153" s="35"/>
      <c r="Q153" s="35"/>
      <c r="R153" s="35"/>
      <c r="S153" s="35"/>
      <c r="T153" s="35"/>
      <c r="U153" s="35"/>
      <c r="V153" s="35"/>
      <c r="W153" s="35"/>
      <c r="X153" s="25">
        <f t="shared" si="29"/>
        <v>0</v>
      </c>
      <c r="Y153" s="26">
        <f t="shared" si="30"/>
        <v>0</v>
      </c>
      <c r="Z153" s="26"/>
      <c r="AA153" s="27">
        <f t="shared" si="31"/>
        <v>0</v>
      </c>
      <c r="AB153" s="27">
        <f t="shared" si="32"/>
        <v>0</v>
      </c>
      <c r="AC153" s="28" t="str">
        <f>IFERROR(VLOOKUP($I153&amp;"|"&amp;$A153,Table2[],2,FALSE),"")</f>
        <v/>
      </c>
      <c r="AD153" s="29" t="str">
        <f>IFERROR(VLOOKUP($I153&amp;"|"&amp;$A153,Table2[],3,FALSE),"")</f>
        <v/>
      </c>
      <c r="AE153" s="28">
        <f t="shared" si="33"/>
        <v>0</v>
      </c>
      <c r="AF153" s="28" t="str">
        <f t="shared" si="34"/>
        <v/>
      </c>
      <c r="AG153" s="30" t="str">
        <f t="shared" si="35"/>
        <v/>
      </c>
      <c r="AH153" s="28" t="str">
        <f>IFERROR(VLOOKUP($I153&amp;"|"&amp;$A153,Table2[],4,FALSE),"")</f>
        <v/>
      </c>
      <c r="AI153" s="28" t="str">
        <f t="shared" si="36"/>
        <v/>
      </c>
      <c r="AJ153" s="31">
        <f t="shared" si="37"/>
        <v>0</v>
      </c>
      <c r="AK153" s="32">
        <f t="shared" ref="AK153:AK216" si="41">$AJ153*$B153</f>
        <v>0</v>
      </c>
      <c r="AL153" s="33">
        <f t="shared" si="38"/>
        <v>0</v>
      </c>
      <c r="AM153" s="31">
        <f t="shared" si="39"/>
        <v>0</v>
      </c>
      <c r="AN153" s="32">
        <f t="shared" ref="AN153:AN216" si="42">$AM153*$B153</f>
        <v>0</v>
      </c>
      <c r="AO153" s="33">
        <f t="shared" si="40"/>
        <v>0</v>
      </c>
    </row>
    <row r="154" spans="1:41" s="14" customFormat="1" ht="27" customHeight="1" x14ac:dyDescent="0.25">
      <c r="A154" s="102"/>
      <c r="B154" s="22">
        <f>IFERROR(IF(VLOOKUP(A154,Table3[],MATCH('2023 sintesi '!I154,Table3[#Headers],0),0)=0,IFERROR(VLOOKUP($A154,Table1[],2,FALSE),0),VLOOKUP(A154,Table3[],MATCH('2023 sintesi '!I154,Table3[#Headers],0),0)),0)</f>
        <v>0</v>
      </c>
      <c r="C154" s="23">
        <f>IFERROR(VLOOKUP($A154,Table1[],3,FALSE),0)</f>
        <v>0</v>
      </c>
      <c r="D154" s="102"/>
      <c r="E154" s="102"/>
      <c r="F154" s="104"/>
      <c r="G154" s="102"/>
      <c r="H154" s="102"/>
      <c r="I154" s="109"/>
      <c r="J154" s="106"/>
      <c r="K154" s="107"/>
      <c r="L154" s="35"/>
      <c r="M154" s="35"/>
      <c r="N154" s="35"/>
      <c r="O154" s="35"/>
      <c r="P154" s="35"/>
      <c r="Q154" s="35"/>
      <c r="R154" s="35"/>
      <c r="S154" s="35"/>
      <c r="T154" s="35"/>
      <c r="U154" s="35"/>
      <c r="V154" s="35"/>
      <c r="W154" s="35"/>
      <c r="X154" s="25">
        <f t="shared" si="29"/>
        <v>0</v>
      </c>
      <c r="Y154" s="26">
        <f t="shared" si="30"/>
        <v>0</v>
      </c>
      <c r="Z154" s="26"/>
      <c r="AA154" s="27">
        <f t="shared" si="31"/>
        <v>0</v>
      </c>
      <c r="AB154" s="27">
        <f t="shared" si="32"/>
        <v>0</v>
      </c>
      <c r="AC154" s="28" t="str">
        <f>IFERROR(VLOOKUP($I154&amp;"|"&amp;$A154,Table2[],2,FALSE),"")</f>
        <v/>
      </c>
      <c r="AD154" s="29" t="str">
        <f>IFERROR(VLOOKUP($I154&amp;"|"&amp;$A154,Table2[],3,FALSE),"")</f>
        <v/>
      </c>
      <c r="AE154" s="28">
        <f t="shared" si="33"/>
        <v>0</v>
      </c>
      <c r="AF154" s="28" t="str">
        <f t="shared" si="34"/>
        <v/>
      </c>
      <c r="AG154" s="30" t="str">
        <f t="shared" si="35"/>
        <v/>
      </c>
      <c r="AH154" s="28" t="str">
        <f>IFERROR(VLOOKUP($I154&amp;"|"&amp;$A154,Table2[],4,FALSE),"")</f>
        <v/>
      </c>
      <c r="AI154" s="28" t="str">
        <f t="shared" si="36"/>
        <v/>
      </c>
      <c r="AJ154" s="31">
        <f t="shared" si="37"/>
        <v>0</v>
      </c>
      <c r="AK154" s="32">
        <f t="shared" si="41"/>
        <v>0</v>
      </c>
      <c r="AL154" s="33">
        <f t="shared" si="38"/>
        <v>0</v>
      </c>
      <c r="AM154" s="31">
        <f t="shared" si="39"/>
        <v>0</v>
      </c>
      <c r="AN154" s="32">
        <f t="shared" si="42"/>
        <v>0</v>
      </c>
      <c r="AO154" s="33">
        <f t="shared" si="40"/>
        <v>0</v>
      </c>
    </row>
    <row r="155" spans="1:41" s="14" customFormat="1" ht="27" customHeight="1" x14ac:dyDescent="0.25">
      <c r="A155" s="102"/>
      <c r="B155" s="22">
        <f>IFERROR(IF(VLOOKUP(A155,Table3[],MATCH('2023 sintesi '!I155,Table3[#Headers],0),0)=0,IFERROR(VLOOKUP($A155,Table1[],2,FALSE),0),VLOOKUP(A155,Table3[],MATCH('2023 sintesi '!I155,Table3[#Headers],0),0)),0)</f>
        <v>0</v>
      </c>
      <c r="C155" s="23">
        <f>IFERROR(VLOOKUP($A155,Table1[],3,FALSE),0)</f>
        <v>0</v>
      </c>
      <c r="D155" s="102"/>
      <c r="E155" s="102"/>
      <c r="F155" s="104"/>
      <c r="G155" s="102"/>
      <c r="H155" s="102"/>
      <c r="I155" s="109"/>
      <c r="J155" s="106"/>
      <c r="K155" s="107"/>
      <c r="L155" s="35"/>
      <c r="M155" s="36"/>
      <c r="N155" s="36"/>
      <c r="O155" s="36"/>
      <c r="P155" s="36"/>
      <c r="Q155" s="36"/>
      <c r="R155" s="36"/>
      <c r="S155" s="36"/>
      <c r="T155" s="36"/>
      <c r="U155" s="36"/>
      <c r="V155" s="36"/>
      <c r="W155" s="36"/>
      <c r="X155" s="25">
        <f t="shared" si="29"/>
        <v>0</v>
      </c>
      <c r="Y155" s="26">
        <f t="shared" si="30"/>
        <v>0</v>
      </c>
      <c r="Z155" s="26"/>
      <c r="AA155" s="27">
        <f t="shared" si="31"/>
        <v>0</v>
      </c>
      <c r="AB155" s="27">
        <f t="shared" si="32"/>
        <v>0</v>
      </c>
      <c r="AC155" s="28" t="str">
        <f>IFERROR(VLOOKUP($I155&amp;"|"&amp;$A155,Table2[],2,FALSE),"")</f>
        <v/>
      </c>
      <c r="AD155" s="29" t="str">
        <f>IFERROR(VLOOKUP($I155&amp;"|"&amp;$A155,Table2[],3,FALSE),"")</f>
        <v/>
      </c>
      <c r="AE155" s="28">
        <f t="shared" si="33"/>
        <v>0</v>
      </c>
      <c r="AF155" s="28" t="str">
        <f t="shared" si="34"/>
        <v/>
      </c>
      <c r="AG155" s="30" t="str">
        <f t="shared" si="35"/>
        <v/>
      </c>
      <c r="AH155" s="28" t="str">
        <f>IFERROR(VLOOKUP($I155&amp;"|"&amp;$A155,Table2[],4,FALSE),"")</f>
        <v/>
      </c>
      <c r="AI155" s="28" t="str">
        <f t="shared" si="36"/>
        <v/>
      </c>
      <c r="AJ155" s="31">
        <f t="shared" si="37"/>
        <v>0</v>
      </c>
      <c r="AK155" s="32">
        <f t="shared" si="41"/>
        <v>0</v>
      </c>
      <c r="AL155" s="33">
        <f t="shared" si="38"/>
        <v>0</v>
      </c>
      <c r="AM155" s="31">
        <f t="shared" si="39"/>
        <v>0</v>
      </c>
      <c r="AN155" s="32">
        <f t="shared" si="42"/>
        <v>0</v>
      </c>
      <c r="AO155" s="33">
        <f t="shared" si="40"/>
        <v>0</v>
      </c>
    </row>
    <row r="156" spans="1:41" s="14" customFormat="1" ht="27" customHeight="1" x14ac:dyDescent="0.25">
      <c r="A156" s="102"/>
      <c r="B156" s="22">
        <f>IFERROR(IF(VLOOKUP(A156,Table3[],MATCH('2023 sintesi '!I156,Table3[#Headers],0),0)=0,IFERROR(VLOOKUP($A156,Table1[],2,FALSE),0),VLOOKUP(A156,Table3[],MATCH('2023 sintesi '!I156,Table3[#Headers],0),0)),0)</f>
        <v>0</v>
      </c>
      <c r="C156" s="23">
        <f>IFERROR(VLOOKUP($A156,Table1[],3,FALSE),0)</f>
        <v>0</v>
      </c>
      <c r="D156" s="102"/>
      <c r="E156" s="102"/>
      <c r="F156" s="104"/>
      <c r="G156" s="102"/>
      <c r="H156" s="102"/>
      <c r="I156" s="109"/>
      <c r="J156" s="106"/>
      <c r="K156" s="107"/>
      <c r="L156" s="35"/>
      <c r="M156" s="35"/>
      <c r="N156" s="35"/>
      <c r="O156" s="35"/>
      <c r="P156" s="35"/>
      <c r="Q156" s="35"/>
      <c r="R156" s="35"/>
      <c r="S156" s="35"/>
      <c r="T156" s="35"/>
      <c r="U156" s="35"/>
      <c r="V156" s="35"/>
      <c r="W156" s="35"/>
      <c r="X156" s="25">
        <f t="shared" si="29"/>
        <v>0</v>
      </c>
      <c r="Y156" s="26">
        <f t="shared" si="30"/>
        <v>0</v>
      </c>
      <c r="Z156" s="26"/>
      <c r="AA156" s="27">
        <f t="shared" si="31"/>
        <v>0</v>
      </c>
      <c r="AB156" s="27">
        <f t="shared" si="32"/>
        <v>0</v>
      </c>
      <c r="AC156" s="28" t="str">
        <f>IFERROR(VLOOKUP($I156&amp;"|"&amp;$A156,Table2[],2,FALSE),"")</f>
        <v/>
      </c>
      <c r="AD156" s="29" t="str">
        <f>IFERROR(VLOOKUP($I156&amp;"|"&amp;$A156,Table2[],3,FALSE),"")</f>
        <v/>
      </c>
      <c r="AE156" s="28">
        <f t="shared" si="33"/>
        <v>0</v>
      </c>
      <c r="AF156" s="28" t="str">
        <f t="shared" si="34"/>
        <v/>
      </c>
      <c r="AG156" s="30" t="str">
        <f t="shared" si="35"/>
        <v/>
      </c>
      <c r="AH156" s="28" t="str">
        <f>IFERROR(VLOOKUP($I156&amp;"|"&amp;$A156,Table2[],4,FALSE),"")</f>
        <v/>
      </c>
      <c r="AI156" s="28" t="str">
        <f t="shared" si="36"/>
        <v/>
      </c>
      <c r="AJ156" s="31">
        <f t="shared" si="37"/>
        <v>0</v>
      </c>
      <c r="AK156" s="32">
        <f t="shared" si="41"/>
        <v>0</v>
      </c>
      <c r="AL156" s="33">
        <f t="shared" si="38"/>
        <v>0</v>
      </c>
      <c r="AM156" s="31">
        <f t="shared" si="39"/>
        <v>0</v>
      </c>
      <c r="AN156" s="32">
        <f t="shared" si="42"/>
        <v>0</v>
      </c>
      <c r="AO156" s="33">
        <f t="shared" si="40"/>
        <v>0</v>
      </c>
    </row>
    <row r="157" spans="1:41" s="43" customFormat="1" ht="27" customHeight="1" x14ac:dyDescent="0.25">
      <c r="A157" s="102"/>
      <c r="B157" s="22">
        <f>IFERROR(IF(VLOOKUP(A157,Table3[],MATCH('2023 sintesi '!I157,Table3[#Headers],0),0)=0,IFERROR(VLOOKUP($A157,Table1[],2,FALSE),0),VLOOKUP(A157,Table3[],MATCH('2023 sintesi '!I157,Table3[#Headers],0),0)),0)</f>
        <v>0</v>
      </c>
      <c r="C157" s="23">
        <f>IFERROR(VLOOKUP($A157,Table1[],3,FALSE),0)</f>
        <v>0</v>
      </c>
      <c r="D157" s="102"/>
      <c r="E157" s="102"/>
      <c r="F157" s="104"/>
      <c r="G157" s="102"/>
      <c r="H157" s="102"/>
      <c r="I157" s="109"/>
      <c r="J157" s="110"/>
      <c r="K157" s="107"/>
      <c r="L157" s="35"/>
      <c r="M157" s="35"/>
      <c r="N157" s="35"/>
      <c r="O157" s="35"/>
      <c r="P157" s="35"/>
      <c r="Q157" s="35"/>
      <c r="R157" s="35"/>
      <c r="S157" s="35"/>
      <c r="T157" s="35"/>
      <c r="U157" s="35"/>
      <c r="V157" s="35"/>
      <c r="W157" s="35"/>
      <c r="X157" s="25">
        <f t="shared" si="29"/>
        <v>0</v>
      </c>
      <c r="Y157" s="26">
        <f t="shared" si="30"/>
        <v>0</v>
      </c>
      <c r="Z157" s="26"/>
      <c r="AA157" s="27">
        <f t="shared" si="31"/>
        <v>0</v>
      </c>
      <c r="AB157" s="27">
        <f t="shared" si="32"/>
        <v>0</v>
      </c>
      <c r="AC157" s="28" t="str">
        <f>IFERROR(VLOOKUP($I157&amp;"|"&amp;$A157,Table2[],2,FALSE),"")</f>
        <v/>
      </c>
      <c r="AD157" s="29" t="str">
        <f>IFERROR(VLOOKUP($I157&amp;"|"&amp;$A157,Table2[],3,FALSE),"")</f>
        <v/>
      </c>
      <c r="AE157" s="28">
        <f t="shared" si="33"/>
        <v>0</v>
      </c>
      <c r="AF157" s="28" t="str">
        <f t="shared" si="34"/>
        <v/>
      </c>
      <c r="AG157" s="30" t="str">
        <f t="shared" si="35"/>
        <v/>
      </c>
      <c r="AH157" s="28" t="str">
        <f>IFERROR(VLOOKUP($I157&amp;"|"&amp;$A157,Table2[],4,FALSE),"")</f>
        <v/>
      </c>
      <c r="AI157" s="28" t="str">
        <f t="shared" si="36"/>
        <v/>
      </c>
      <c r="AJ157" s="31">
        <f t="shared" si="37"/>
        <v>0</v>
      </c>
      <c r="AK157" s="32">
        <f t="shared" si="41"/>
        <v>0</v>
      </c>
      <c r="AL157" s="33">
        <f t="shared" si="38"/>
        <v>0</v>
      </c>
      <c r="AM157" s="31">
        <f t="shared" si="39"/>
        <v>0</v>
      </c>
      <c r="AN157" s="32">
        <f t="shared" si="42"/>
        <v>0</v>
      </c>
      <c r="AO157" s="33">
        <f t="shared" si="40"/>
        <v>0</v>
      </c>
    </row>
    <row r="158" spans="1:41" s="43" customFormat="1" ht="27" customHeight="1" x14ac:dyDescent="0.25">
      <c r="A158" s="102"/>
      <c r="B158" s="22">
        <f>IFERROR(IF(VLOOKUP(A158,Table3[],MATCH('2023 sintesi '!I158,Table3[#Headers],0),0)=0,IFERROR(VLOOKUP($A158,Table1[],2,FALSE),0),VLOOKUP(A158,Table3[],MATCH('2023 sintesi '!I158,Table3[#Headers],0),0)),0)</f>
        <v>0</v>
      </c>
      <c r="C158" s="23">
        <f>IFERROR(VLOOKUP($A158,Table1[],3,FALSE),0)</f>
        <v>0</v>
      </c>
      <c r="D158" s="102"/>
      <c r="E158" s="102"/>
      <c r="F158" s="104"/>
      <c r="G158" s="102"/>
      <c r="H158" s="102"/>
      <c r="I158" s="109"/>
      <c r="J158" s="110"/>
      <c r="K158" s="107"/>
      <c r="L158" s="35"/>
      <c r="M158" s="35"/>
      <c r="N158" s="35"/>
      <c r="O158" s="35"/>
      <c r="P158" s="35"/>
      <c r="Q158" s="35"/>
      <c r="R158" s="35"/>
      <c r="S158" s="35"/>
      <c r="T158" s="35"/>
      <c r="U158" s="35"/>
      <c r="V158" s="35"/>
      <c r="W158" s="35"/>
      <c r="X158" s="25">
        <f t="shared" si="29"/>
        <v>0</v>
      </c>
      <c r="Y158" s="26">
        <f t="shared" si="30"/>
        <v>0</v>
      </c>
      <c r="Z158" s="26"/>
      <c r="AA158" s="27">
        <f t="shared" si="31"/>
        <v>0</v>
      </c>
      <c r="AB158" s="27">
        <f t="shared" si="32"/>
        <v>0</v>
      </c>
      <c r="AC158" s="28" t="str">
        <f>IFERROR(VLOOKUP($I158&amp;"|"&amp;$A158,Table2[],2,FALSE),"")</f>
        <v/>
      </c>
      <c r="AD158" s="29" t="str">
        <f>IFERROR(VLOOKUP($I158&amp;"|"&amp;$A158,Table2[],3,FALSE),"")</f>
        <v/>
      </c>
      <c r="AE158" s="28">
        <f t="shared" si="33"/>
        <v>0</v>
      </c>
      <c r="AF158" s="28" t="str">
        <f t="shared" si="34"/>
        <v/>
      </c>
      <c r="AG158" s="30" t="str">
        <f t="shared" si="35"/>
        <v/>
      </c>
      <c r="AH158" s="28" t="str">
        <f>IFERROR(VLOOKUP($I158&amp;"|"&amp;$A158,Table2[],4,FALSE),"")</f>
        <v/>
      </c>
      <c r="AI158" s="28" t="str">
        <f t="shared" si="36"/>
        <v/>
      </c>
      <c r="AJ158" s="31">
        <f t="shared" si="37"/>
        <v>0</v>
      </c>
      <c r="AK158" s="32">
        <f t="shared" si="41"/>
        <v>0</v>
      </c>
      <c r="AL158" s="33">
        <f t="shared" si="38"/>
        <v>0</v>
      </c>
      <c r="AM158" s="31">
        <f t="shared" si="39"/>
        <v>0</v>
      </c>
      <c r="AN158" s="32">
        <f t="shared" si="42"/>
        <v>0</v>
      </c>
      <c r="AO158" s="33">
        <f t="shared" si="40"/>
        <v>0</v>
      </c>
    </row>
    <row r="159" spans="1:41" s="14" customFormat="1" ht="27" customHeight="1" x14ac:dyDescent="0.25">
      <c r="A159" s="102"/>
      <c r="B159" s="22">
        <f>IFERROR(IF(VLOOKUP(A159,Table3[],MATCH('2023 sintesi '!I159,Table3[#Headers],0),0)=0,IFERROR(VLOOKUP($A159,Table1[],2,FALSE),0),VLOOKUP(A159,Table3[],MATCH('2023 sintesi '!I159,Table3[#Headers],0),0)),0)</f>
        <v>0</v>
      </c>
      <c r="C159" s="23">
        <f>IFERROR(VLOOKUP($A159,Table1[],3,FALSE),0)</f>
        <v>0</v>
      </c>
      <c r="D159" s="102"/>
      <c r="E159" s="102"/>
      <c r="F159" s="104"/>
      <c r="G159" s="102"/>
      <c r="H159" s="102"/>
      <c r="I159" s="105"/>
      <c r="J159" s="106"/>
      <c r="K159" s="107"/>
      <c r="L159" s="35"/>
      <c r="M159" s="35"/>
      <c r="N159" s="35"/>
      <c r="O159" s="35"/>
      <c r="P159" s="35"/>
      <c r="Q159" s="35"/>
      <c r="R159" s="35"/>
      <c r="S159" s="35"/>
      <c r="T159" s="35"/>
      <c r="U159" s="35"/>
      <c r="V159" s="35"/>
      <c r="W159" s="35"/>
      <c r="X159" s="25">
        <f t="shared" si="29"/>
        <v>0</v>
      </c>
      <c r="Y159" s="26">
        <f t="shared" si="30"/>
        <v>0</v>
      </c>
      <c r="Z159" s="26"/>
      <c r="AA159" s="27">
        <f t="shared" si="31"/>
        <v>0</v>
      </c>
      <c r="AB159" s="27">
        <f t="shared" si="32"/>
        <v>0</v>
      </c>
      <c r="AC159" s="28" t="str">
        <f>IFERROR(VLOOKUP($I159&amp;"|"&amp;$A159,Table2[],2,FALSE),"")</f>
        <v/>
      </c>
      <c r="AD159" s="29" t="str">
        <f>IFERROR(VLOOKUP($I159&amp;"|"&amp;$A159,Table2[],3,FALSE),"")</f>
        <v/>
      </c>
      <c r="AE159" s="28">
        <f t="shared" si="33"/>
        <v>0</v>
      </c>
      <c r="AF159" s="28" t="str">
        <f t="shared" si="34"/>
        <v/>
      </c>
      <c r="AG159" s="30" t="str">
        <f t="shared" si="35"/>
        <v/>
      </c>
      <c r="AH159" s="28" t="str">
        <f>IFERROR(VLOOKUP($I159&amp;"|"&amp;$A159,Table2[],4,FALSE),"")</f>
        <v/>
      </c>
      <c r="AI159" s="28" t="str">
        <f t="shared" si="36"/>
        <v/>
      </c>
      <c r="AJ159" s="31">
        <f t="shared" si="37"/>
        <v>0</v>
      </c>
      <c r="AK159" s="32">
        <f t="shared" si="41"/>
        <v>0</v>
      </c>
      <c r="AL159" s="33">
        <f t="shared" si="38"/>
        <v>0</v>
      </c>
      <c r="AM159" s="31">
        <f t="shared" si="39"/>
        <v>0</v>
      </c>
      <c r="AN159" s="32">
        <f t="shared" si="42"/>
        <v>0</v>
      </c>
      <c r="AO159" s="33">
        <f t="shared" si="40"/>
        <v>0</v>
      </c>
    </row>
    <row r="160" spans="1:41" s="14" customFormat="1" ht="27" customHeight="1" x14ac:dyDescent="0.25">
      <c r="A160" s="102"/>
      <c r="B160" s="22">
        <f>IFERROR(IF(VLOOKUP(A160,Table3[],MATCH('2023 sintesi '!I160,Table3[#Headers],0),0)=0,IFERROR(VLOOKUP($A160,Table1[],2,FALSE),0),VLOOKUP(A160,Table3[],MATCH('2023 sintesi '!I160,Table3[#Headers],0),0)),0)</f>
        <v>0</v>
      </c>
      <c r="C160" s="23">
        <f>IFERROR(VLOOKUP($A160,Table1[],3,FALSE),0)</f>
        <v>0</v>
      </c>
      <c r="D160" s="102"/>
      <c r="E160" s="102"/>
      <c r="F160" s="104"/>
      <c r="G160" s="102"/>
      <c r="H160" s="102"/>
      <c r="I160" s="105"/>
      <c r="J160" s="106"/>
      <c r="K160" s="107"/>
      <c r="L160" s="35"/>
      <c r="M160" s="35"/>
      <c r="N160" s="35"/>
      <c r="O160" s="35"/>
      <c r="P160" s="35"/>
      <c r="Q160" s="35"/>
      <c r="R160" s="35"/>
      <c r="S160" s="35"/>
      <c r="T160" s="35"/>
      <c r="U160" s="35"/>
      <c r="V160" s="35"/>
      <c r="W160" s="35"/>
      <c r="X160" s="25">
        <f t="shared" si="29"/>
        <v>0</v>
      </c>
      <c r="Y160" s="26">
        <f t="shared" si="30"/>
        <v>0</v>
      </c>
      <c r="Z160" s="26"/>
      <c r="AA160" s="27">
        <f t="shared" si="31"/>
        <v>0</v>
      </c>
      <c r="AB160" s="27">
        <f t="shared" si="32"/>
        <v>0</v>
      </c>
      <c r="AC160" s="28" t="str">
        <f>IFERROR(VLOOKUP($I160&amp;"|"&amp;$A160,Table2[],2,FALSE),"")</f>
        <v/>
      </c>
      <c r="AD160" s="29" t="str">
        <f>IFERROR(VLOOKUP($I160&amp;"|"&amp;$A160,Table2[],3,FALSE),"")</f>
        <v/>
      </c>
      <c r="AE160" s="28">
        <f t="shared" si="33"/>
        <v>0</v>
      </c>
      <c r="AF160" s="28" t="str">
        <f t="shared" si="34"/>
        <v/>
      </c>
      <c r="AG160" s="30" t="str">
        <f t="shared" si="35"/>
        <v/>
      </c>
      <c r="AH160" s="28" t="str">
        <f>IFERROR(VLOOKUP($I160&amp;"|"&amp;$A160,Table2[],4,FALSE),"")</f>
        <v/>
      </c>
      <c r="AI160" s="28" t="str">
        <f t="shared" si="36"/>
        <v/>
      </c>
      <c r="AJ160" s="31">
        <f t="shared" si="37"/>
        <v>0</v>
      </c>
      <c r="AK160" s="32">
        <f t="shared" si="41"/>
        <v>0</v>
      </c>
      <c r="AL160" s="33">
        <f t="shared" si="38"/>
        <v>0</v>
      </c>
      <c r="AM160" s="31">
        <f t="shared" si="39"/>
        <v>0</v>
      </c>
      <c r="AN160" s="32">
        <f t="shared" si="42"/>
        <v>0</v>
      </c>
      <c r="AO160" s="33">
        <f t="shared" si="40"/>
        <v>0</v>
      </c>
    </row>
    <row r="161" spans="1:41" s="14" customFormat="1" ht="27" customHeight="1" x14ac:dyDescent="0.25">
      <c r="A161" s="102"/>
      <c r="B161" s="22">
        <f>IFERROR(IF(VLOOKUP(A161,Table3[],MATCH('2023 sintesi '!I161,Table3[#Headers],0),0)=0,IFERROR(VLOOKUP($A161,Table1[],2,FALSE),0),VLOOKUP(A161,Table3[],MATCH('2023 sintesi '!I161,Table3[#Headers],0),0)),0)</f>
        <v>0</v>
      </c>
      <c r="C161" s="23">
        <f>IFERROR(VLOOKUP($A161,Table1[],3,FALSE),0)</f>
        <v>0</v>
      </c>
      <c r="D161" s="102"/>
      <c r="E161" s="102"/>
      <c r="F161" s="104"/>
      <c r="G161" s="102"/>
      <c r="H161" s="102"/>
      <c r="I161" s="105"/>
      <c r="J161" s="106"/>
      <c r="K161" s="107"/>
      <c r="L161" s="35"/>
      <c r="M161" s="35"/>
      <c r="N161" s="35"/>
      <c r="O161" s="35"/>
      <c r="P161" s="35"/>
      <c r="Q161" s="35"/>
      <c r="R161" s="35"/>
      <c r="S161" s="35"/>
      <c r="T161" s="35"/>
      <c r="U161" s="35"/>
      <c r="V161" s="35"/>
      <c r="W161" s="35"/>
      <c r="X161" s="25">
        <f t="shared" si="29"/>
        <v>0</v>
      </c>
      <c r="Y161" s="26">
        <f t="shared" si="30"/>
        <v>0</v>
      </c>
      <c r="Z161" s="26"/>
      <c r="AA161" s="27">
        <f t="shared" si="31"/>
        <v>0</v>
      </c>
      <c r="AB161" s="27">
        <f t="shared" si="32"/>
        <v>0</v>
      </c>
      <c r="AC161" s="28" t="str">
        <f>IFERROR(VLOOKUP($I161&amp;"|"&amp;$A161,Table2[],2,FALSE),"")</f>
        <v/>
      </c>
      <c r="AD161" s="29" t="str">
        <f>IFERROR(VLOOKUP($I161&amp;"|"&amp;$A161,Table2[],3,FALSE),"")</f>
        <v/>
      </c>
      <c r="AE161" s="28">
        <f t="shared" si="33"/>
        <v>0</v>
      </c>
      <c r="AF161" s="28" t="str">
        <f t="shared" si="34"/>
        <v/>
      </c>
      <c r="AG161" s="30" t="str">
        <f t="shared" si="35"/>
        <v/>
      </c>
      <c r="AH161" s="28" t="str">
        <f>IFERROR(VLOOKUP($I161&amp;"|"&amp;$A161,Table2[],4,FALSE),"")</f>
        <v/>
      </c>
      <c r="AI161" s="28" t="str">
        <f t="shared" si="36"/>
        <v/>
      </c>
      <c r="AJ161" s="31">
        <f t="shared" si="37"/>
        <v>0</v>
      </c>
      <c r="AK161" s="32">
        <f t="shared" si="41"/>
        <v>0</v>
      </c>
      <c r="AL161" s="33">
        <f t="shared" si="38"/>
        <v>0</v>
      </c>
      <c r="AM161" s="31">
        <f t="shared" si="39"/>
        <v>0</v>
      </c>
      <c r="AN161" s="32">
        <f t="shared" si="42"/>
        <v>0</v>
      </c>
      <c r="AO161" s="33">
        <f t="shared" si="40"/>
        <v>0</v>
      </c>
    </row>
    <row r="162" spans="1:41" s="14" customFormat="1" ht="27" customHeight="1" x14ac:dyDescent="0.25">
      <c r="A162" s="102"/>
      <c r="B162" s="22">
        <f>IFERROR(IF(VLOOKUP(A162,Table3[],MATCH('2023 sintesi '!I162,Table3[#Headers],0),0)=0,IFERROR(VLOOKUP($A162,Table1[],2,FALSE),0),VLOOKUP(A162,Table3[],MATCH('2023 sintesi '!I162,Table3[#Headers],0),0)),0)</f>
        <v>0</v>
      </c>
      <c r="C162" s="23">
        <f>IFERROR(VLOOKUP($A162,Table1[],3,FALSE),0)</f>
        <v>0</v>
      </c>
      <c r="D162" s="102"/>
      <c r="E162" s="102"/>
      <c r="F162" s="104"/>
      <c r="G162" s="102"/>
      <c r="H162" s="102"/>
      <c r="I162" s="109"/>
      <c r="J162" s="106"/>
      <c r="K162" s="107"/>
      <c r="L162" s="35"/>
      <c r="M162" s="35"/>
      <c r="N162" s="35"/>
      <c r="O162" s="35"/>
      <c r="P162" s="35"/>
      <c r="Q162" s="35"/>
      <c r="R162" s="35"/>
      <c r="S162" s="35"/>
      <c r="T162" s="35"/>
      <c r="U162" s="35"/>
      <c r="V162" s="35"/>
      <c r="W162" s="35"/>
      <c r="X162" s="25">
        <f t="shared" si="29"/>
        <v>0</v>
      </c>
      <c r="Y162" s="26">
        <f t="shared" si="30"/>
        <v>0</v>
      </c>
      <c r="Z162" s="26"/>
      <c r="AA162" s="27">
        <f t="shared" si="31"/>
        <v>0</v>
      </c>
      <c r="AB162" s="27">
        <f t="shared" si="32"/>
        <v>0</v>
      </c>
      <c r="AC162" s="28" t="str">
        <f>IFERROR(VLOOKUP($I162&amp;"|"&amp;$A162,Table2[],2,FALSE),"")</f>
        <v/>
      </c>
      <c r="AD162" s="29" t="str">
        <f>IFERROR(VLOOKUP($I162&amp;"|"&amp;$A162,Table2[],3,FALSE),"")</f>
        <v/>
      </c>
      <c r="AE162" s="28">
        <f t="shared" si="33"/>
        <v>0</v>
      </c>
      <c r="AF162" s="28" t="str">
        <f t="shared" si="34"/>
        <v/>
      </c>
      <c r="AG162" s="30" t="str">
        <f t="shared" si="35"/>
        <v/>
      </c>
      <c r="AH162" s="28" t="str">
        <f>IFERROR(VLOOKUP($I162&amp;"|"&amp;$A162,Table2[],4,FALSE),"")</f>
        <v/>
      </c>
      <c r="AI162" s="28" t="str">
        <f t="shared" si="36"/>
        <v/>
      </c>
      <c r="AJ162" s="31">
        <f t="shared" si="37"/>
        <v>0</v>
      </c>
      <c r="AK162" s="32">
        <f t="shared" si="41"/>
        <v>0</v>
      </c>
      <c r="AL162" s="33">
        <f t="shared" si="38"/>
        <v>0</v>
      </c>
      <c r="AM162" s="31">
        <f t="shared" si="39"/>
        <v>0</v>
      </c>
      <c r="AN162" s="32">
        <f t="shared" si="42"/>
        <v>0</v>
      </c>
      <c r="AO162" s="33">
        <f t="shared" si="40"/>
        <v>0</v>
      </c>
    </row>
    <row r="163" spans="1:41" s="14" customFormat="1" ht="27" customHeight="1" x14ac:dyDescent="0.25">
      <c r="A163" s="102"/>
      <c r="B163" s="22">
        <f>IFERROR(IF(VLOOKUP(A163,Table3[],MATCH('2023 sintesi '!I163,Table3[#Headers],0),0)=0,IFERROR(VLOOKUP($A163,Table1[],2,FALSE),0),VLOOKUP(A163,Table3[],MATCH('2023 sintesi '!I163,Table3[#Headers],0),0)),0)</f>
        <v>0</v>
      </c>
      <c r="C163" s="23">
        <f>IFERROR(VLOOKUP($A163,Table1[],3,FALSE),0)</f>
        <v>0</v>
      </c>
      <c r="D163" s="102"/>
      <c r="E163" s="102"/>
      <c r="F163" s="104"/>
      <c r="G163" s="102"/>
      <c r="H163" s="102"/>
      <c r="I163" s="109"/>
      <c r="J163" s="106"/>
      <c r="K163" s="107"/>
      <c r="L163" s="35"/>
      <c r="M163" s="35"/>
      <c r="N163" s="35"/>
      <c r="O163" s="35"/>
      <c r="P163" s="35"/>
      <c r="Q163" s="35"/>
      <c r="R163" s="35"/>
      <c r="S163" s="35"/>
      <c r="T163" s="35"/>
      <c r="U163" s="35"/>
      <c r="V163" s="35"/>
      <c r="W163" s="35"/>
      <c r="X163" s="25">
        <f t="shared" si="29"/>
        <v>0</v>
      </c>
      <c r="Y163" s="26">
        <f t="shared" si="30"/>
        <v>0</v>
      </c>
      <c r="Z163" s="26"/>
      <c r="AA163" s="27">
        <f t="shared" si="31"/>
        <v>0</v>
      </c>
      <c r="AB163" s="27">
        <f t="shared" si="32"/>
        <v>0</v>
      </c>
      <c r="AC163" s="28" t="str">
        <f>IFERROR(VLOOKUP($I163&amp;"|"&amp;$A163,Table2[],2,FALSE),"")</f>
        <v/>
      </c>
      <c r="AD163" s="29" t="str">
        <f>IFERROR(VLOOKUP($I163&amp;"|"&amp;$A163,Table2[],3,FALSE),"")</f>
        <v/>
      </c>
      <c r="AE163" s="28">
        <f t="shared" si="33"/>
        <v>0</v>
      </c>
      <c r="AF163" s="28" t="str">
        <f t="shared" si="34"/>
        <v/>
      </c>
      <c r="AG163" s="30" t="str">
        <f t="shared" si="35"/>
        <v/>
      </c>
      <c r="AH163" s="28" t="str">
        <f>IFERROR(VLOOKUP($I163&amp;"|"&amp;$A163,Table2[],4,FALSE),"")</f>
        <v/>
      </c>
      <c r="AI163" s="28" t="str">
        <f t="shared" si="36"/>
        <v/>
      </c>
      <c r="AJ163" s="31">
        <f t="shared" si="37"/>
        <v>0</v>
      </c>
      <c r="AK163" s="32">
        <f t="shared" si="41"/>
        <v>0</v>
      </c>
      <c r="AL163" s="33">
        <f t="shared" si="38"/>
        <v>0</v>
      </c>
      <c r="AM163" s="31">
        <f t="shared" si="39"/>
        <v>0</v>
      </c>
      <c r="AN163" s="32">
        <f t="shared" si="42"/>
        <v>0</v>
      </c>
      <c r="AO163" s="33">
        <f t="shared" si="40"/>
        <v>0</v>
      </c>
    </row>
    <row r="164" spans="1:41" s="14" customFormat="1" ht="27" customHeight="1" x14ac:dyDescent="0.25">
      <c r="A164" s="102"/>
      <c r="B164" s="22">
        <f>IFERROR(IF(VLOOKUP(A164,Table3[],MATCH('2023 sintesi '!I164,Table3[#Headers],0),0)=0,IFERROR(VLOOKUP($A164,Table1[],2,FALSE),0),VLOOKUP(A164,Table3[],MATCH('2023 sintesi '!I164,Table3[#Headers],0),0)),0)</f>
        <v>0</v>
      </c>
      <c r="C164" s="23">
        <f>IFERROR(VLOOKUP($A164,Table1[],3,FALSE),0)</f>
        <v>0</v>
      </c>
      <c r="D164" s="102"/>
      <c r="E164" s="102"/>
      <c r="F164" s="104"/>
      <c r="G164" s="102"/>
      <c r="H164" s="102"/>
      <c r="I164" s="105"/>
      <c r="J164" s="106"/>
      <c r="K164" s="107"/>
      <c r="L164" s="35"/>
      <c r="M164" s="36"/>
      <c r="N164" s="36"/>
      <c r="O164" s="36"/>
      <c r="P164" s="36"/>
      <c r="Q164" s="36"/>
      <c r="R164" s="36"/>
      <c r="S164" s="36"/>
      <c r="T164" s="36"/>
      <c r="U164" s="36"/>
      <c r="V164" s="36"/>
      <c r="W164" s="36"/>
      <c r="X164" s="25">
        <f t="shared" si="29"/>
        <v>0</v>
      </c>
      <c r="Y164" s="26">
        <f t="shared" si="30"/>
        <v>0</v>
      </c>
      <c r="Z164" s="26"/>
      <c r="AA164" s="27">
        <f t="shared" si="31"/>
        <v>0</v>
      </c>
      <c r="AB164" s="27">
        <f t="shared" si="32"/>
        <v>0</v>
      </c>
      <c r="AC164" s="28" t="str">
        <f>IFERROR(VLOOKUP($I164&amp;"|"&amp;$A164,Table2[],2,FALSE),"")</f>
        <v/>
      </c>
      <c r="AD164" s="29" t="str">
        <f>IFERROR(VLOOKUP($I164&amp;"|"&amp;$A164,Table2[],3,FALSE),"")</f>
        <v/>
      </c>
      <c r="AE164" s="28">
        <f t="shared" si="33"/>
        <v>0</v>
      </c>
      <c r="AF164" s="28" t="str">
        <f t="shared" si="34"/>
        <v/>
      </c>
      <c r="AG164" s="30" t="str">
        <f t="shared" si="35"/>
        <v/>
      </c>
      <c r="AH164" s="28" t="str">
        <f>IFERROR(VLOOKUP($I164&amp;"|"&amp;$A164,Table2[],4,FALSE),"")</f>
        <v/>
      </c>
      <c r="AI164" s="28" t="str">
        <f t="shared" si="36"/>
        <v/>
      </c>
      <c r="AJ164" s="31">
        <f t="shared" si="37"/>
        <v>0</v>
      </c>
      <c r="AK164" s="32">
        <f t="shared" si="41"/>
        <v>0</v>
      </c>
      <c r="AL164" s="33">
        <f t="shared" si="38"/>
        <v>0</v>
      </c>
      <c r="AM164" s="31">
        <f t="shared" si="39"/>
        <v>0</v>
      </c>
      <c r="AN164" s="32">
        <f t="shared" si="42"/>
        <v>0</v>
      </c>
      <c r="AO164" s="33">
        <f t="shared" si="40"/>
        <v>0</v>
      </c>
    </row>
    <row r="165" spans="1:41" s="14" customFormat="1" ht="27" customHeight="1" x14ac:dyDescent="0.25">
      <c r="A165" s="102"/>
      <c r="B165" s="22">
        <f>IFERROR(IF(VLOOKUP(A165,Table3[],MATCH('2023 sintesi '!I165,Table3[#Headers],0),0)=0,IFERROR(VLOOKUP($A165,Table1[],2,FALSE),0),VLOOKUP(A165,Table3[],MATCH('2023 sintesi '!I165,Table3[#Headers],0),0)),0)</f>
        <v>0</v>
      </c>
      <c r="C165" s="23">
        <f>IFERROR(VLOOKUP($A165,Table1[],3,FALSE),0)</f>
        <v>0</v>
      </c>
      <c r="D165" s="102"/>
      <c r="E165" s="102"/>
      <c r="F165" s="104"/>
      <c r="G165" s="102"/>
      <c r="H165" s="102"/>
      <c r="I165" s="105"/>
      <c r="J165" s="106"/>
      <c r="K165" s="111"/>
      <c r="L165" s="35"/>
      <c r="M165" s="36"/>
      <c r="N165" s="36"/>
      <c r="O165" s="36"/>
      <c r="P165" s="36"/>
      <c r="Q165" s="36"/>
      <c r="R165" s="36"/>
      <c r="S165" s="36"/>
      <c r="T165" s="36"/>
      <c r="U165" s="36"/>
      <c r="V165" s="36"/>
      <c r="W165" s="36"/>
      <c r="X165" s="25">
        <f t="shared" si="29"/>
        <v>0</v>
      </c>
      <c r="Y165" s="26">
        <f t="shared" si="30"/>
        <v>0</v>
      </c>
      <c r="Z165" s="26"/>
      <c r="AA165" s="27">
        <f t="shared" si="31"/>
        <v>0</v>
      </c>
      <c r="AB165" s="27">
        <f t="shared" si="32"/>
        <v>0</v>
      </c>
      <c r="AC165" s="28" t="str">
        <f>IFERROR(VLOOKUP($I165&amp;"|"&amp;$A165,Table2[],2,FALSE),"")</f>
        <v/>
      </c>
      <c r="AD165" s="29" t="str">
        <f>IFERROR(VLOOKUP($I165&amp;"|"&amp;$A165,Table2[],3,FALSE),"")</f>
        <v/>
      </c>
      <c r="AE165" s="28">
        <f t="shared" si="33"/>
        <v>0</v>
      </c>
      <c r="AF165" s="28" t="str">
        <f t="shared" si="34"/>
        <v/>
      </c>
      <c r="AG165" s="30" t="str">
        <f t="shared" si="35"/>
        <v/>
      </c>
      <c r="AH165" s="28" t="str">
        <f>IFERROR(VLOOKUP($I165&amp;"|"&amp;$A165,Table2[],4,FALSE),"")</f>
        <v/>
      </c>
      <c r="AI165" s="28" t="str">
        <f t="shared" si="36"/>
        <v/>
      </c>
      <c r="AJ165" s="31">
        <f t="shared" si="37"/>
        <v>0</v>
      </c>
      <c r="AK165" s="32">
        <f t="shared" si="41"/>
        <v>0</v>
      </c>
      <c r="AL165" s="33">
        <f t="shared" si="38"/>
        <v>0</v>
      </c>
      <c r="AM165" s="31">
        <f t="shared" si="39"/>
        <v>0</v>
      </c>
      <c r="AN165" s="32">
        <f t="shared" si="42"/>
        <v>0</v>
      </c>
      <c r="AO165" s="33">
        <f t="shared" si="40"/>
        <v>0</v>
      </c>
    </row>
    <row r="166" spans="1:41" s="14" customFormat="1" ht="27" customHeight="1" x14ac:dyDescent="0.25">
      <c r="A166" s="102"/>
      <c r="B166" s="22">
        <f>IFERROR(IF(VLOOKUP(A166,Table3[],MATCH('2023 sintesi '!I166,Table3[#Headers],0),0)=0,IFERROR(VLOOKUP($A166,Table1[],2,FALSE),0),VLOOKUP(A166,Table3[],MATCH('2023 sintesi '!I166,Table3[#Headers],0),0)),0)</f>
        <v>0</v>
      </c>
      <c r="C166" s="23">
        <f>IFERROR(VLOOKUP($A166,Table1[],3,FALSE),0)</f>
        <v>0</v>
      </c>
      <c r="D166" s="102"/>
      <c r="E166" s="102"/>
      <c r="F166" s="104"/>
      <c r="G166" s="102"/>
      <c r="H166" s="102"/>
      <c r="I166" s="105"/>
      <c r="J166" s="106"/>
      <c r="K166" s="111"/>
      <c r="L166" s="35"/>
      <c r="M166" s="36"/>
      <c r="N166" s="36"/>
      <c r="O166" s="36"/>
      <c r="P166" s="36"/>
      <c r="Q166" s="36"/>
      <c r="R166" s="36"/>
      <c r="S166" s="36"/>
      <c r="T166" s="36"/>
      <c r="U166" s="36"/>
      <c r="V166" s="36"/>
      <c r="W166" s="36"/>
      <c r="X166" s="25">
        <f t="shared" si="29"/>
        <v>0</v>
      </c>
      <c r="Y166" s="26">
        <f t="shared" si="30"/>
        <v>0</v>
      </c>
      <c r="Z166" s="26"/>
      <c r="AA166" s="27">
        <f t="shared" si="31"/>
        <v>0</v>
      </c>
      <c r="AB166" s="27">
        <f t="shared" si="32"/>
        <v>0</v>
      </c>
      <c r="AC166" s="28" t="str">
        <f>IFERROR(VLOOKUP($I166&amp;"|"&amp;$A166,Table2[],2,FALSE),"")</f>
        <v/>
      </c>
      <c r="AD166" s="29" t="str">
        <f>IFERROR(VLOOKUP($I166&amp;"|"&amp;$A166,Table2[],3,FALSE),"")</f>
        <v/>
      </c>
      <c r="AE166" s="28">
        <f t="shared" si="33"/>
        <v>0</v>
      </c>
      <c r="AF166" s="28" t="str">
        <f t="shared" si="34"/>
        <v/>
      </c>
      <c r="AG166" s="30" t="str">
        <f t="shared" si="35"/>
        <v/>
      </c>
      <c r="AH166" s="28" t="str">
        <f>IFERROR(VLOOKUP($I166&amp;"|"&amp;$A166,Table2[],4,FALSE),"")</f>
        <v/>
      </c>
      <c r="AI166" s="28" t="str">
        <f t="shared" si="36"/>
        <v/>
      </c>
      <c r="AJ166" s="31">
        <f t="shared" si="37"/>
        <v>0</v>
      </c>
      <c r="AK166" s="32">
        <f t="shared" si="41"/>
        <v>0</v>
      </c>
      <c r="AL166" s="33">
        <f t="shared" si="38"/>
        <v>0</v>
      </c>
      <c r="AM166" s="31">
        <f t="shared" si="39"/>
        <v>0</v>
      </c>
      <c r="AN166" s="32">
        <f t="shared" si="42"/>
        <v>0</v>
      </c>
      <c r="AO166" s="33">
        <f t="shared" si="40"/>
        <v>0</v>
      </c>
    </row>
    <row r="167" spans="1:41" s="14" customFormat="1" ht="27" customHeight="1" x14ac:dyDescent="0.25">
      <c r="A167" s="102"/>
      <c r="B167" s="22">
        <f>IFERROR(IF(VLOOKUP(A167,Table3[],MATCH('2023 sintesi '!I167,Table3[#Headers],0),0)=0,IFERROR(VLOOKUP($A167,Table1[],2,FALSE),0),VLOOKUP(A167,Table3[],MATCH('2023 sintesi '!I167,Table3[#Headers],0),0)),0)</f>
        <v>0</v>
      </c>
      <c r="C167" s="23">
        <f>IFERROR(VLOOKUP($A167,Table1[],3,FALSE),0)</f>
        <v>0</v>
      </c>
      <c r="D167" s="102"/>
      <c r="E167" s="102"/>
      <c r="F167" s="104"/>
      <c r="G167" s="102"/>
      <c r="H167" s="102"/>
      <c r="I167" s="105"/>
      <c r="J167" s="106"/>
      <c r="K167" s="111"/>
      <c r="L167" s="35"/>
      <c r="M167" s="36"/>
      <c r="N167" s="36"/>
      <c r="O167" s="36"/>
      <c r="P167" s="36"/>
      <c r="Q167" s="36"/>
      <c r="R167" s="36"/>
      <c r="S167" s="36"/>
      <c r="T167" s="36"/>
      <c r="U167" s="36"/>
      <c r="V167" s="36"/>
      <c r="W167" s="36"/>
      <c r="X167" s="25">
        <f t="shared" si="29"/>
        <v>0</v>
      </c>
      <c r="Y167" s="26">
        <f t="shared" si="30"/>
        <v>0</v>
      </c>
      <c r="Z167" s="26"/>
      <c r="AA167" s="27">
        <f t="shared" si="31"/>
        <v>0</v>
      </c>
      <c r="AB167" s="27">
        <f t="shared" si="32"/>
        <v>0</v>
      </c>
      <c r="AC167" s="28" t="str">
        <f>IFERROR(VLOOKUP($I167&amp;"|"&amp;$A167,Table2[],2,FALSE),"")</f>
        <v/>
      </c>
      <c r="AD167" s="29" t="str">
        <f>IFERROR(VLOOKUP($I167&amp;"|"&amp;$A167,Table2[],3,FALSE),"")</f>
        <v/>
      </c>
      <c r="AE167" s="28">
        <f t="shared" si="33"/>
        <v>0</v>
      </c>
      <c r="AF167" s="28" t="str">
        <f t="shared" si="34"/>
        <v/>
      </c>
      <c r="AG167" s="30" t="str">
        <f t="shared" si="35"/>
        <v/>
      </c>
      <c r="AH167" s="28" t="str">
        <f>IFERROR(VLOOKUP($I167&amp;"|"&amp;$A167,Table2[],4,FALSE),"")</f>
        <v/>
      </c>
      <c r="AI167" s="28" t="str">
        <f t="shared" si="36"/>
        <v/>
      </c>
      <c r="AJ167" s="31">
        <f t="shared" si="37"/>
        <v>0</v>
      </c>
      <c r="AK167" s="32">
        <f t="shared" si="41"/>
        <v>0</v>
      </c>
      <c r="AL167" s="33">
        <f t="shared" si="38"/>
        <v>0</v>
      </c>
      <c r="AM167" s="31">
        <f t="shared" si="39"/>
        <v>0</v>
      </c>
      <c r="AN167" s="32">
        <f t="shared" si="42"/>
        <v>0</v>
      </c>
      <c r="AO167" s="33">
        <f t="shared" si="40"/>
        <v>0</v>
      </c>
    </row>
    <row r="168" spans="1:41" s="14" customFormat="1" ht="27" customHeight="1" x14ac:dyDescent="0.25">
      <c r="A168" s="102"/>
      <c r="B168" s="22">
        <f>IFERROR(IF(VLOOKUP(A168,Table3[],MATCH('2023 sintesi '!I168,Table3[#Headers],0),0)=0,IFERROR(VLOOKUP($A168,Table1[],2,FALSE),0),VLOOKUP(A168,Table3[],MATCH('2023 sintesi '!I168,Table3[#Headers],0),0)),0)</f>
        <v>0</v>
      </c>
      <c r="C168" s="23">
        <f>IFERROR(VLOOKUP($A168,Table1[],3,FALSE),0)</f>
        <v>0</v>
      </c>
      <c r="D168" s="102"/>
      <c r="E168" s="102"/>
      <c r="F168" s="104"/>
      <c r="G168" s="102"/>
      <c r="H168" s="102"/>
      <c r="I168" s="105"/>
      <c r="J168" s="106"/>
      <c r="K168" s="111"/>
      <c r="L168" s="35"/>
      <c r="M168" s="36"/>
      <c r="N168" s="36"/>
      <c r="O168" s="36"/>
      <c r="P168" s="36"/>
      <c r="Q168" s="36"/>
      <c r="R168" s="36"/>
      <c r="S168" s="36"/>
      <c r="T168" s="36"/>
      <c r="U168" s="36"/>
      <c r="V168" s="36"/>
      <c r="W168" s="36"/>
      <c r="X168" s="25">
        <f t="shared" si="29"/>
        <v>0</v>
      </c>
      <c r="Y168" s="26">
        <f t="shared" si="30"/>
        <v>0</v>
      </c>
      <c r="Z168" s="26"/>
      <c r="AA168" s="27">
        <f t="shared" si="31"/>
        <v>0</v>
      </c>
      <c r="AB168" s="27">
        <f t="shared" si="32"/>
        <v>0</v>
      </c>
      <c r="AC168" s="28" t="str">
        <f>IFERROR(VLOOKUP($I168&amp;"|"&amp;$A168,Table2[],2,FALSE),"")</f>
        <v/>
      </c>
      <c r="AD168" s="29" t="str">
        <f>IFERROR(VLOOKUP($I168&amp;"|"&amp;$A168,Table2[],3,FALSE),"")</f>
        <v/>
      </c>
      <c r="AE168" s="28">
        <f t="shared" si="33"/>
        <v>0</v>
      </c>
      <c r="AF168" s="28" t="str">
        <f t="shared" si="34"/>
        <v/>
      </c>
      <c r="AG168" s="30" t="str">
        <f t="shared" si="35"/>
        <v/>
      </c>
      <c r="AH168" s="28" t="str">
        <f>IFERROR(VLOOKUP($I168&amp;"|"&amp;$A168,Table2[],4,FALSE),"")</f>
        <v/>
      </c>
      <c r="AI168" s="28" t="str">
        <f t="shared" si="36"/>
        <v/>
      </c>
      <c r="AJ168" s="31">
        <f t="shared" si="37"/>
        <v>0</v>
      </c>
      <c r="AK168" s="32">
        <f t="shared" si="41"/>
        <v>0</v>
      </c>
      <c r="AL168" s="33">
        <f t="shared" si="38"/>
        <v>0</v>
      </c>
      <c r="AM168" s="31">
        <f t="shared" si="39"/>
        <v>0</v>
      </c>
      <c r="AN168" s="32">
        <f t="shared" si="42"/>
        <v>0</v>
      </c>
      <c r="AO168" s="33">
        <f t="shared" si="40"/>
        <v>0</v>
      </c>
    </row>
    <row r="169" spans="1:41" s="14" customFormat="1" ht="27" customHeight="1" x14ac:dyDescent="0.25">
      <c r="A169" s="102"/>
      <c r="B169" s="22">
        <f>IFERROR(IF(VLOOKUP(A169,Table3[],MATCH('2023 sintesi '!I169,Table3[#Headers],0),0)=0,IFERROR(VLOOKUP($A169,Table1[],2,FALSE),0),VLOOKUP(A169,Table3[],MATCH('2023 sintesi '!I169,Table3[#Headers],0),0)),0)</f>
        <v>0</v>
      </c>
      <c r="C169" s="23">
        <f>IFERROR(VLOOKUP($A169,Table1[],3,FALSE),0)</f>
        <v>0</v>
      </c>
      <c r="D169" s="102"/>
      <c r="E169" s="102"/>
      <c r="F169" s="104"/>
      <c r="G169" s="102"/>
      <c r="H169" s="102"/>
      <c r="I169" s="105"/>
      <c r="J169" s="106"/>
      <c r="K169" s="111"/>
      <c r="L169" s="35"/>
      <c r="M169" s="35"/>
      <c r="N169" s="35"/>
      <c r="O169" s="35"/>
      <c r="P169" s="35"/>
      <c r="Q169" s="35"/>
      <c r="R169" s="35"/>
      <c r="S169" s="36"/>
      <c r="T169" s="36"/>
      <c r="U169" s="36"/>
      <c r="V169" s="36"/>
      <c r="W169" s="36"/>
      <c r="X169" s="25">
        <f t="shared" si="29"/>
        <v>0</v>
      </c>
      <c r="Y169" s="26">
        <f t="shared" si="30"/>
        <v>0</v>
      </c>
      <c r="Z169" s="26"/>
      <c r="AA169" s="27">
        <f t="shared" si="31"/>
        <v>0</v>
      </c>
      <c r="AB169" s="27">
        <f t="shared" si="32"/>
        <v>0</v>
      </c>
      <c r="AC169" s="28" t="str">
        <f>IFERROR(VLOOKUP($I169&amp;"|"&amp;$A169,Table2[],2,FALSE),"")</f>
        <v/>
      </c>
      <c r="AD169" s="29" t="str">
        <f>IFERROR(VLOOKUP($I169&amp;"|"&amp;$A169,Table2[],3,FALSE),"")</f>
        <v/>
      </c>
      <c r="AE169" s="28">
        <f t="shared" si="33"/>
        <v>0</v>
      </c>
      <c r="AF169" s="28" t="str">
        <f t="shared" si="34"/>
        <v/>
      </c>
      <c r="AG169" s="30" t="str">
        <f t="shared" si="35"/>
        <v/>
      </c>
      <c r="AH169" s="28" t="str">
        <f>IFERROR(VLOOKUP($I169&amp;"|"&amp;$A169,Table2[],4,FALSE),"")</f>
        <v/>
      </c>
      <c r="AI169" s="28" t="str">
        <f t="shared" si="36"/>
        <v/>
      </c>
      <c r="AJ169" s="31">
        <f t="shared" si="37"/>
        <v>0</v>
      </c>
      <c r="AK169" s="32">
        <f t="shared" si="41"/>
        <v>0</v>
      </c>
      <c r="AL169" s="33">
        <f t="shared" si="38"/>
        <v>0</v>
      </c>
      <c r="AM169" s="31">
        <f t="shared" si="39"/>
        <v>0</v>
      </c>
      <c r="AN169" s="32">
        <f t="shared" si="42"/>
        <v>0</v>
      </c>
      <c r="AO169" s="33">
        <f t="shared" si="40"/>
        <v>0</v>
      </c>
    </row>
    <row r="170" spans="1:41" s="14" customFormat="1" ht="27" customHeight="1" x14ac:dyDescent="0.25">
      <c r="A170" s="102"/>
      <c r="B170" s="22">
        <f>IFERROR(IF(VLOOKUP(A170,Table3[],MATCH('2023 sintesi '!I170,Table3[#Headers],0),0)=0,IFERROR(VLOOKUP($A170,Table1[],2,FALSE),0),VLOOKUP(A170,Table3[],MATCH('2023 sintesi '!I170,Table3[#Headers],0),0)),0)</f>
        <v>0</v>
      </c>
      <c r="C170" s="23">
        <f>IFERROR(VLOOKUP($A170,Table1[],3,FALSE),0)</f>
        <v>0</v>
      </c>
      <c r="D170" s="102"/>
      <c r="E170" s="102"/>
      <c r="F170" s="104"/>
      <c r="G170" s="102"/>
      <c r="H170" s="102"/>
      <c r="I170" s="105"/>
      <c r="J170" s="106"/>
      <c r="K170" s="112"/>
      <c r="L170" s="35"/>
      <c r="M170" s="35"/>
      <c r="N170" s="35"/>
      <c r="O170" s="35"/>
      <c r="P170" s="35"/>
      <c r="Q170" s="35"/>
      <c r="R170" s="35"/>
      <c r="S170" s="35"/>
      <c r="T170" s="35"/>
      <c r="U170" s="35"/>
      <c r="V170" s="35"/>
      <c r="W170" s="35"/>
      <c r="X170" s="25">
        <f t="shared" si="29"/>
        <v>0</v>
      </c>
      <c r="Y170" s="26">
        <f t="shared" si="30"/>
        <v>0</v>
      </c>
      <c r="Z170" s="26"/>
      <c r="AA170" s="27">
        <f t="shared" si="31"/>
        <v>0</v>
      </c>
      <c r="AB170" s="27">
        <f t="shared" si="32"/>
        <v>0</v>
      </c>
      <c r="AC170" s="28" t="str">
        <f>IFERROR(VLOOKUP($I170&amp;"|"&amp;$A170,Table2[],2,FALSE),"")</f>
        <v/>
      </c>
      <c r="AD170" s="29" t="str">
        <f>IFERROR(VLOOKUP($I170&amp;"|"&amp;$A170,Table2[],3,FALSE),"")</f>
        <v/>
      </c>
      <c r="AE170" s="28">
        <f t="shared" si="33"/>
        <v>0</v>
      </c>
      <c r="AF170" s="28" t="str">
        <f t="shared" si="34"/>
        <v/>
      </c>
      <c r="AG170" s="30" t="str">
        <f t="shared" si="35"/>
        <v/>
      </c>
      <c r="AH170" s="28" t="str">
        <f>IFERROR(VLOOKUP($I170&amp;"|"&amp;$A170,Table2[],4,FALSE),"")</f>
        <v/>
      </c>
      <c r="AI170" s="28" t="str">
        <f t="shared" si="36"/>
        <v/>
      </c>
      <c r="AJ170" s="31">
        <f t="shared" si="37"/>
        <v>0</v>
      </c>
      <c r="AK170" s="32">
        <f t="shared" si="41"/>
        <v>0</v>
      </c>
      <c r="AL170" s="33">
        <f t="shared" si="38"/>
        <v>0</v>
      </c>
      <c r="AM170" s="31">
        <f t="shared" si="39"/>
        <v>0</v>
      </c>
      <c r="AN170" s="32">
        <f t="shared" si="42"/>
        <v>0</v>
      </c>
      <c r="AO170" s="33">
        <f t="shared" si="40"/>
        <v>0</v>
      </c>
    </row>
    <row r="171" spans="1:41" s="14" customFormat="1" ht="27" customHeight="1" x14ac:dyDescent="0.25">
      <c r="A171" s="102"/>
      <c r="B171" s="22">
        <f>IFERROR(IF(VLOOKUP(A171,Table3[],MATCH('2023 sintesi '!I171,Table3[#Headers],0),0)=0,IFERROR(VLOOKUP($A171,Table1[],2,FALSE),0),VLOOKUP(A171,Table3[],MATCH('2023 sintesi '!I171,Table3[#Headers],0),0)),0)</f>
        <v>0</v>
      </c>
      <c r="C171" s="23">
        <f>IFERROR(VLOOKUP($A171,Table1[],3,FALSE),0)</f>
        <v>0</v>
      </c>
      <c r="D171" s="102"/>
      <c r="E171" s="102"/>
      <c r="F171" s="104"/>
      <c r="G171" s="102"/>
      <c r="H171" s="102"/>
      <c r="I171" s="105"/>
      <c r="J171" s="106"/>
      <c r="K171" s="112"/>
      <c r="L171" s="35"/>
      <c r="M171" s="35"/>
      <c r="N171" s="35"/>
      <c r="O171" s="35"/>
      <c r="P171" s="35"/>
      <c r="Q171" s="35"/>
      <c r="R171" s="35"/>
      <c r="S171" s="35"/>
      <c r="T171" s="35"/>
      <c r="U171" s="35"/>
      <c r="V171" s="35"/>
      <c r="W171" s="35"/>
      <c r="X171" s="25">
        <f t="shared" si="29"/>
        <v>0</v>
      </c>
      <c r="Y171" s="26">
        <f t="shared" si="30"/>
        <v>0</v>
      </c>
      <c r="Z171" s="26"/>
      <c r="AA171" s="27">
        <f t="shared" si="31"/>
        <v>0</v>
      </c>
      <c r="AB171" s="27">
        <f t="shared" si="32"/>
        <v>0</v>
      </c>
      <c r="AC171" s="28" t="str">
        <f>IFERROR(VLOOKUP($I171&amp;"|"&amp;$A171,Table2[],2,FALSE),"")</f>
        <v/>
      </c>
      <c r="AD171" s="29" t="str">
        <f>IFERROR(VLOOKUP($I171&amp;"|"&amp;$A171,Table2[],3,FALSE),"")</f>
        <v/>
      </c>
      <c r="AE171" s="28">
        <f t="shared" si="33"/>
        <v>0</v>
      </c>
      <c r="AF171" s="28" t="str">
        <f t="shared" si="34"/>
        <v/>
      </c>
      <c r="AG171" s="30" t="str">
        <f t="shared" si="35"/>
        <v/>
      </c>
      <c r="AH171" s="28" t="str">
        <f>IFERROR(VLOOKUP($I171&amp;"|"&amp;$A171,Table2[],4,FALSE),"")</f>
        <v/>
      </c>
      <c r="AI171" s="28" t="str">
        <f t="shared" si="36"/>
        <v/>
      </c>
      <c r="AJ171" s="31">
        <f t="shared" si="37"/>
        <v>0</v>
      </c>
      <c r="AK171" s="32">
        <f t="shared" si="41"/>
        <v>0</v>
      </c>
      <c r="AL171" s="33">
        <f t="shared" si="38"/>
        <v>0</v>
      </c>
      <c r="AM171" s="31">
        <f t="shared" si="39"/>
        <v>0</v>
      </c>
      <c r="AN171" s="32">
        <f t="shared" si="42"/>
        <v>0</v>
      </c>
      <c r="AO171" s="33">
        <f t="shared" si="40"/>
        <v>0</v>
      </c>
    </row>
    <row r="172" spans="1:41" s="14" customFormat="1" ht="27" customHeight="1" x14ac:dyDescent="0.25">
      <c r="A172" s="102"/>
      <c r="B172" s="22">
        <f>IFERROR(IF(VLOOKUP(A172,Table3[],MATCH('2023 sintesi '!I172,Table3[#Headers],0),0)=0,IFERROR(VLOOKUP($A172,Table1[],2,FALSE),0),VLOOKUP(A172,Table3[],MATCH('2023 sintesi '!I172,Table3[#Headers],0),0)),0)</f>
        <v>0</v>
      </c>
      <c r="C172" s="23">
        <f>IFERROR(VLOOKUP($A172,Table1[],3,FALSE),0)</f>
        <v>0</v>
      </c>
      <c r="D172" s="102"/>
      <c r="E172" s="102"/>
      <c r="F172" s="104"/>
      <c r="G172" s="102"/>
      <c r="H172" s="102"/>
      <c r="I172" s="105"/>
      <c r="J172" s="106"/>
      <c r="K172" s="112"/>
      <c r="L172" s="35"/>
      <c r="M172" s="35"/>
      <c r="N172" s="35"/>
      <c r="O172" s="35"/>
      <c r="P172" s="35"/>
      <c r="Q172" s="35"/>
      <c r="R172" s="35"/>
      <c r="S172" s="35"/>
      <c r="T172" s="35"/>
      <c r="U172" s="35"/>
      <c r="V172" s="35"/>
      <c r="W172" s="35"/>
      <c r="X172" s="25">
        <f t="shared" si="29"/>
        <v>0</v>
      </c>
      <c r="Y172" s="26">
        <f t="shared" si="30"/>
        <v>0</v>
      </c>
      <c r="Z172" s="26"/>
      <c r="AA172" s="27">
        <f t="shared" si="31"/>
        <v>0</v>
      </c>
      <c r="AB172" s="27">
        <f t="shared" si="32"/>
        <v>0</v>
      </c>
      <c r="AC172" s="28" t="str">
        <f>IFERROR(VLOOKUP($I172&amp;"|"&amp;$A172,Table2[],2,FALSE),"")</f>
        <v/>
      </c>
      <c r="AD172" s="29" t="str">
        <f>IFERROR(VLOOKUP($I172&amp;"|"&amp;$A172,Table2[],3,FALSE),"")</f>
        <v/>
      </c>
      <c r="AE172" s="28">
        <f t="shared" si="33"/>
        <v>0</v>
      </c>
      <c r="AF172" s="28" t="str">
        <f t="shared" si="34"/>
        <v/>
      </c>
      <c r="AG172" s="30" t="str">
        <f t="shared" si="35"/>
        <v/>
      </c>
      <c r="AH172" s="28" t="str">
        <f>IFERROR(VLOOKUP($I172&amp;"|"&amp;$A172,Table2[],4,FALSE),"")</f>
        <v/>
      </c>
      <c r="AI172" s="28" t="str">
        <f t="shared" si="36"/>
        <v/>
      </c>
      <c r="AJ172" s="31">
        <f t="shared" si="37"/>
        <v>0</v>
      </c>
      <c r="AK172" s="32">
        <f t="shared" si="41"/>
        <v>0</v>
      </c>
      <c r="AL172" s="33">
        <f t="shared" si="38"/>
        <v>0</v>
      </c>
      <c r="AM172" s="31">
        <f t="shared" si="39"/>
        <v>0</v>
      </c>
      <c r="AN172" s="32">
        <f t="shared" si="42"/>
        <v>0</v>
      </c>
      <c r="AO172" s="33">
        <f t="shared" si="40"/>
        <v>0</v>
      </c>
    </row>
    <row r="173" spans="1:41" s="14" customFormat="1" ht="27" customHeight="1" x14ac:dyDescent="0.25">
      <c r="A173" s="102"/>
      <c r="B173" s="22">
        <f>IFERROR(IF(VLOOKUP(A173,Table3[],MATCH('2023 sintesi '!I173,Table3[#Headers],0),0)=0,IFERROR(VLOOKUP($A173,Table1[],2,FALSE),0),VLOOKUP(A173,Table3[],MATCH('2023 sintesi '!I173,Table3[#Headers],0),0)),0)</f>
        <v>0</v>
      </c>
      <c r="C173" s="23">
        <f>IFERROR(VLOOKUP($A173,Table1[],3,FALSE),0)</f>
        <v>0</v>
      </c>
      <c r="D173" s="102"/>
      <c r="E173" s="102"/>
      <c r="F173" s="104"/>
      <c r="G173" s="102"/>
      <c r="H173" s="102"/>
      <c r="I173" s="105"/>
      <c r="J173" s="106"/>
      <c r="K173" s="112"/>
      <c r="L173" s="35"/>
      <c r="M173" s="35"/>
      <c r="N173" s="35"/>
      <c r="O173" s="35"/>
      <c r="P173" s="35"/>
      <c r="Q173" s="35"/>
      <c r="R173" s="35"/>
      <c r="S173" s="35"/>
      <c r="T173" s="35"/>
      <c r="U173" s="35"/>
      <c r="V173" s="35"/>
      <c r="W173" s="35"/>
      <c r="X173" s="25">
        <f t="shared" si="29"/>
        <v>0</v>
      </c>
      <c r="Y173" s="26">
        <f t="shared" si="30"/>
        <v>0</v>
      </c>
      <c r="Z173" s="26"/>
      <c r="AA173" s="27">
        <f t="shared" si="31"/>
        <v>0</v>
      </c>
      <c r="AB173" s="27">
        <f t="shared" si="32"/>
        <v>0</v>
      </c>
      <c r="AC173" s="28" t="str">
        <f>IFERROR(VLOOKUP($I173&amp;"|"&amp;$A173,Table2[],2,FALSE),"")</f>
        <v/>
      </c>
      <c r="AD173" s="29" t="str">
        <f>IFERROR(VLOOKUP($I173&amp;"|"&amp;$A173,Table2[],3,FALSE),"")</f>
        <v/>
      </c>
      <c r="AE173" s="28">
        <f t="shared" si="33"/>
        <v>0</v>
      </c>
      <c r="AF173" s="28" t="str">
        <f t="shared" si="34"/>
        <v/>
      </c>
      <c r="AG173" s="30" t="str">
        <f t="shared" si="35"/>
        <v/>
      </c>
      <c r="AH173" s="28" t="str">
        <f>IFERROR(VLOOKUP($I173&amp;"|"&amp;$A173,Table2[],4,FALSE),"")</f>
        <v/>
      </c>
      <c r="AI173" s="28" t="str">
        <f t="shared" si="36"/>
        <v/>
      </c>
      <c r="AJ173" s="31">
        <f t="shared" si="37"/>
        <v>0</v>
      </c>
      <c r="AK173" s="32">
        <f t="shared" si="41"/>
        <v>0</v>
      </c>
      <c r="AL173" s="33">
        <f t="shared" si="38"/>
        <v>0</v>
      </c>
      <c r="AM173" s="31">
        <f t="shared" si="39"/>
        <v>0</v>
      </c>
      <c r="AN173" s="32">
        <f t="shared" si="42"/>
        <v>0</v>
      </c>
      <c r="AO173" s="33">
        <f t="shared" si="40"/>
        <v>0</v>
      </c>
    </row>
    <row r="174" spans="1:41" s="14" customFormat="1" ht="27" customHeight="1" x14ac:dyDescent="0.25">
      <c r="A174" s="102"/>
      <c r="B174" s="22">
        <f>IFERROR(IF(VLOOKUP(A174,Table3[],MATCH('2023 sintesi '!I174,Table3[#Headers],0),0)=0,IFERROR(VLOOKUP($A174,Table1[],2,FALSE),0),VLOOKUP(A174,Table3[],MATCH('2023 sintesi '!I174,Table3[#Headers],0),0)),0)</f>
        <v>0</v>
      </c>
      <c r="C174" s="23">
        <f>IFERROR(VLOOKUP($A174,Table1[],3,FALSE),0)</f>
        <v>0</v>
      </c>
      <c r="D174" s="102"/>
      <c r="E174" s="102"/>
      <c r="F174" s="104"/>
      <c r="G174" s="102"/>
      <c r="H174" s="102"/>
      <c r="I174" s="105"/>
      <c r="J174" s="106"/>
      <c r="K174" s="112"/>
      <c r="L174" s="35"/>
      <c r="M174" s="35"/>
      <c r="N174" s="35"/>
      <c r="O174" s="35"/>
      <c r="P174" s="35"/>
      <c r="Q174" s="35"/>
      <c r="R174" s="35"/>
      <c r="S174" s="35"/>
      <c r="T174" s="35"/>
      <c r="U174" s="35"/>
      <c r="V174" s="35"/>
      <c r="W174" s="35"/>
      <c r="X174" s="25">
        <f t="shared" si="29"/>
        <v>0</v>
      </c>
      <c r="Y174" s="26">
        <f t="shared" si="30"/>
        <v>0</v>
      </c>
      <c r="Z174" s="26"/>
      <c r="AA174" s="27">
        <f t="shared" si="31"/>
        <v>0</v>
      </c>
      <c r="AB174" s="27">
        <f t="shared" si="32"/>
        <v>0</v>
      </c>
      <c r="AC174" s="28" t="str">
        <f>IFERROR(VLOOKUP($I174&amp;"|"&amp;$A174,Table2[],2,FALSE),"")</f>
        <v/>
      </c>
      <c r="AD174" s="29" t="str">
        <f>IFERROR(VLOOKUP($I174&amp;"|"&amp;$A174,Table2[],3,FALSE),"")</f>
        <v/>
      </c>
      <c r="AE174" s="28">
        <f t="shared" si="33"/>
        <v>0</v>
      </c>
      <c r="AF174" s="28" t="str">
        <f t="shared" si="34"/>
        <v/>
      </c>
      <c r="AG174" s="30" t="str">
        <f t="shared" si="35"/>
        <v/>
      </c>
      <c r="AH174" s="28" t="str">
        <f>IFERROR(VLOOKUP($I174&amp;"|"&amp;$A174,Table2[],4,FALSE),"")</f>
        <v/>
      </c>
      <c r="AI174" s="28" t="str">
        <f t="shared" si="36"/>
        <v/>
      </c>
      <c r="AJ174" s="31">
        <f t="shared" si="37"/>
        <v>0</v>
      </c>
      <c r="AK174" s="32">
        <f t="shared" si="41"/>
        <v>0</v>
      </c>
      <c r="AL174" s="33">
        <f t="shared" si="38"/>
        <v>0</v>
      </c>
      <c r="AM174" s="31">
        <f t="shared" si="39"/>
        <v>0</v>
      </c>
      <c r="AN174" s="32">
        <f t="shared" si="42"/>
        <v>0</v>
      </c>
      <c r="AO174" s="33">
        <f t="shared" si="40"/>
        <v>0</v>
      </c>
    </row>
    <row r="175" spans="1:41" s="14" customFormat="1" ht="27" customHeight="1" x14ac:dyDescent="0.25">
      <c r="A175" s="102"/>
      <c r="B175" s="22">
        <f>IFERROR(IF(VLOOKUP(A175,Table3[],MATCH('2023 sintesi '!I175,Table3[#Headers],0),0)=0,IFERROR(VLOOKUP($A175,Table1[],2,FALSE),0),VLOOKUP(A175,Table3[],MATCH('2023 sintesi '!I175,Table3[#Headers],0),0)),0)</f>
        <v>0</v>
      </c>
      <c r="C175" s="23">
        <f>IFERROR(VLOOKUP($A175,Table1[],3,FALSE),0)</f>
        <v>0</v>
      </c>
      <c r="D175" s="102"/>
      <c r="E175" s="102"/>
      <c r="F175" s="104"/>
      <c r="G175" s="102"/>
      <c r="H175" s="102"/>
      <c r="I175" s="105"/>
      <c r="J175" s="106"/>
      <c r="K175" s="107"/>
      <c r="L175" s="35"/>
      <c r="M175" s="36"/>
      <c r="N175" s="36"/>
      <c r="O175" s="36"/>
      <c r="P175" s="36"/>
      <c r="Q175" s="36"/>
      <c r="R175" s="36"/>
      <c r="S175" s="36"/>
      <c r="T175" s="36"/>
      <c r="U175" s="36"/>
      <c r="V175" s="36"/>
      <c r="W175" s="36"/>
      <c r="X175" s="25">
        <f t="shared" si="29"/>
        <v>0</v>
      </c>
      <c r="Y175" s="26">
        <f t="shared" si="30"/>
        <v>0</v>
      </c>
      <c r="Z175" s="26"/>
      <c r="AA175" s="27">
        <f t="shared" si="31"/>
        <v>0</v>
      </c>
      <c r="AB175" s="27">
        <f t="shared" si="32"/>
        <v>0</v>
      </c>
      <c r="AC175" s="28" t="str">
        <f>IFERROR(VLOOKUP($I175&amp;"|"&amp;$A175,Table2[],2,FALSE),"")</f>
        <v/>
      </c>
      <c r="AD175" s="29" t="str">
        <f>IFERROR(VLOOKUP($I175&amp;"|"&amp;$A175,Table2[],3,FALSE),"")</f>
        <v/>
      </c>
      <c r="AE175" s="28">
        <f t="shared" si="33"/>
        <v>0</v>
      </c>
      <c r="AF175" s="28" t="str">
        <f t="shared" si="34"/>
        <v/>
      </c>
      <c r="AG175" s="30" t="str">
        <f t="shared" si="35"/>
        <v/>
      </c>
      <c r="AH175" s="28" t="str">
        <f>IFERROR(VLOOKUP($I175&amp;"|"&amp;$A175,Table2[],4,FALSE),"")</f>
        <v/>
      </c>
      <c r="AI175" s="28" t="str">
        <f t="shared" si="36"/>
        <v/>
      </c>
      <c r="AJ175" s="31">
        <f t="shared" si="37"/>
        <v>0</v>
      </c>
      <c r="AK175" s="32">
        <f t="shared" si="41"/>
        <v>0</v>
      </c>
      <c r="AL175" s="33">
        <f t="shared" si="38"/>
        <v>0</v>
      </c>
      <c r="AM175" s="31">
        <f t="shared" si="39"/>
        <v>0</v>
      </c>
      <c r="AN175" s="32">
        <f t="shared" si="42"/>
        <v>0</v>
      </c>
      <c r="AO175" s="33">
        <f t="shared" si="40"/>
        <v>0</v>
      </c>
    </row>
    <row r="176" spans="1:41" s="14" customFormat="1" ht="27" customHeight="1" x14ac:dyDescent="0.25">
      <c r="A176" s="102"/>
      <c r="B176" s="22">
        <f>IFERROR(IF(VLOOKUP(A176,Table3[],MATCH('2023 sintesi '!I176,Table3[#Headers],0),0)=0,IFERROR(VLOOKUP($A176,Table1[],2,FALSE),0),VLOOKUP(A176,Table3[],MATCH('2023 sintesi '!I176,Table3[#Headers],0),0)),0)</f>
        <v>0</v>
      </c>
      <c r="C176" s="23">
        <f>IFERROR(VLOOKUP($A176,Table1[],3,FALSE),0)</f>
        <v>0</v>
      </c>
      <c r="D176" s="102"/>
      <c r="E176" s="102"/>
      <c r="F176" s="104"/>
      <c r="G176" s="102"/>
      <c r="H176" s="102"/>
      <c r="I176" s="105"/>
      <c r="J176" s="106"/>
      <c r="K176" s="107"/>
      <c r="L176" s="35"/>
      <c r="M176" s="35"/>
      <c r="N176" s="35"/>
      <c r="O176" s="35"/>
      <c r="P176" s="35"/>
      <c r="Q176" s="35"/>
      <c r="R176" s="35"/>
      <c r="S176" s="35"/>
      <c r="T176" s="35"/>
      <c r="U176" s="35"/>
      <c r="V176" s="35"/>
      <c r="W176" s="35"/>
      <c r="X176" s="25">
        <f t="shared" si="29"/>
        <v>0</v>
      </c>
      <c r="Y176" s="26">
        <f t="shared" si="30"/>
        <v>0</v>
      </c>
      <c r="Z176" s="26"/>
      <c r="AA176" s="27">
        <f t="shared" si="31"/>
        <v>0</v>
      </c>
      <c r="AB176" s="27">
        <f t="shared" si="32"/>
        <v>0</v>
      </c>
      <c r="AC176" s="28" t="str">
        <f>IFERROR(VLOOKUP($I176&amp;"|"&amp;$A176,Table2[],2,FALSE),"")</f>
        <v/>
      </c>
      <c r="AD176" s="29" t="str">
        <f>IFERROR(VLOOKUP($I176&amp;"|"&amp;$A176,Table2[],3,FALSE),"")</f>
        <v/>
      </c>
      <c r="AE176" s="28">
        <f t="shared" si="33"/>
        <v>0</v>
      </c>
      <c r="AF176" s="28" t="str">
        <f t="shared" si="34"/>
        <v/>
      </c>
      <c r="AG176" s="30" t="str">
        <f t="shared" si="35"/>
        <v/>
      </c>
      <c r="AH176" s="28" t="str">
        <f>IFERROR(VLOOKUP($I176&amp;"|"&amp;$A176,Table2[],4,FALSE),"")</f>
        <v/>
      </c>
      <c r="AI176" s="28" t="str">
        <f t="shared" si="36"/>
        <v/>
      </c>
      <c r="AJ176" s="31">
        <f t="shared" si="37"/>
        <v>0</v>
      </c>
      <c r="AK176" s="32">
        <f t="shared" si="41"/>
        <v>0</v>
      </c>
      <c r="AL176" s="33">
        <f t="shared" si="38"/>
        <v>0</v>
      </c>
      <c r="AM176" s="31">
        <f t="shared" si="39"/>
        <v>0</v>
      </c>
      <c r="AN176" s="32">
        <f t="shared" si="42"/>
        <v>0</v>
      </c>
      <c r="AO176" s="33">
        <f t="shared" si="40"/>
        <v>0</v>
      </c>
    </row>
    <row r="177" spans="1:41" s="14" customFormat="1" ht="27" customHeight="1" x14ac:dyDescent="0.25">
      <c r="A177" s="102"/>
      <c r="B177" s="22">
        <f>IFERROR(IF(VLOOKUP(A177,Table3[],MATCH('2023 sintesi '!I177,Table3[#Headers],0),0)=0,IFERROR(VLOOKUP($A177,Table1[],2,FALSE),0),VLOOKUP(A177,Table3[],MATCH('2023 sintesi '!I177,Table3[#Headers],0),0)),0)</f>
        <v>0</v>
      </c>
      <c r="C177" s="23">
        <f>IFERROR(VLOOKUP($A177,Table1[],3,FALSE),0)</f>
        <v>0</v>
      </c>
      <c r="D177" s="102"/>
      <c r="E177" s="102"/>
      <c r="F177" s="104"/>
      <c r="G177" s="102"/>
      <c r="H177" s="102"/>
      <c r="I177" s="105"/>
      <c r="J177" s="106"/>
      <c r="K177" s="107"/>
      <c r="L177" s="35"/>
      <c r="M177" s="36"/>
      <c r="N177" s="36"/>
      <c r="O177" s="36"/>
      <c r="P177" s="36"/>
      <c r="Q177" s="36"/>
      <c r="R177" s="36"/>
      <c r="S177" s="36"/>
      <c r="T177" s="36"/>
      <c r="U177" s="36"/>
      <c r="V177" s="36"/>
      <c r="W177" s="36"/>
      <c r="X177" s="25">
        <f t="shared" si="29"/>
        <v>0</v>
      </c>
      <c r="Y177" s="26">
        <f t="shared" si="30"/>
        <v>0</v>
      </c>
      <c r="Z177" s="26"/>
      <c r="AA177" s="27">
        <f t="shared" si="31"/>
        <v>0</v>
      </c>
      <c r="AB177" s="27">
        <f t="shared" si="32"/>
        <v>0</v>
      </c>
      <c r="AC177" s="28" t="str">
        <f>IFERROR(VLOOKUP($I177&amp;"|"&amp;$A177,Table2[],2,FALSE),"")</f>
        <v/>
      </c>
      <c r="AD177" s="29" t="str">
        <f>IFERROR(VLOOKUP($I177&amp;"|"&amp;$A177,Table2[],3,FALSE),"")</f>
        <v/>
      </c>
      <c r="AE177" s="28">
        <f t="shared" si="33"/>
        <v>0</v>
      </c>
      <c r="AF177" s="28" t="str">
        <f t="shared" si="34"/>
        <v/>
      </c>
      <c r="AG177" s="30" t="str">
        <f t="shared" si="35"/>
        <v/>
      </c>
      <c r="AH177" s="28" t="str">
        <f>IFERROR(VLOOKUP($I177&amp;"|"&amp;$A177,Table2[],4,FALSE),"")</f>
        <v/>
      </c>
      <c r="AI177" s="28" t="str">
        <f t="shared" si="36"/>
        <v/>
      </c>
      <c r="AJ177" s="31">
        <f t="shared" si="37"/>
        <v>0</v>
      </c>
      <c r="AK177" s="32">
        <f t="shared" si="41"/>
        <v>0</v>
      </c>
      <c r="AL177" s="33">
        <f t="shared" si="38"/>
        <v>0</v>
      </c>
      <c r="AM177" s="31">
        <f t="shared" si="39"/>
        <v>0</v>
      </c>
      <c r="AN177" s="32">
        <f t="shared" si="42"/>
        <v>0</v>
      </c>
      <c r="AO177" s="33">
        <f t="shared" si="40"/>
        <v>0</v>
      </c>
    </row>
    <row r="178" spans="1:41" s="14" customFormat="1" ht="27" customHeight="1" x14ac:dyDescent="0.25">
      <c r="A178" s="102"/>
      <c r="B178" s="22">
        <f>IFERROR(IF(VLOOKUP(A178,Table3[],MATCH('2023 sintesi '!I178,Table3[#Headers],0),0)=0,IFERROR(VLOOKUP($A178,Table1[],2,FALSE),0),VLOOKUP(A178,Table3[],MATCH('2023 sintesi '!I178,Table3[#Headers],0),0)),0)</f>
        <v>0</v>
      </c>
      <c r="C178" s="23">
        <f>IFERROR(VLOOKUP($A178,Table1[],3,FALSE),0)</f>
        <v>0</v>
      </c>
      <c r="D178" s="102"/>
      <c r="E178" s="102"/>
      <c r="F178" s="104"/>
      <c r="G178" s="102"/>
      <c r="H178" s="102"/>
      <c r="I178" s="105"/>
      <c r="J178" s="110"/>
      <c r="K178" s="107"/>
      <c r="L178" s="35"/>
      <c r="M178" s="36"/>
      <c r="N178" s="36"/>
      <c r="O178" s="36"/>
      <c r="P178" s="36"/>
      <c r="Q178" s="36"/>
      <c r="R178" s="36"/>
      <c r="S178" s="36"/>
      <c r="T178" s="36"/>
      <c r="U178" s="36"/>
      <c r="V178" s="36"/>
      <c r="W178" s="36"/>
      <c r="X178" s="25">
        <f t="shared" si="29"/>
        <v>0</v>
      </c>
      <c r="Y178" s="26">
        <f t="shared" si="30"/>
        <v>0</v>
      </c>
      <c r="Z178" s="26"/>
      <c r="AA178" s="27">
        <f t="shared" si="31"/>
        <v>0</v>
      </c>
      <c r="AB178" s="27">
        <f t="shared" si="32"/>
        <v>0</v>
      </c>
      <c r="AC178" s="28" t="str">
        <f>IFERROR(VLOOKUP($I178&amp;"|"&amp;$A178,Table2[],2,FALSE),"")</f>
        <v/>
      </c>
      <c r="AD178" s="29" t="str">
        <f>IFERROR(VLOOKUP($I178&amp;"|"&amp;$A178,Table2[],3,FALSE),"")</f>
        <v/>
      </c>
      <c r="AE178" s="28">
        <f t="shared" si="33"/>
        <v>0</v>
      </c>
      <c r="AF178" s="28" t="str">
        <f t="shared" si="34"/>
        <v/>
      </c>
      <c r="AG178" s="30" t="str">
        <f t="shared" si="35"/>
        <v/>
      </c>
      <c r="AH178" s="28" t="str">
        <f>IFERROR(VLOOKUP($I178&amp;"|"&amp;$A178,Table2[],4,FALSE),"")</f>
        <v/>
      </c>
      <c r="AI178" s="28" t="str">
        <f t="shared" si="36"/>
        <v/>
      </c>
      <c r="AJ178" s="31">
        <f t="shared" si="37"/>
        <v>0</v>
      </c>
      <c r="AK178" s="32">
        <f t="shared" si="41"/>
        <v>0</v>
      </c>
      <c r="AL178" s="33">
        <f t="shared" si="38"/>
        <v>0</v>
      </c>
      <c r="AM178" s="31">
        <f t="shared" si="39"/>
        <v>0</v>
      </c>
      <c r="AN178" s="32">
        <f t="shared" si="42"/>
        <v>0</v>
      </c>
      <c r="AO178" s="33">
        <f t="shared" si="40"/>
        <v>0</v>
      </c>
    </row>
    <row r="179" spans="1:41" s="14" customFormat="1" ht="27" customHeight="1" x14ac:dyDescent="0.25">
      <c r="A179" s="102"/>
      <c r="B179" s="22">
        <f>IFERROR(IF(VLOOKUP(A179,Table3[],MATCH('2023 sintesi '!I179,Table3[#Headers],0),0)=0,IFERROR(VLOOKUP($A179,Table1[],2,FALSE),0),VLOOKUP(A179,Table3[],MATCH('2023 sintesi '!I179,Table3[#Headers],0),0)),0)</f>
        <v>0</v>
      </c>
      <c r="C179" s="23">
        <f>IFERROR(VLOOKUP($A179,Table1[],3,FALSE),0)</f>
        <v>0</v>
      </c>
      <c r="D179" s="102"/>
      <c r="E179" s="102"/>
      <c r="F179" s="104"/>
      <c r="G179" s="102"/>
      <c r="H179" s="102"/>
      <c r="I179" s="105"/>
      <c r="J179" s="110"/>
      <c r="K179" s="107"/>
      <c r="L179" s="35"/>
      <c r="M179" s="36"/>
      <c r="N179" s="36"/>
      <c r="O179" s="36"/>
      <c r="P179" s="36"/>
      <c r="Q179" s="36"/>
      <c r="R179" s="36"/>
      <c r="S179" s="36"/>
      <c r="T179" s="36"/>
      <c r="U179" s="36"/>
      <c r="V179" s="36"/>
      <c r="W179" s="36"/>
      <c r="X179" s="25">
        <f t="shared" si="29"/>
        <v>0</v>
      </c>
      <c r="Y179" s="26">
        <f t="shared" si="30"/>
        <v>0</v>
      </c>
      <c r="Z179" s="26"/>
      <c r="AA179" s="27">
        <f t="shared" si="31"/>
        <v>0</v>
      </c>
      <c r="AB179" s="27">
        <f t="shared" si="32"/>
        <v>0</v>
      </c>
      <c r="AC179" s="28" t="str">
        <f>IFERROR(VLOOKUP($I179&amp;"|"&amp;$A179,Table2[],2,FALSE),"")</f>
        <v/>
      </c>
      <c r="AD179" s="29" t="str">
        <f>IFERROR(VLOOKUP($I179&amp;"|"&amp;$A179,Table2[],3,FALSE),"")</f>
        <v/>
      </c>
      <c r="AE179" s="28">
        <f t="shared" si="33"/>
        <v>0</v>
      </c>
      <c r="AF179" s="28" t="str">
        <f t="shared" si="34"/>
        <v/>
      </c>
      <c r="AG179" s="30" t="str">
        <f t="shared" si="35"/>
        <v/>
      </c>
      <c r="AH179" s="28" t="str">
        <f>IFERROR(VLOOKUP($I179&amp;"|"&amp;$A179,Table2[],4,FALSE),"")</f>
        <v/>
      </c>
      <c r="AI179" s="28" t="str">
        <f t="shared" si="36"/>
        <v/>
      </c>
      <c r="AJ179" s="31">
        <f t="shared" si="37"/>
        <v>0</v>
      </c>
      <c r="AK179" s="32">
        <f t="shared" si="41"/>
        <v>0</v>
      </c>
      <c r="AL179" s="33">
        <f t="shared" si="38"/>
        <v>0</v>
      </c>
      <c r="AM179" s="31">
        <f t="shared" si="39"/>
        <v>0</v>
      </c>
      <c r="AN179" s="32">
        <f t="shared" si="42"/>
        <v>0</v>
      </c>
      <c r="AO179" s="33">
        <f t="shared" si="40"/>
        <v>0</v>
      </c>
    </row>
    <row r="180" spans="1:41" s="14" customFormat="1" ht="27" customHeight="1" x14ac:dyDescent="0.25">
      <c r="A180" s="102"/>
      <c r="B180" s="22">
        <f>IFERROR(IF(VLOOKUP(A180,Table3[],MATCH('2023 sintesi '!I180,Table3[#Headers],0),0)=0,IFERROR(VLOOKUP($A180,Table1[],2,FALSE),0),VLOOKUP(A180,Table3[],MATCH('2023 sintesi '!I180,Table3[#Headers],0),0)),0)</f>
        <v>0</v>
      </c>
      <c r="C180" s="23">
        <f>IFERROR(VLOOKUP($A180,Table1[],3,FALSE),0)</f>
        <v>0</v>
      </c>
      <c r="D180" s="102"/>
      <c r="E180" s="102"/>
      <c r="F180" s="104"/>
      <c r="G180" s="102"/>
      <c r="H180" s="102"/>
      <c r="I180" s="105"/>
      <c r="J180" s="106"/>
      <c r="K180" s="111"/>
      <c r="L180" s="35"/>
      <c r="M180" s="36"/>
      <c r="N180" s="36"/>
      <c r="O180" s="36"/>
      <c r="P180" s="36"/>
      <c r="Q180" s="36"/>
      <c r="R180" s="36"/>
      <c r="S180" s="36"/>
      <c r="T180" s="36"/>
      <c r="U180" s="36"/>
      <c r="V180" s="36"/>
      <c r="W180" s="36"/>
      <c r="X180" s="25">
        <f t="shared" si="29"/>
        <v>0</v>
      </c>
      <c r="Y180" s="26">
        <f t="shared" si="30"/>
        <v>0</v>
      </c>
      <c r="Z180" s="26"/>
      <c r="AA180" s="27">
        <f t="shared" si="31"/>
        <v>0</v>
      </c>
      <c r="AB180" s="27">
        <f t="shared" si="32"/>
        <v>0</v>
      </c>
      <c r="AC180" s="28" t="str">
        <f>IFERROR(VLOOKUP($I180&amp;"|"&amp;$A180,Table2[],2,FALSE),"")</f>
        <v/>
      </c>
      <c r="AD180" s="29" t="str">
        <f>IFERROR(VLOOKUP($I180&amp;"|"&amp;$A180,Table2[],3,FALSE),"")</f>
        <v/>
      </c>
      <c r="AE180" s="28">
        <f t="shared" si="33"/>
        <v>0</v>
      </c>
      <c r="AF180" s="28" t="str">
        <f t="shared" si="34"/>
        <v/>
      </c>
      <c r="AG180" s="30" t="str">
        <f t="shared" si="35"/>
        <v/>
      </c>
      <c r="AH180" s="28" t="str">
        <f>IFERROR(VLOOKUP($I180&amp;"|"&amp;$A180,Table2[],4,FALSE),"")</f>
        <v/>
      </c>
      <c r="AI180" s="28" t="str">
        <f t="shared" si="36"/>
        <v/>
      </c>
      <c r="AJ180" s="31">
        <f t="shared" si="37"/>
        <v>0</v>
      </c>
      <c r="AK180" s="32">
        <f t="shared" si="41"/>
        <v>0</v>
      </c>
      <c r="AL180" s="33">
        <f t="shared" si="38"/>
        <v>0</v>
      </c>
      <c r="AM180" s="31">
        <f t="shared" si="39"/>
        <v>0</v>
      </c>
      <c r="AN180" s="32">
        <f t="shared" si="42"/>
        <v>0</v>
      </c>
      <c r="AO180" s="33">
        <f t="shared" si="40"/>
        <v>0</v>
      </c>
    </row>
    <row r="181" spans="1:41" s="14" customFormat="1" ht="27" customHeight="1" x14ac:dyDescent="0.25">
      <c r="A181" s="102"/>
      <c r="B181" s="22">
        <f>IFERROR(IF(VLOOKUP(A181,Table3[],MATCH('2023 sintesi '!I181,Table3[#Headers],0),0)=0,IFERROR(VLOOKUP($A181,Table1[],2,FALSE),0),VLOOKUP(A181,Table3[],MATCH('2023 sintesi '!I181,Table3[#Headers],0),0)),0)</f>
        <v>0</v>
      </c>
      <c r="C181" s="23">
        <f>IFERROR(VLOOKUP($A181,Table1[],3,FALSE),0)</f>
        <v>0</v>
      </c>
      <c r="D181" s="102"/>
      <c r="E181" s="102"/>
      <c r="F181" s="104"/>
      <c r="G181" s="102"/>
      <c r="H181" s="102"/>
      <c r="I181" s="105"/>
      <c r="J181" s="106"/>
      <c r="K181" s="111"/>
      <c r="L181" s="35"/>
      <c r="M181" s="36"/>
      <c r="N181" s="36"/>
      <c r="O181" s="36"/>
      <c r="P181" s="36"/>
      <c r="Q181" s="36"/>
      <c r="R181" s="36"/>
      <c r="S181" s="36"/>
      <c r="T181" s="36"/>
      <c r="U181" s="36"/>
      <c r="V181" s="36"/>
      <c r="W181" s="36"/>
      <c r="X181" s="25">
        <f t="shared" si="29"/>
        <v>0</v>
      </c>
      <c r="Y181" s="26">
        <f t="shared" si="30"/>
        <v>0</v>
      </c>
      <c r="Z181" s="26"/>
      <c r="AA181" s="27">
        <f t="shared" si="31"/>
        <v>0</v>
      </c>
      <c r="AB181" s="27">
        <f t="shared" si="32"/>
        <v>0</v>
      </c>
      <c r="AC181" s="28" t="str">
        <f>IFERROR(VLOOKUP($I181&amp;"|"&amp;$A181,Table2[],2,FALSE),"")</f>
        <v/>
      </c>
      <c r="AD181" s="29" t="str">
        <f>IFERROR(VLOOKUP($I181&amp;"|"&amp;$A181,Table2[],3,FALSE),"")</f>
        <v/>
      </c>
      <c r="AE181" s="28">
        <f t="shared" si="33"/>
        <v>0</v>
      </c>
      <c r="AF181" s="28" t="str">
        <f t="shared" si="34"/>
        <v/>
      </c>
      <c r="AG181" s="30" t="str">
        <f t="shared" si="35"/>
        <v/>
      </c>
      <c r="AH181" s="28" t="str">
        <f>IFERROR(VLOOKUP($I181&amp;"|"&amp;$A181,Table2[],4,FALSE),"")</f>
        <v/>
      </c>
      <c r="AI181" s="28" t="str">
        <f t="shared" si="36"/>
        <v/>
      </c>
      <c r="AJ181" s="31">
        <f t="shared" si="37"/>
        <v>0</v>
      </c>
      <c r="AK181" s="32">
        <f t="shared" si="41"/>
        <v>0</v>
      </c>
      <c r="AL181" s="33">
        <f t="shared" si="38"/>
        <v>0</v>
      </c>
      <c r="AM181" s="31">
        <f t="shared" si="39"/>
        <v>0</v>
      </c>
      <c r="AN181" s="32">
        <f t="shared" si="42"/>
        <v>0</v>
      </c>
      <c r="AO181" s="33">
        <f t="shared" si="40"/>
        <v>0</v>
      </c>
    </row>
    <row r="182" spans="1:41" s="14" customFormat="1" ht="27" customHeight="1" x14ac:dyDescent="0.25">
      <c r="A182" s="102"/>
      <c r="B182" s="22">
        <f>IFERROR(IF(VLOOKUP(A182,Table3[],MATCH('2023 sintesi '!I182,Table3[#Headers],0),0)=0,IFERROR(VLOOKUP($A182,Table1[],2,FALSE),0),VLOOKUP(A182,Table3[],MATCH('2023 sintesi '!I182,Table3[#Headers],0),0)),0)</f>
        <v>0</v>
      </c>
      <c r="C182" s="23">
        <f>IFERROR(VLOOKUP($A182,Table1[],3,FALSE),0)</f>
        <v>0</v>
      </c>
      <c r="D182" s="102"/>
      <c r="E182" s="102"/>
      <c r="F182" s="104"/>
      <c r="G182" s="102"/>
      <c r="H182" s="102"/>
      <c r="I182" s="109"/>
      <c r="J182" s="106"/>
      <c r="K182" s="111"/>
      <c r="L182" s="35"/>
      <c r="M182" s="36"/>
      <c r="N182" s="36"/>
      <c r="O182" s="36"/>
      <c r="P182" s="36"/>
      <c r="Q182" s="36"/>
      <c r="R182" s="36"/>
      <c r="S182" s="36"/>
      <c r="T182" s="36"/>
      <c r="U182" s="36"/>
      <c r="V182" s="36"/>
      <c r="W182" s="36"/>
      <c r="X182" s="25">
        <f t="shared" si="29"/>
        <v>0</v>
      </c>
      <c r="Y182" s="26">
        <f t="shared" si="30"/>
        <v>0</v>
      </c>
      <c r="Z182" s="26"/>
      <c r="AA182" s="27">
        <f t="shared" si="31"/>
        <v>0</v>
      </c>
      <c r="AB182" s="27">
        <f t="shared" si="32"/>
        <v>0</v>
      </c>
      <c r="AC182" s="28" t="str">
        <f>IFERROR(VLOOKUP($I182&amp;"|"&amp;$A182,Table2[],2,FALSE),"")</f>
        <v/>
      </c>
      <c r="AD182" s="29" t="str">
        <f>IFERROR(VLOOKUP($I182&amp;"|"&amp;$A182,Table2[],3,FALSE),"")</f>
        <v/>
      </c>
      <c r="AE182" s="28">
        <f t="shared" si="33"/>
        <v>0</v>
      </c>
      <c r="AF182" s="28" t="str">
        <f t="shared" si="34"/>
        <v/>
      </c>
      <c r="AG182" s="30" t="str">
        <f t="shared" si="35"/>
        <v/>
      </c>
      <c r="AH182" s="28" t="str">
        <f>IFERROR(VLOOKUP($I182&amp;"|"&amp;$A182,Table2[],4,FALSE),"")</f>
        <v/>
      </c>
      <c r="AI182" s="28" t="str">
        <f t="shared" si="36"/>
        <v/>
      </c>
      <c r="AJ182" s="31">
        <f t="shared" si="37"/>
        <v>0</v>
      </c>
      <c r="AK182" s="32">
        <f t="shared" si="41"/>
        <v>0</v>
      </c>
      <c r="AL182" s="33">
        <f t="shared" si="38"/>
        <v>0</v>
      </c>
      <c r="AM182" s="31">
        <f t="shared" si="39"/>
        <v>0</v>
      </c>
      <c r="AN182" s="32">
        <f t="shared" si="42"/>
        <v>0</v>
      </c>
      <c r="AO182" s="33">
        <f t="shared" si="40"/>
        <v>0</v>
      </c>
    </row>
    <row r="183" spans="1:41" s="14" customFormat="1" ht="27" customHeight="1" x14ac:dyDescent="0.25">
      <c r="A183" s="102"/>
      <c r="B183" s="22">
        <f>IFERROR(IF(VLOOKUP(A183,Table3[],MATCH('2023 sintesi '!I183,Table3[#Headers],0),0)=0,IFERROR(VLOOKUP($A183,Table1[],2,FALSE),0),VLOOKUP(A183,Table3[],MATCH('2023 sintesi '!I183,Table3[#Headers],0),0)),0)</f>
        <v>0</v>
      </c>
      <c r="C183" s="23">
        <f>IFERROR(VLOOKUP($A183,Table1[],3,FALSE),0)</f>
        <v>0</v>
      </c>
      <c r="D183" s="102"/>
      <c r="E183" s="102"/>
      <c r="F183" s="108"/>
      <c r="G183" s="102"/>
      <c r="H183" s="102"/>
      <c r="I183" s="105"/>
      <c r="J183" s="106"/>
      <c r="K183" s="111"/>
      <c r="L183" s="35"/>
      <c r="M183" s="36"/>
      <c r="N183" s="36"/>
      <c r="O183" s="36"/>
      <c r="P183" s="36"/>
      <c r="Q183" s="36"/>
      <c r="R183" s="36"/>
      <c r="S183" s="36"/>
      <c r="T183" s="36"/>
      <c r="U183" s="36"/>
      <c r="V183" s="36"/>
      <c r="W183" s="36"/>
      <c r="X183" s="25">
        <f t="shared" si="29"/>
        <v>0</v>
      </c>
      <c r="Y183" s="26">
        <f t="shared" si="30"/>
        <v>0</v>
      </c>
      <c r="Z183" s="26"/>
      <c r="AA183" s="27">
        <f t="shared" si="31"/>
        <v>0</v>
      </c>
      <c r="AB183" s="27">
        <f t="shared" si="32"/>
        <v>0</v>
      </c>
      <c r="AC183" s="28" t="str">
        <f>IFERROR(VLOOKUP($I183&amp;"|"&amp;$A183,Table2[],2,FALSE),"")</f>
        <v/>
      </c>
      <c r="AD183" s="29" t="str">
        <f>IFERROR(VLOOKUP($I183&amp;"|"&amp;$A183,Table2[],3,FALSE),"")</f>
        <v/>
      </c>
      <c r="AE183" s="28">
        <f t="shared" si="33"/>
        <v>0</v>
      </c>
      <c r="AF183" s="28" t="str">
        <f t="shared" si="34"/>
        <v/>
      </c>
      <c r="AG183" s="30" t="str">
        <f t="shared" si="35"/>
        <v/>
      </c>
      <c r="AH183" s="28" t="str">
        <f>IFERROR(VLOOKUP($I183&amp;"|"&amp;$A183,Table2[],4,FALSE),"")</f>
        <v/>
      </c>
      <c r="AI183" s="28" t="str">
        <f t="shared" si="36"/>
        <v/>
      </c>
      <c r="AJ183" s="31">
        <f t="shared" si="37"/>
        <v>0</v>
      </c>
      <c r="AK183" s="32">
        <f t="shared" si="41"/>
        <v>0</v>
      </c>
      <c r="AL183" s="33">
        <f t="shared" si="38"/>
        <v>0</v>
      </c>
      <c r="AM183" s="31">
        <f t="shared" si="39"/>
        <v>0</v>
      </c>
      <c r="AN183" s="32">
        <f t="shared" si="42"/>
        <v>0</v>
      </c>
      <c r="AO183" s="33">
        <f t="shared" si="40"/>
        <v>0</v>
      </c>
    </row>
    <row r="184" spans="1:41" s="14" customFormat="1" ht="27" customHeight="1" x14ac:dyDescent="0.25">
      <c r="A184" s="102"/>
      <c r="B184" s="22">
        <f>IFERROR(IF(VLOOKUP(A184,Table3[],MATCH('2023 sintesi '!I184,Table3[#Headers],0),0)=0,IFERROR(VLOOKUP($A184,Table1[],2,FALSE),0),VLOOKUP(A184,Table3[],MATCH('2023 sintesi '!I184,Table3[#Headers],0),0)),0)</f>
        <v>0</v>
      </c>
      <c r="C184" s="23">
        <f>IFERROR(VLOOKUP($A184,Table1[],3,FALSE),0)</f>
        <v>0</v>
      </c>
      <c r="D184" s="102"/>
      <c r="E184" s="102"/>
      <c r="F184" s="104"/>
      <c r="G184" s="102"/>
      <c r="H184" s="102"/>
      <c r="I184" s="109"/>
      <c r="J184" s="106"/>
      <c r="K184" s="111"/>
      <c r="L184" s="35"/>
      <c r="M184" s="36"/>
      <c r="N184" s="36"/>
      <c r="O184" s="36"/>
      <c r="P184" s="36"/>
      <c r="Q184" s="36"/>
      <c r="R184" s="36"/>
      <c r="S184" s="36"/>
      <c r="T184" s="36"/>
      <c r="U184" s="36"/>
      <c r="V184" s="36"/>
      <c r="W184" s="36"/>
      <c r="X184" s="25">
        <f t="shared" si="29"/>
        <v>0</v>
      </c>
      <c r="Y184" s="26">
        <f t="shared" si="30"/>
        <v>0</v>
      </c>
      <c r="Z184" s="26"/>
      <c r="AA184" s="27">
        <f t="shared" si="31"/>
        <v>0</v>
      </c>
      <c r="AB184" s="27">
        <f t="shared" si="32"/>
        <v>0</v>
      </c>
      <c r="AC184" s="28" t="str">
        <f>IFERROR(VLOOKUP($I184&amp;"|"&amp;$A184,Table2[],2,FALSE),"")</f>
        <v/>
      </c>
      <c r="AD184" s="29" t="str">
        <f>IFERROR(VLOOKUP($I184&amp;"|"&amp;$A184,Table2[],3,FALSE),"")</f>
        <v/>
      </c>
      <c r="AE184" s="28">
        <f t="shared" si="33"/>
        <v>0</v>
      </c>
      <c r="AF184" s="28" t="str">
        <f t="shared" si="34"/>
        <v/>
      </c>
      <c r="AG184" s="30" t="str">
        <f t="shared" si="35"/>
        <v/>
      </c>
      <c r="AH184" s="28" t="str">
        <f>IFERROR(VLOOKUP($I184&amp;"|"&amp;$A184,Table2[],4,FALSE),"")</f>
        <v/>
      </c>
      <c r="AI184" s="28" t="str">
        <f t="shared" si="36"/>
        <v/>
      </c>
      <c r="AJ184" s="31">
        <f t="shared" si="37"/>
        <v>0</v>
      </c>
      <c r="AK184" s="32">
        <f t="shared" si="41"/>
        <v>0</v>
      </c>
      <c r="AL184" s="33">
        <f t="shared" si="38"/>
        <v>0</v>
      </c>
      <c r="AM184" s="31">
        <f t="shared" si="39"/>
        <v>0</v>
      </c>
      <c r="AN184" s="32">
        <f t="shared" si="42"/>
        <v>0</v>
      </c>
      <c r="AO184" s="33">
        <f t="shared" si="40"/>
        <v>0</v>
      </c>
    </row>
    <row r="185" spans="1:41" s="14" customFormat="1" ht="27" customHeight="1" x14ac:dyDescent="0.25">
      <c r="A185" s="102"/>
      <c r="B185" s="22">
        <f>IFERROR(IF(VLOOKUP(A185,Table3[],MATCH('2023 sintesi '!I185,Table3[#Headers],0),0)=0,IFERROR(VLOOKUP($A185,Table1[],2,FALSE),0),VLOOKUP(A185,Table3[],MATCH('2023 sintesi '!I185,Table3[#Headers],0),0)),0)</f>
        <v>0</v>
      </c>
      <c r="C185" s="23">
        <f>IFERROR(VLOOKUP($A185,Table1[],3,FALSE),0)</f>
        <v>0</v>
      </c>
      <c r="D185" s="102"/>
      <c r="E185" s="102"/>
      <c r="F185" s="104"/>
      <c r="G185" s="102"/>
      <c r="H185" s="102"/>
      <c r="I185" s="109"/>
      <c r="J185" s="106"/>
      <c r="K185" s="111"/>
      <c r="L185" s="35"/>
      <c r="M185" s="36"/>
      <c r="N185" s="36"/>
      <c r="O185" s="36"/>
      <c r="P185" s="36"/>
      <c r="Q185" s="36"/>
      <c r="R185" s="36"/>
      <c r="S185" s="36"/>
      <c r="T185" s="36"/>
      <c r="U185" s="36"/>
      <c r="V185" s="36"/>
      <c r="W185" s="36"/>
      <c r="X185" s="25">
        <f t="shared" si="29"/>
        <v>0</v>
      </c>
      <c r="Y185" s="26">
        <f t="shared" si="30"/>
        <v>0</v>
      </c>
      <c r="Z185" s="26"/>
      <c r="AA185" s="27">
        <f t="shared" si="31"/>
        <v>0</v>
      </c>
      <c r="AB185" s="27">
        <f t="shared" si="32"/>
        <v>0</v>
      </c>
      <c r="AC185" s="28" t="str">
        <f>IFERROR(VLOOKUP($I185&amp;"|"&amp;$A185,Table2[],2,FALSE),"")</f>
        <v/>
      </c>
      <c r="AD185" s="29" t="str">
        <f>IFERROR(VLOOKUP($I185&amp;"|"&amp;$A185,Table2[],3,FALSE),"")</f>
        <v/>
      </c>
      <c r="AE185" s="28">
        <f t="shared" si="33"/>
        <v>0</v>
      </c>
      <c r="AF185" s="28" t="str">
        <f t="shared" si="34"/>
        <v/>
      </c>
      <c r="AG185" s="30" t="str">
        <f t="shared" si="35"/>
        <v/>
      </c>
      <c r="AH185" s="28" t="str">
        <f>IFERROR(VLOOKUP($I185&amp;"|"&amp;$A185,Table2[],4,FALSE),"")</f>
        <v/>
      </c>
      <c r="AI185" s="28" t="str">
        <f t="shared" si="36"/>
        <v/>
      </c>
      <c r="AJ185" s="31">
        <f t="shared" si="37"/>
        <v>0</v>
      </c>
      <c r="AK185" s="32">
        <f t="shared" si="41"/>
        <v>0</v>
      </c>
      <c r="AL185" s="33">
        <f t="shared" si="38"/>
        <v>0</v>
      </c>
      <c r="AM185" s="31">
        <f t="shared" si="39"/>
        <v>0</v>
      </c>
      <c r="AN185" s="32">
        <f t="shared" si="42"/>
        <v>0</v>
      </c>
      <c r="AO185" s="33">
        <f t="shared" si="40"/>
        <v>0</v>
      </c>
    </row>
    <row r="186" spans="1:41" s="14" customFormat="1" ht="27" customHeight="1" x14ac:dyDescent="0.25">
      <c r="A186" s="102"/>
      <c r="B186" s="22">
        <f>IFERROR(IF(VLOOKUP(A186,Table3[],MATCH('2023 sintesi '!I186,Table3[#Headers],0),0)=0,IFERROR(VLOOKUP($A186,Table1[],2,FALSE),0),VLOOKUP(A186,Table3[],MATCH('2023 sintesi '!I186,Table3[#Headers],0),0)),0)</f>
        <v>0</v>
      </c>
      <c r="C186" s="23">
        <f>IFERROR(VLOOKUP($A186,Table1[],3,FALSE),0)</f>
        <v>0</v>
      </c>
      <c r="D186" s="102"/>
      <c r="E186" s="102"/>
      <c r="F186" s="104"/>
      <c r="G186" s="102"/>
      <c r="H186" s="102"/>
      <c r="I186" s="109"/>
      <c r="J186" s="106"/>
      <c r="K186" s="111"/>
      <c r="L186" s="35"/>
      <c r="M186" s="36"/>
      <c r="N186" s="36"/>
      <c r="O186" s="36"/>
      <c r="P186" s="36"/>
      <c r="Q186" s="36"/>
      <c r="R186" s="36"/>
      <c r="S186" s="36"/>
      <c r="T186" s="36"/>
      <c r="U186" s="36"/>
      <c r="V186" s="36"/>
      <c r="W186" s="36"/>
      <c r="X186" s="25">
        <f t="shared" si="29"/>
        <v>0</v>
      </c>
      <c r="Y186" s="26">
        <f t="shared" si="30"/>
        <v>0</v>
      </c>
      <c r="Z186" s="26"/>
      <c r="AA186" s="27">
        <f t="shared" si="31"/>
        <v>0</v>
      </c>
      <c r="AB186" s="27">
        <f t="shared" si="32"/>
        <v>0</v>
      </c>
      <c r="AC186" s="28" t="str">
        <f>IFERROR(VLOOKUP($I186&amp;"|"&amp;$A186,Table2[],2,FALSE),"")</f>
        <v/>
      </c>
      <c r="AD186" s="29" t="str">
        <f>IFERROR(VLOOKUP($I186&amp;"|"&amp;$A186,Table2[],3,FALSE),"")</f>
        <v/>
      </c>
      <c r="AE186" s="28">
        <f t="shared" si="33"/>
        <v>0</v>
      </c>
      <c r="AF186" s="28" t="str">
        <f t="shared" si="34"/>
        <v/>
      </c>
      <c r="AG186" s="30" t="str">
        <f t="shared" si="35"/>
        <v/>
      </c>
      <c r="AH186" s="28" t="str">
        <f>IFERROR(VLOOKUP($I186&amp;"|"&amp;$A186,Table2[],4,FALSE),"")</f>
        <v/>
      </c>
      <c r="AI186" s="28" t="str">
        <f t="shared" si="36"/>
        <v/>
      </c>
      <c r="AJ186" s="31">
        <f t="shared" si="37"/>
        <v>0</v>
      </c>
      <c r="AK186" s="32">
        <f t="shared" si="41"/>
        <v>0</v>
      </c>
      <c r="AL186" s="33">
        <f t="shared" si="38"/>
        <v>0</v>
      </c>
      <c r="AM186" s="31">
        <f t="shared" si="39"/>
        <v>0</v>
      </c>
      <c r="AN186" s="32">
        <f t="shared" si="42"/>
        <v>0</v>
      </c>
      <c r="AO186" s="33">
        <f t="shared" si="40"/>
        <v>0</v>
      </c>
    </row>
    <row r="187" spans="1:41" s="14" customFormat="1" ht="27" customHeight="1" x14ac:dyDescent="0.25">
      <c r="A187" s="102"/>
      <c r="B187" s="22">
        <f>IFERROR(IF(VLOOKUP(A187,Table3[],MATCH('2023 sintesi '!I187,Table3[#Headers],0),0)=0,IFERROR(VLOOKUP($A187,Table1[],2,FALSE),0),VLOOKUP(A187,Table3[],MATCH('2023 sintesi '!I187,Table3[#Headers],0),0)),0)</f>
        <v>0</v>
      </c>
      <c r="C187" s="23">
        <f>IFERROR(VLOOKUP($A187,Table1[],3,FALSE),0)</f>
        <v>0</v>
      </c>
      <c r="D187" s="102"/>
      <c r="E187" s="102"/>
      <c r="F187" s="104"/>
      <c r="G187" s="102"/>
      <c r="H187" s="102"/>
      <c r="I187" s="109"/>
      <c r="J187" s="106"/>
      <c r="K187" s="112"/>
      <c r="L187" s="35"/>
      <c r="M187" s="36"/>
      <c r="N187" s="36"/>
      <c r="O187" s="36"/>
      <c r="P187" s="36"/>
      <c r="Q187" s="36"/>
      <c r="R187" s="36"/>
      <c r="S187" s="36"/>
      <c r="T187" s="36"/>
      <c r="U187" s="36"/>
      <c r="V187" s="36"/>
      <c r="W187" s="36"/>
      <c r="X187" s="25">
        <f t="shared" si="29"/>
        <v>0</v>
      </c>
      <c r="Y187" s="26">
        <f t="shared" si="30"/>
        <v>0</v>
      </c>
      <c r="Z187" s="26"/>
      <c r="AA187" s="27">
        <f t="shared" si="31"/>
        <v>0</v>
      </c>
      <c r="AB187" s="27">
        <f t="shared" si="32"/>
        <v>0</v>
      </c>
      <c r="AC187" s="28" t="str">
        <f>IFERROR(VLOOKUP($I187&amp;"|"&amp;$A187,Table2[],2,FALSE),"")</f>
        <v/>
      </c>
      <c r="AD187" s="29" t="str">
        <f>IFERROR(VLOOKUP($I187&amp;"|"&amp;$A187,Table2[],3,FALSE),"")</f>
        <v/>
      </c>
      <c r="AE187" s="28">
        <f t="shared" si="33"/>
        <v>0</v>
      </c>
      <c r="AF187" s="28" t="str">
        <f t="shared" si="34"/>
        <v/>
      </c>
      <c r="AG187" s="30" t="str">
        <f t="shared" si="35"/>
        <v/>
      </c>
      <c r="AH187" s="28" t="str">
        <f>IFERROR(VLOOKUP($I187&amp;"|"&amp;$A187,Table2[],4,FALSE),"")</f>
        <v/>
      </c>
      <c r="AI187" s="28" t="str">
        <f t="shared" si="36"/>
        <v/>
      </c>
      <c r="AJ187" s="31">
        <f t="shared" si="37"/>
        <v>0</v>
      </c>
      <c r="AK187" s="32">
        <f t="shared" si="41"/>
        <v>0</v>
      </c>
      <c r="AL187" s="33">
        <f t="shared" si="38"/>
        <v>0</v>
      </c>
      <c r="AM187" s="31">
        <f t="shared" si="39"/>
        <v>0</v>
      </c>
      <c r="AN187" s="32">
        <f t="shared" si="42"/>
        <v>0</v>
      </c>
      <c r="AO187" s="33">
        <f t="shared" si="40"/>
        <v>0</v>
      </c>
    </row>
    <row r="188" spans="1:41" s="43" customFormat="1" ht="27" customHeight="1" x14ac:dyDescent="0.25">
      <c r="A188" s="102"/>
      <c r="B188" s="22">
        <f>IFERROR(IF(VLOOKUP(A188,Table3[],MATCH('2023 sintesi '!I188,Table3[#Headers],0),0)=0,IFERROR(VLOOKUP($A188,Table1[],2,FALSE),0),VLOOKUP(A188,Table3[],MATCH('2023 sintesi '!I188,Table3[#Headers],0),0)),0)</f>
        <v>0</v>
      </c>
      <c r="C188" s="23">
        <f>IFERROR(VLOOKUP($A188,Table1[],3,FALSE),0)</f>
        <v>0</v>
      </c>
      <c r="D188" s="102"/>
      <c r="E188" s="102"/>
      <c r="F188" s="104"/>
      <c r="G188" s="104"/>
      <c r="H188" s="102"/>
      <c r="I188" s="109"/>
      <c r="J188" s="106"/>
      <c r="K188" s="112"/>
      <c r="L188" s="35"/>
      <c r="M188" s="36"/>
      <c r="N188" s="36"/>
      <c r="O188" s="36"/>
      <c r="P188" s="36"/>
      <c r="Q188" s="36"/>
      <c r="R188" s="36"/>
      <c r="S188" s="36"/>
      <c r="T188" s="36"/>
      <c r="U188" s="36"/>
      <c r="V188" s="36"/>
      <c r="W188" s="36"/>
      <c r="X188" s="25">
        <f t="shared" si="29"/>
        <v>0</v>
      </c>
      <c r="Y188" s="26">
        <f t="shared" si="30"/>
        <v>0</v>
      </c>
      <c r="Z188" s="26"/>
      <c r="AA188" s="27">
        <f t="shared" si="31"/>
        <v>0</v>
      </c>
      <c r="AB188" s="27">
        <f t="shared" si="32"/>
        <v>0</v>
      </c>
      <c r="AC188" s="28" t="str">
        <f>IFERROR(VLOOKUP($I188&amp;"|"&amp;$A188,Table2[],2,FALSE),"")</f>
        <v/>
      </c>
      <c r="AD188" s="29" t="str">
        <f>IFERROR(VLOOKUP($I188&amp;"|"&amp;$A188,Table2[],3,FALSE),"")</f>
        <v/>
      </c>
      <c r="AE188" s="28">
        <f t="shared" si="33"/>
        <v>0</v>
      </c>
      <c r="AF188" s="28" t="str">
        <f t="shared" si="34"/>
        <v/>
      </c>
      <c r="AG188" s="30" t="str">
        <f t="shared" si="35"/>
        <v/>
      </c>
      <c r="AH188" s="28" t="str">
        <f>IFERROR(VLOOKUP($I188&amp;"|"&amp;$A188,Table2[],4,FALSE),"")</f>
        <v/>
      </c>
      <c r="AI188" s="28" t="str">
        <f t="shared" si="36"/>
        <v/>
      </c>
      <c r="AJ188" s="31">
        <f t="shared" si="37"/>
        <v>0</v>
      </c>
      <c r="AK188" s="32">
        <f t="shared" si="41"/>
        <v>0</v>
      </c>
      <c r="AL188" s="33">
        <f t="shared" si="38"/>
        <v>0</v>
      </c>
      <c r="AM188" s="31">
        <f t="shared" si="39"/>
        <v>0</v>
      </c>
      <c r="AN188" s="32">
        <f t="shared" si="42"/>
        <v>0</v>
      </c>
      <c r="AO188" s="33">
        <f t="shared" si="40"/>
        <v>0</v>
      </c>
    </row>
    <row r="189" spans="1:41" s="43" customFormat="1" ht="27" customHeight="1" x14ac:dyDescent="0.25">
      <c r="A189" s="102"/>
      <c r="B189" s="22">
        <f>IFERROR(IF(VLOOKUP(A189,Table3[],MATCH('2023 sintesi '!I189,Table3[#Headers],0),0)=0,IFERROR(VLOOKUP($A189,Table1[],2,FALSE),0),VLOOKUP(A189,Table3[],MATCH('2023 sintesi '!I189,Table3[#Headers],0),0)),0)</f>
        <v>0</v>
      </c>
      <c r="C189" s="23">
        <f>IFERROR(VLOOKUP($A189,Table1[],3,FALSE),0)</f>
        <v>0</v>
      </c>
      <c r="D189" s="102"/>
      <c r="E189" s="102"/>
      <c r="F189" s="104"/>
      <c r="G189" s="102"/>
      <c r="H189" s="102"/>
      <c r="I189" s="109"/>
      <c r="J189" s="106"/>
      <c r="K189" s="111"/>
      <c r="L189" s="35"/>
      <c r="M189" s="36"/>
      <c r="N189" s="36"/>
      <c r="O189" s="36"/>
      <c r="P189" s="36"/>
      <c r="Q189" s="36"/>
      <c r="R189" s="36"/>
      <c r="S189" s="36"/>
      <c r="T189" s="36"/>
      <c r="U189" s="36"/>
      <c r="V189" s="36"/>
      <c r="W189" s="36"/>
      <c r="X189" s="25">
        <f t="shared" si="29"/>
        <v>0</v>
      </c>
      <c r="Y189" s="26">
        <f t="shared" si="30"/>
        <v>0</v>
      </c>
      <c r="Z189" s="26"/>
      <c r="AA189" s="27">
        <f t="shared" si="31"/>
        <v>0</v>
      </c>
      <c r="AB189" s="27">
        <f t="shared" si="32"/>
        <v>0</v>
      </c>
      <c r="AC189" s="28" t="str">
        <f>IFERROR(VLOOKUP($I189&amp;"|"&amp;$A189,Table2[],2,FALSE),"")</f>
        <v/>
      </c>
      <c r="AD189" s="29" t="str">
        <f>IFERROR(VLOOKUP($I189&amp;"|"&amp;$A189,Table2[],3,FALSE),"")</f>
        <v/>
      </c>
      <c r="AE189" s="28">
        <f t="shared" si="33"/>
        <v>0</v>
      </c>
      <c r="AF189" s="28" t="str">
        <f t="shared" si="34"/>
        <v/>
      </c>
      <c r="AG189" s="30" t="str">
        <f t="shared" si="35"/>
        <v/>
      </c>
      <c r="AH189" s="28" t="str">
        <f>IFERROR(VLOOKUP($I189&amp;"|"&amp;$A189,Table2[],4,FALSE),"")</f>
        <v/>
      </c>
      <c r="AI189" s="28" t="str">
        <f t="shared" si="36"/>
        <v/>
      </c>
      <c r="AJ189" s="31">
        <f t="shared" si="37"/>
        <v>0</v>
      </c>
      <c r="AK189" s="32">
        <f t="shared" si="41"/>
        <v>0</v>
      </c>
      <c r="AL189" s="33">
        <f t="shared" si="38"/>
        <v>0</v>
      </c>
      <c r="AM189" s="31">
        <f t="shared" si="39"/>
        <v>0</v>
      </c>
      <c r="AN189" s="32">
        <f t="shared" si="42"/>
        <v>0</v>
      </c>
      <c r="AO189" s="33">
        <f t="shared" si="40"/>
        <v>0</v>
      </c>
    </row>
    <row r="190" spans="1:41" s="43" customFormat="1" ht="27" customHeight="1" x14ac:dyDescent="0.25">
      <c r="A190" s="102"/>
      <c r="B190" s="22">
        <f>IFERROR(IF(VLOOKUP(A190,Table3[],MATCH('2023 sintesi '!I190,Table3[#Headers],0),0)=0,IFERROR(VLOOKUP($A190,Table1[],2,FALSE),0),VLOOKUP(A190,Table3[],MATCH('2023 sintesi '!I190,Table3[#Headers],0),0)),0)</f>
        <v>0</v>
      </c>
      <c r="C190" s="23">
        <f>IFERROR(VLOOKUP($A190,Table1[],3,FALSE),0)</f>
        <v>0</v>
      </c>
      <c r="D190" s="102"/>
      <c r="E190" s="102"/>
      <c r="F190" s="108"/>
      <c r="G190" s="102"/>
      <c r="H190" s="102"/>
      <c r="I190" s="109"/>
      <c r="J190" s="110"/>
      <c r="K190" s="111"/>
      <c r="L190" s="35"/>
      <c r="M190" s="36"/>
      <c r="N190" s="36"/>
      <c r="O190" s="36"/>
      <c r="P190" s="36"/>
      <c r="Q190" s="36"/>
      <c r="R190" s="36"/>
      <c r="S190" s="36"/>
      <c r="T190" s="36"/>
      <c r="U190" s="36"/>
      <c r="V190" s="36"/>
      <c r="W190" s="36"/>
      <c r="X190" s="25">
        <f t="shared" si="29"/>
        <v>0</v>
      </c>
      <c r="Y190" s="26">
        <f t="shared" si="30"/>
        <v>0</v>
      </c>
      <c r="Z190" s="26"/>
      <c r="AA190" s="27">
        <f t="shared" si="31"/>
        <v>0</v>
      </c>
      <c r="AB190" s="27">
        <f t="shared" si="32"/>
        <v>0</v>
      </c>
      <c r="AC190" s="28" t="str">
        <f>IFERROR(VLOOKUP($I190&amp;"|"&amp;$A190,Table2[],2,FALSE),"")</f>
        <v/>
      </c>
      <c r="AD190" s="29" t="str">
        <f>IFERROR(VLOOKUP($I190&amp;"|"&amp;$A190,Table2[],3,FALSE),"")</f>
        <v/>
      </c>
      <c r="AE190" s="28">
        <f t="shared" si="33"/>
        <v>0</v>
      </c>
      <c r="AF190" s="28" t="str">
        <f t="shared" si="34"/>
        <v/>
      </c>
      <c r="AG190" s="30" t="str">
        <f t="shared" si="35"/>
        <v/>
      </c>
      <c r="AH190" s="28" t="str">
        <f>IFERROR(VLOOKUP($I190&amp;"|"&amp;$A190,Table2[],4,FALSE),"")</f>
        <v/>
      </c>
      <c r="AI190" s="28" t="str">
        <f t="shared" si="36"/>
        <v/>
      </c>
      <c r="AJ190" s="31">
        <f t="shared" si="37"/>
        <v>0</v>
      </c>
      <c r="AK190" s="32">
        <f t="shared" si="41"/>
        <v>0</v>
      </c>
      <c r="AL190" s="33">
        <f t="shared" si="38"/>
        <v>0</v>
      </c>
      <c r="AM190" s="31">
        <f t="shared" si="39"/>
        <v>0</v>
      </c>
      <c r="AN190" s="32">
        <f t="shared" si="42"/>
        <v>0</v>
      </c>
      <c r="AO190" s="33">
        <f t="shared" si="40"/>
        <v>0</v>
      </c>
    </row>
    <row r="191" spans="1:41" s="43" customFormat="1" ht="27" customHeight="1" x14ac:dyDescent="0.25">
      <c r="A191" s="102"/>
      <c r="B191" s="22">
        <f>IFERROR(IF(VLOOKUP(A191,Table3[],MATCH('2023 sintesi '!I191,Table3[#Headers],0),0)=0,IFERROR(VLOOKUP($A191,Table1[],2,FALSE),0),VLOOKUP(A191,Table3[],MATCH('2023 sintesi '!I191,Table3[#Headers],0),0)),0)</f>
        <v>0</v>
      </c>
      <c r="C191" s="23">
        <f>IFERROR(VLOOKUP($A191,Table1[],3,FALSE),0)</f>
        <v>0</v>
      </c>
      <c r="D191" s="102"/>
      <c r="E191" s="102"/>
      <c r="F191" s="108"/>
      <c r="G191" s="102"/>
      <c r="H191" s="102"/>
      <c r="I191" s="109"/>
      <c r="J191" s="106"/>
      <c r="K191" s="107"/>
      <c r="L191" s="35"/>
      <c r="M191" s="36"/>
      <c r="N191" s="36"/>
      <c r="O191" s="36"/>
      <c r="P191" s="36"/>
      <c r="Q191" s="36"/>
      <c r="R191" s="36"/>
      <c r="S191" s="36"/>
      <c r="T191" s="36"/>
      <c r="U191" s="36"/>
      <c r="V191" s="36"/>
      <c r="W191" s="36"/>
      <c r="X191" s="25">
        <f t="shared" si="29"/>
        <v>0</v>
      </c>
      <c r="Y191" s="26">
        <f t="shared" si="30"/>
        <v>0</v>
      </c>
      <c r="Z191" s="26"/>
      <c r="AA191" s="27">
        <f t="shared" si="31"/>
        <v>0</v>
      </c>
      <c r="AB191" s="27">
        <f t="shared" si="32"/>
        <v>0</v>
      </c>
      <c r="AC191" s="28" t="str">
        <f>IFERROR(VLOOKUP($I191&amp;"|"&amp;$A191,Table2[],2,FALSE),"")</f>
        <v/>
      </c>
      <c r="AD191" s="29" t="str">
        <f>IFERROR(VLOOKUP($I191&amp;"|"&amp;$A191,Table2[],3,FALSE),"")</f>
        <v/>
      </c>
      <c r="AE191" s="28">
        <f t="shared" si="33"/>
        <v>0</v>
      </c>
      <c r="AF191" s="28" t="str">
        <f t="shared" si="34"/>
        <v/>
      </c>
      <c r="AG191" s="30" t="str">
        <f t="shared" si="35"/>
        <v/>
      </c>
      <c r="AH191" s="28" t="str">
        <f>IFERROR(VLOOKUP($I191&amp;"|"&amp;$A191,Table2[],4,FALSE),"")</f>
        <v/>
      </c>
      <c r="AI191" s="28" t="str">
        <f t="shared" si="36"/>
        <v/>
      </c>
      <c r="AJ191" s="31">
        <f t="shared" si="37"/>
        <v>0</v>
      </c>
      <c r="AK191" s="32">
        <f t="shared" si="41"/>
        <v>0</v>
      </c>
      <c r="AL191" s="33">
        <f t="shared" si="38"/>
        <v>0</v>
      </c>
      <c r="AM191" s="31">
        <f t="shared" si="39"/>
        <v>0</v>
      </c>
      <c r="AN191" s="32">
        <f t="shared" si="42"/>
        <v>0</v>
      </c>
      <c r="AO191" s="33">
        <f t="shared" si="40"/>
        <v>0</v>
      </c>
    </row>
    <row r="192" spans="1:41" s="43" customFormat="1" ht="27" customHeight="1" x14ac:dyDescent="0.25">
      <c r="A192" s="102"/>
      <c r="B192" s="22">
        <f>IFERROR(IF(VLOOKUP(A192,Table3[],MATCH('2023 sintesi '!I192,Table3[#Headers],0),0)=0,IFERROR(VLOOKUP($A192,Table1[],2,FALSE),0),VLOOKUP(A192,Table3[],MATCH('2023 sintesi '!I192,Table3[#Headers],0),0)),0)</f>
        <v>0</v>
      </c>
      <c r="C192" s="23">
        <f>IFERROR(VLOOKUP($A192,Table1[],3,FALSE),0)</f>
        <v>0</v>
      </c>
      <c r="D192" s="102"/>
      <c r="E192" s="102"/>
      <c r="F192" s="108"/>
      <c r="G192" s="102"/>
      <c r="H192" s="102"/>
      <c r="I192" s="109"/>
      <c r="J192" s="106"/>
      <c r="K192" s="107"/>
      <c r="L192" s="35"/>
      <c r="M192" s="36"/>
      <c r="N192" s="36"/>
      <c r="O192" s="36"/>
      <c r="P192" s="36"/>
      <c r="Q192" s="36"/>
      <c r="R192" s="36"/>
      <c r="S192" s="36"/>
      <c r="T192" s="36"/>
      <c r="U192" s="36"/>
      <c r="V192" s="36"/>
      <c r="W192" s="36"/>
      <c r="X192" s="25">
        <f t="shared" si="29"/>
        <v>0</v>
      </c>
      <c r="Y192" s="26">
        <f t="shared" si="30"/>
        <v>0</v>
      </c>
      <c r="Z192" s="26"/>
      <c r="AA192" s="27">
        <f t="shared" si="31"/>
        <v>0</v>
      </c>
      <c r="AB192" s="27">
        <f t="shared" si="32"/>
        <v>0</v>
      </c>
      <c r="AC192" s="28" t="str">
        <f>IFERROR(VLOOKUP($I192&amp;"|"&amp;$A192,Table2[],2,FALSE),"")</f>
        <v/>
      </c>
      <c r="AD192" s="29" t="str">
        <f>IFERROR(VLOOKUP($I192&amp;"|"&amp;$A192,Table2[],3,FALSE),"")</f>
        <v/>
      </c>
      <c r="AE192" s="28">
        <f t="shared" si="33"/>
        <v>0</v>
      </c>
      <c r="AF192" s="28" t="str">
        <f t="shared" si="34"/>
        <v/>
      </c>
      <c r="AG192" s="30" t="str">
        <f t="shared" si="35"/>
        <v/>
      </c>
      <c r="AH192" s="28" t="str">
        <f>IFERROR(VLOOKUP($I192&amp;"|"&amp;$A192,Table2[],4,FALSE),"")</f>
        <v/>
      </c>
      <c r="AI192" s="28" t="str">
        <f t="shared" si="36"/>
        <v/>
      </c>
      <c r="AJ192" s="31">
        <f t="shared" si="37"/>
        <v>0</v>
      </c>
      <c r="AK192" s="32">
        <f t="shared" si="41"/>
        <v>0</v>
      </c>
      <c r="AL192" s="33">
        <f t="shared" si="38"/>
        <v>0</v>
      </c>
      <c r="AM192" s="31">
        <f t="shared" si="39"/>
        <v>0</v>
      </c>
      <c r="AN192" s="32">
        <f t="shared" si="42"/>
        <v>0</v>
      </c>
      <c r="AO192" s="33">
        <f t="shared" si="40"/>
        <v>0</v>
      </c>
    </row>
    <row r="193" spans="1:41" s="43" customFormat="1" ht="27" customHeight="1" x14ac:dyDescent="0.25">
      <c r="A193" s="102"/>
      <c r="B193" s="22">
        <f>IFERROR(IF(VLOOKUP(A193,Table3[],MATCH('2023 sintesi '!I193,Table3[#Headers],0),0)=0,IFERROR(VLOOKUP($A193,Table1[],2,FALSE),0),VLOOKUP(A193,Table3[],MATCH('2023 sintesi '!I193,Table3[#Headers],0),0)),0)</f>
        <v>0</v>
      </c>
      <c r="C193" s="23">
        <f>IFERROR(VLOOKUP($A193,Table1[],3,FALSE),0)</f>
        <v>0</v>
      </c>
      <c r="D193" s="102"/>
      <c r="E193" s="102"/>
      <c r="F193" s="108"/>
      <c r="G193" s="102"/>
      <c r="H193" s="102"/>
      <c r="I193" s="109"/>
      <c r="J193" s="106"/>
      <c r="K193" s="107"/>
      <c r="L193" s="35"/>
      <c r="M193" s="36"/>
      <c r="N193" s="36"/>
      <c r="O193" s="36"/>
      <c r="P193" s="36"/>
      <c r="Q193" s="36"/>
      <c r="R193" s="36"/>
      <c r="S193" s="36"/>
      <c r="T193" s="36"/>
      <c r="U193" s="36"/>
      <c r="V193" s="36"/>
      <c r="W193" s="36"/>
      <c r="X193" s="25">
        <f t="shared" si="29"/>
        <v>0</v>
      </c>
      <c r="Y193" s="26">
        <f t="shared" si="30"/>
        <v>0</v>
      </c>
      <c r="Z193" s="26"/>
      <c r="AA193" s="27">
        <f t="shared" si="31"/>
        <v>0</v>
      </c>
      <c r="AB193" s="27">
        <f t="shared" si="32"/>
        <v>0</v>
      </c>
      <c r="AC193" s="28" t="str">
        <f>IFERROR(VLOOKUP($I193&amp;"|"&amp;$A193,Table2[],2,FALSE),"")</f>
        <v/>
      </c>
      <c r="AD193" s="29" t="str">
        <f>IFERROR(VLOOKUP($I193&amp;"|"&amp;$A193,Table2[],3,FALSE),"")</f>
        <v/>
      </c>
      <c r="AE193" s="28">
        <f t="shared" si="33"/>
        <v>0</v>
      </c>
      <c r="AF193" s="28" t="str">
        <f t="shared" si="34"/>
        <v/>
      </c>
      <c r="AG193" s="30" t="str">
        <f t="shared" si="35"/>
        <v/>
      </c>
      <c r="AH193" s="28" t="str">
        <f>IFERROR(VLOOKUP($I193&amp;"|"&amp;$A193,Table2[],4,FALSE),"")</f>
        <v/>
      </c>
      <c r="AI193" s="28" t="str">
        <f t="shared" si="36"/>
        <v/>
      </c>
      <c r="AJ193" s="31">
        <f t="shared" si="37"/>
        <v>0</v>
      </c>
      <c r="AK193" s="32">
        <f t="shared" si="41"/>
        <v>0</v>
      </c>
      <c r="AL193" s="33">
        <f t="shared" si="38"/>
        <v>0</v>
      </c>
      <c r="AM193" s="31">
        <f t="shared" si="39"/>
        <v>0</v>
      </c>
      <c r="AN193" s="32">
        <f t="shared" si="42"/>
        <v>0</v>
      </c>
      <c r="AO193" s="33">
        <f t="shared" si="40"/>
        <v>0</v>
      </c>
    </row>
    <row r="194" spans="1:41" s="43" customFormat="1" ht="27" customHeight="1" x14ac:dyDescent="0.25">
      <c r="A194" s="102"/>
      <c r="B194" s="22">
        <f>IFERROR(IF(VLOOKUP(A194,Table3[],MATCH('2023 sintesi '!I194,Table3[#Headers],0),0)=0,IFERROR(VLOOKUP($A194,Table1[],2,FALSE),0),VLOOKUP(A194,Table3[],MATCH('2023 sintesi '!I194,Table3[#Headers],0),0)),0)</f>
        <v>0</v>
      </c>
      <c r="C194" s="23">
        <f>IFERROR(VLOOKUP($A194,Table1[],3,FALSE),0)</f>
        <v>0</v>
      </c>
      <c r="D194" s="102"/>
      <c r="E194" s="102"/>
      <c r="F194" s="108"/>
      <c r="G194" s="102"/>
      <c r="H194" s="102"/>
      <c r="I194" s="109"/>
      <c r="J194" s="106"/>
      <c r="K194" s="107"/>
      <c r="L194" s="35"/>
      <c r="M194" s="36"/>
      <c r="N194" s="36"/>
      <c r="O194" s="36"/>
      <c r="P194" s="36"/>
      <c r="Q194" s="36"/>
      <c r="R194" s="36"/>
      <c r="S194" s="36"/>
      <c r="T194" s="36"/>
      <c r="U194" s="36"/>
      <c r="V194" s="36"/>
      <c r="W194" s="36"/>
      <c r="X194" s="25">
        <f t="shared" si="29"/>
        <v>0</v>
      </c>
      <c r="Y194" s="26">
        <f t="shared" si="30"/>
        <v>0</v>
      </c>
      <c r="Z194" s="26"/>
      <c r="AA194" s="27">
        <f t="shared" si="31"/>
        <v>0</v>
      </c>
      <c r="AB194" s="27">
        <f t="shared" si="32"/>
        <v>0</v>
      </c>
      <c r="AC194" s="28" t="str">
        <f>IFERROR(VLOOKUP($I194&amp;"|"&amp;$A194,Table2[],2,FALSE),"")</f>
        <v/>
      </c>
      <c r="AD194" s="29" t="str">
        <f>IFERROR(VLOOKUP($I194&amp;"|"&amp;$A194,Table2[],3,FALSE),"")</f>
        <v/>
      </c>
      <c r="AE194" s="28">
        <f t="shared" si="33"/>
        <v>0</v>
      </c>
      <c r="AF194" s="28" t="str">
        <f t="shared" si="34"/>
        <v/>
      </c>
      <c r="AG194" s="30" t="str">
        <f t="shared" si="35"/>
        <v/>
      </c>
      <c r="AH194" s="28" t="str">
        <f>IFERROR(VLOOKUP($I194&amp;"|"&amp;$A194,Table2[],4,FALSE),"")</f>
        <v/>
      </c>
      <c r="AI194" s="28" t="str">
        <f t="shared" si="36"/>
        <v/>
      </c>
      <c r="AJ194" s="31">
        <f t="shared" si="37"/>
        <v>0</v>
      </c>
      <c r="AK194" s="32">
        <f t="shared" si="41"/>
        <v>0</v>
      </c>
      <c r="AL194" s="33">
        <f t="shared" si="38"/>
        <v>0</v>
      </c>
      <c r="AM194" s="31">
        <f t="shared" si="39"/>
        <v>0</v>
      </c>
      <c r="AN194" s="32">
        <f t="shared" si="42"/>
        <v>0</v>
      </c>
      <c r="AO194" s="33">
        <f t="shared" si="40"/>
        <v>0</v>
      </c>
    </row>
    <row r="195" spans="1:41" s="43" customFormat="1" ht="27" customHeight="1" x14ac:dyDescent="0.25">
      <c r="A195" s="102"/>
      <c r="B195" s="22">
        <f>IFERROR(IF(VLOOKUP(A195,Table3[],MATCH('2023 sintesi '!I195,Table3[#Headers],0),0)=0,IFERROR(VLOOKUP($A195,Table1[],2,FALSE),0),VLOOKUP(A195,Table3[],MATCH('2023 sintesi '!I195,Table3[#Headers],0),0)),0)</f>
        <v>0</v>
      </c>
      <c r="C195" s="23">
        <f>IFERROR(VLOOKUP($A195,Table1[],3,FALSE),0)</f>
        <v>0</v>
      </c>
      <c r="D195" s="102"/>
      <c r="E195" s="102"/>
      <c r="F195" s="108"/>
      <c r="G195" s="102"/>
      <c r="H195" s="102"/>
      <c r="I195" s="109"/>
      <c r="J195" s="106"/>
      <c r="K195" s="107"/>
      <c r="L195" s="35"/>
      <c r="M195" s="36"/>
      <c r="N195" s="36"/>
      <c r="O195" s="36"/>
      <c r="P195" s="36"/>
      <c r="Q195" s="36"/>
      <c r="R195" s="36"/>
      <c r="S195" s="36"/>
      <c r="T195" s="36"/>
      <c r="U195" s="36"/>
      <c r="V195" s="36"/>
      <c r="W195" s="36"/>
      <c r="X195" s="25">
        <f t="shared" si="29"/>
        <v>0</v>
      </c>
      <c r="Y195" s="26">
        <f t="shared" si="30"/>
        <v>0</v>
      </c>
      <c r="Z195" s="26"/>
      <c r="AA195" s="27">
        <f t="shared" si="31"/>
        <v>0</v>
      </c>
      <c r="AB195" s="27">
        <f t="shared" si="32"/>
        <v>0</v>
      </c>
      <c r="AC195" s="28" t="str">
        <f>IFERROR(VLOOKUP($I195&amp;"|"&amp;$A195,Table2[],2,FALSE),"")</f>
        <v/>
      </c>
      <c r="AD195" s="29" t="str">
        <f>IFERROR(VLOOKUP($I195&amp;"|"&amp;$A195,Table2[],3,FALSE),"")</f>
        <v/>
      </c>
      <c r="AE195" s="28">
        <f t="shared" si="33"/>
        <v>0</v>
      </c>
      <c r="AF195" s="28" t="str">
        <f t="shared" si="34"/>
        <v/>
      </c>
      <c r="AG195" s="30" t="str">
        <f t="shared" si="35"/>
        <v/>
      </c>
      <c r="AH195" s="28" t="str">
        <f>IFERROR(VLOOKUP($I195&amp;"|"&amp;$A195,Table2[],4,FALSE),"")</f>
        <v/>
      </c>
      <c r="AI195" s="28" t="str">
        <f t="shared" si="36"/>
        <v/>
      </c>
      <c r="AJ195" s="31">
        <f t="shared" si="37"/>
        <v>0</v>
      </c>
      <c r="AK195" s="32">
        <f t="shared" si="41"/>
        <v>0</v>
      </c>
      <c r="AL195" s="33">
        <f t="shared" si="38"/>
        <v>0</v>
      </c>
      <c r="AM195" s="31">
        <f t="shared" si="39"/>
        <v>0</v>
      </c>
      <c r="AN195" s="32">
        <f t="shared" si="42"/>
        <v>0</v>
      </c>
      <c r="AO195" s="33">
        <f t="shared" si="40"/>
        <v>0</v>
      </c>
    </row>
    <row r="196" spans="1:41" s="43" customFormat="1" ht="27" customHeight="1" x14ac:dyDescent="0.25">
      <c r="A196" s="102"/>
      <c r="B196" s="22">
        <f>IFERROR(IF(VLOOKUP(A196,Table3[],MATCH('2023 sintesi '!I196,Table3[#Headers],0),0)=0,IFERROR(VLOOKUP($A196,Table1[],2,FALSE),0),VLOOKUP(A196,Table3[],MATCH('2023 sintesi '!I196,Table3[#Headers],0),0)),0)</f>
        <v>0</v>
      </c>
      <c r="C196" s="23">
        <f>IFERROR(VLOOKUP($A196,Table1[],3,FALSE),0)</f>
        <v>0</v>
      </c>
      <c r="D196" s="102"/>
      <c r="E196" s="102"/>
      <c r="F196" s="108"/>
      <c r="G196" s="102"/>
      <c r="H196" s="102"/>
      <c r="I196" s="109"/>
      <c r="J196" s="106"/>
      <c r="K196" s="107"/>
      <c r="L196" s="35"/>
      <c r="M196" s="36"/>
      <c r="N196" s="36"/>
      <c r="O196" s="36"/>
      <c r="P196" s="36"/>
      <c r="Q196" s="36"/>
      <c r="R196" s="36"/>
      <c r="S196" s="36"/>
      <c r="T196" s="36"/>
      <c r="U196" s="36"/>
      <c r="V196" s="36"/>
      <c r="W196" s="36"/>
      <c r="X196" s="25">
        <f t="shared" si="29"/>
        <v>0</v>
      </c>
      <c r="Y196" s="26">
        <f t="shared" si="30"/>
        <v>0</v>
      </c>
      <c r="Z196" s="26"/>
      <c r="AA196" s="27">
        <f t="shared" si="31"/>
        <v>0</v>
      </c>
      <c r="AB196" s="27">
        <f t="shared" si="32"/>
        <v>0</v>
      </c>
      <c r="AC196" s="28" t="str">
        <f>IFERROR(VLOOKUP($I196&amp;"|"&amp;$A196,Table2[],2,FALSE),"")</f>
        <v/>
      </c>
      <c r="AD196" s="29" t="str">
        <f>IFERROR(VLOOKUP($I196&amp;"|"&amp;$A196,Table2[],3,FALSE),"")</f>
        <v/>
      </c>
      <c r="AE196" s="28">
        <f t="shared" si="33"/>
        <v>0</v>
      </c>
      <c r="AF196" s="28" t="str">
        <f t="shared" si="34"/>
        <v/>
      </c>
      <c r="AG196" s="30" t="str">
        <f t="shared" si="35"/>
        <v/>
      </c>
      <c r="AH196" s="28" t="str">
        <f>IFERROR(VLOOKUP($I196&amp;"|"&amp;$A196,Table2[],4,FALSE),"")</f>
        <v/>
      </c>
      <c r="AI196" s="28" t="str">
        <f t="shared" si="36"/>
        <v/>
      </c>
      <c r="AJ196" s="31">
        <f t="shared" si="37"/>
        <v>0</v>
      </c>
      <c r="AK196" s="32">
        <f t="shared" si="41"/>
        <v>0</v>
      </c>
      <c r="AL196" s="33">
        <f t="shared" si="38"/>
        <v>0</v>
      </c>
      <c r="AM196" s="31">
        <f t="shared" si="39"/>
        <v>0</v>
      </c>
      <c r="AN196" s="32">
        <f t="shared" si="42"/>
        <v>0</v>
      </c>
      <c r="AO196" s="33">
        <f t="shared" si="40"/>
        <v>0</v>
      </c>
    </row>
    <row r="197" spans="1:41" s="43" customFormat="1" ht="27" customHeight="1" x14ac:dyDescent="0.25">
      <c r="A197" s="102"/>
      <c r="B197" s="22">
        <f>IFERROR(IF(VLOOKUP(A197,Table3[],MATCH('2023 sintesi '!I197,Table3[#Headers],0),0)=0,IFERROR(VLOOKUP($A197,Table1[],2,FALSE),0),VLOOKUP(A197,Table3[],MATCH('2023 sintesi '!I197,Table3[#Headers],0),0)),0)</f>
        <v>0</v>
      </c>
      <c r="C197" s="23">
        <f>IFERROR(VLOOKUP($A197,Table1[],3,FALSE),0)</f>
        <v>0</v>
      </c>
      <c r="D197" s="102"/>
      <c r="E197" s="102"/>
      <c r="F197" s="108"/>
      <c r="G197" s="102"/>
      <c r="H197" s="102"/>
      <c r="I197" s="109"/>
      <c r="J197" s="106"/>
      <c r="K197" s="107"/>
      <c r="L197" s="39"/>
      <c r="M197" s="40"/>
      <c r="N197" s="40"/>
      <c r="O197" s="40"/>
      <c r="P197" s="40"/>
      <c r="Q197" s="40"/>
      <c r="R197" s="40"/>
      <c r="S197" s="24"/>
      <c r="T197" s="34"/>
      <c r="U197" s="34"/>
      <c r="V197" s="34"/>
      <c r="W197" s="24"/>
      <c r="X197" s="25">
        <f t="shared" si="29"/>
        <v>0</v>
      </c>
      <c r="Y197" s="26">
        <f t="shared" si="30"/>
        <v>0</v>
      </c>
      <c r="Z197" s="26"/>
      <c r="AA197" s="27">
        <f t="shared" si="31"/>
        <v>0</v>
      </c>
      <c r="AB197" s="27">
        <f t="shared" si="32"/>
        <v>0</v>
      </c>
      <c r="AC197" s="28" t="str">
        <f>IFERROR(VLOOKUP($I197&amp;"|"&amp;$A197,Table2[],2,FALSE),"")</f>
        <v/>
      </c>
      <c r="AD197" s="29" t="str">
        <f>IFERROR(VLOOKUP($I197&amp;"|"&amp;$A197,Table2[],3,FALSE),"")</f>
        <v/>
      </c>
      <c r="AE197" s="28">
        <f t="shared" si="33"/>
        <v>0</v>
      </c>
      <c r="AF197" s="28" t="str">
        <f t="shared" si="34"/>
        <v/>
      </c>
      <c r="AG197" s="30" t="str">
        <f t="shared" si="35"/>
        <v/>
      </c>
      <c r="AH197" s="28" t="str">
        <f>IFERROR(VLOOKUP($I197&amp;"|"&amp;$A197,Table2[],4,FALSE),"")</f>
        <v/>
      </c>
      <c r="AI197" s="28" t="str">
        <f t="shared" si="36"/>
        <v/>
      </c>
      <c r="AJ197" s="31">
        <f t="shared" si="37"/>
        <v>0</v>
      </c>
      <c r="AK197" s="32">
        <f t="shared" si="41"/>
        <v>0</v>
      </c>
      <c r="AL197" s="33">
        <f t="shared" si="38"/>
        <v>0</v>
      </c>
      <c r="AM197" s="31">
        <f t="shared" si="39"/>
        <v>0</v>
      </c>
      <c r="AN197" s="32">
        <f t="shared" si="42"/>
        <v>0</v>
      </c>
      <c r="AO197" s="33">
        <f t="shared" si="40"/>
        <v>0</v>
      </c>
    </row>
    <row r="198" spans="1:41" s="14" customFormat="1" ht="27" customHeight="1" x14ac:dyDescent="0.25">
      <c r="A198" s="102"/>
      <c r="B198" s="22">
        <f>IFERROR(IF(VLOOKUP(A198,Table3[],MATCH('2023 sintesi '!I198,Table3[#Headers],0),0)=0,IFERROR(VLOOKUP($A198,Table1[],2,FALSE),0),VLOOKUP(A198,Table3[],MATCH('2023 sintesi '!I198,Table3[#Headers],0),0)),0)</f>
        <v>0</v>
      </c>
      <c r="C198" s="23">
        <f>IFERROR(VLOOKUP($A198,Table1[],3,FALSE),0)</f>
        <v>0</v>
      </c>
      <c r="D198" s="102"/>
      <c r="E198" s="102"/>
      <c r="F198" s="108"/>
      <c r="G198" s="102"/>
      <c r="H198" s="102"/>
      <c r="I198" s="105"/>
      <c r="J198" s="106"/>
      <c r="K198" s="107"/>
      <c r="L198" s="24"/>
      <c r="M198" s="34"/>
      <c r="N198" s="34"/>
      <c r="O198" s="34"/>
      <c r="P198" s="34"/>
      <c r="Q198" s="34"/>
      <c r="R198" s="34"/>
      <c r="S198" s="24"/>
      <c r="T198" s="34"/>
      <c r="U198" s="34"/>
      <c r="V198" s="34"/>
      <c r="W198" s="24"/>
      <c r="X198" s="25">
        <f t="shared" si="29"/>
        <v>0</v>
      </c>
      <c r="Y198" s="26">
        <f t="shared" si="30"/>
        <v>0</v>
      </c>
      <c r="Z198" s="26"/>
      <c r="AA198" s="27">
        <f t="shared" si="31"/>
        <v>0</v>
      </c>
      <c r="AB198" s="27">
        <f t="shared" si="32"/>
        <v>0</v>
      </c>
      <c r="AC198" s="28" t="str">
        <f>IFERROR(VLOOKUP($I198&amp;"|"&amp;$A198,Table2[],2,FALSE),"")</f>
        <v/>
      </c>
      <c r="AD198" s="29" t="str">
        <f>IFERROR(VLOOKUP($I198&amp;"|"&amp;$A198,Table2[],3,FALSE),"")</f>
        <v/>
      </c>
      <c r="AE198" s="28">
        <f t="shared" si="33"/>
        <v>0</v>
      </c>
      <c r="AF198" s="28" t="str">
        <f t="shared" si="34"/>
        <v/>
      </c>
      <c r="AG198" s="30" t="str">
        <f t="shared" si="35"/>
        <v/>
      </c>
      <c r="AH198" s="28" t="str">
        <f>IFERROR(VLOOKUP($I198&amp;"|"&amp;$A198,Table2[],4,FALSE),"")</f>
        <v/>
      </c>
      <c r="AI198" s="28" t="str">
        <f t="shared" si="36"/>
        <v/>
      </c>
      <c r="AJ198" s="31">
        <f t="shared" si="37"/>
        <v>0</v>
      </c>
      <c r="AK198" s="32">
        <f t="shared" si="41"/>
        <v>0</v>
      </c>
      <c r="AL198" s="33">
        <f t="shared" si="38"/>
        <v>0</v>
      </c>
      <c r="AM198" s="31">
        <f t="shared" si="39"/>
        <v>0</v>
      </c>
      <c r="AN198" s="32">
        <f t="shared" si="42"/>
        <v>0</v>
      </c>
      <c r="AO198" s="33">
        <f t="shared" si="40"/>
        <v>0</v>
      </c>
    </row>
    <row r="199" spans="1:41" s="14" customFormat="1" ht="27" customHeight="1" x14ac:dyDescent="0.25">
      <c r="A199" s="102"/>
      <c r="B199" s="22">
        <f>IFERROR(IF(VLOOKUP(A199,Table3[],MATCH('2023 sintesi '!I199,Table3[#Headers],0),0)=0,IFERROR(VLOOKUP($A199,Table1[],2,FALSE),0),VLOOKUP(A199,Table3[],MATCH('2023 sintesi '!I199,Table3[#Headers],0),0)),0)</f>
        <v>0</v>
      </c>
      <c r="C199" s="23">
        <f>IFERROR(VLOOKUP($A199,Table1[],3,FALSE),0)</f>
        <v>0</v>
      </c>
      <c r="D199" s="102"/>
      <c r="E199" s="102"/>
      <c r="F199" s="108"/>
      <c r="G199" s="102"/>
      <c r="H199" s="102"/>
      <c r="I199" s="105"/>
      <c r="J199" s="106"/>
      <c r="K199" s="107"/>
      <c r="L199" s="24"/>
      <c r="M199" s="34"/>
      <c r="N199" s="34"/>
      <c r="O199" s="34"/>
      <c r="P199" s="34"/>
      <c r="Q199" s="34"/>
      <c r="R199" s="34"/>
      <c r="S199" s="24"/>
      <c r="T199" s="34"/>
      <c r="U199" s="34"/>
      <c r="V199" s="34"/>
      <c r="W199" s="24"/>
      <c r="X199" s="25">
        <f t="shared" si="29"/>
        <v>0</v>
      </c>
      <c r="Y199" s="26">
        <f t="shared" si="30"/>
        <v>0</v>
      </c>
      <c r="Z199" s="26"/>
      <c r="AA199" s="27">
        <f t="shared" si="31"/>
        <v>0</v>
      </c>
      <c r="AB199" s="27">
        <f t="shared" si="32"/>
        <v>0</v>
      </c>
      <c r="AC199" s="28" t="str">
        <f>IFERROR(VLOOKUP($I199&amp;"|"&amp;$A199,Table2[],2,FALSE),"")</f>
        <v/>
      </c>
      <c r="AD199" s="29" t="str">
        <f>IFERROR(VLOOKUP($I199&amp;"|"&amp;$A199,Table2[],3,FALSE),"")</f>
        <v/>
      </c>
      <c r="AE199" s="28">
        <f t="shared" si="33"/>
        <v>0</v>
      </c>
      <c r="AF199" s="28" t="str">
        <f t="shared" si="34"/>
        <v/>
      </c>
      <c r="AG199" s="30" t="str">
        <f t="shared" si="35"/>
        <v/>
      </c>
      <c r="AH199" s="28" t="str">
        <f>IFERROR(VLOOKUP($I199&amp;"|"&amp;$A199,Table2[],4,FALSE),"")</f>
        <v/>
      </c>
      <c r="AI199" s="28" t="str">
        <f t="shared" si="36"/>
        <v/>
      </c>
      <c r="AJ199" s="31">
        <f t="shared" si="37"/>
        <v>0</v>
      </c>
      <c r="AK199" s="32">
        <f t="shared" si="41"/>
        <v>0</v>
      </c>
      <c r="AL199" s="33">
        <f t="shared" si="38"/>
        <v>0</v>
      </c>
      <c r="AM199" s="31">
        <f t="shared" si="39"/>
        <v>0</v>
      </c>
      <c r="AN199" s="32">
        <f t="shared" si="42"/>
        <v>0</v>
      </c>
      <c r="AO199" s="33">
        <f t="shared" si="40"/>
        <v>0</v>
      </c>
    </row>
    <row r="200" spans="1:41" s="43" customFormat="1" ht="27" customHeight="1" x14ac:dyDescent="0.25">
      <c r="A200" s="102"/>
      <c r="B200" s="22">
        <f>IFERROR(IF(VLOOKUP(A200,Table3[],MATCH('2023 sintesi '!I200,Table3[#Headers],0),0)=0,IFERROR(VLOOKUP($A200,Table1[],2,FALSE),0),VLOOKUP(A200,Table3[],MATCH('2023 sintesi '!I200,Table3[#Headers],0),0)),0)</f>
        <v>0</v>
      </c>
      <c r="C200" s="23">
        <f>IFERROR(VLOOKUP($A200,Table1[],3,FALSE),0)</f>
        <v>0</v>
      </c>
      <c r="D200" s="102"/>
      <c r="E200" s="102"/>
      <c r="F200" s="108"/>
      <c r="G200" s="102"/>
      <c r="H200" s="102"/>
      <c r="I200" s="109"/>
      <c r="J200" s="106"/>
      <c r="K200" s="107"/>
      <c r="L200" s="35"/>
      <c r="M200" s="36"/>
      <c r="N200" s="36"/>
      <c r="O200" s="36"/>
      <c r="P200" s="36"/>
      <c r="Q200" s="36"/>
      <c r="R200" s="36"/>
      <c r="S200" s="36"/>
      <c r="T200" s="36"/>
      <c r="U200" s="36"/>
      <c r="V200" s="36"/>
      <c r="W200" s="36"/>
      <c r="X200" s="25">
        <f t="shared" si="29"/>
        <v>0</v>
      </c>
      <c r="Y200" s="26">
        <f t="shared" si="30"/>
        <v>0</v>
      </c>
      <c r="Z200" s="26"/>
      <c r="AA200" s="27">
        <f t="shared" si="31"/>
        <v>0</v>
      </c>
      <c r="AB200" s="27">
        <f t="shared" si="32"/>
        <v>0</v>
      </c>
      <c r="AC200" s="28" t="str">
        <f>IFERROR(VLOOKUP($I200&amp;"|"&amp;$A200,Table2[],2,FALSE),"")</f>
        <v/>
      </c>
      <c r="AD200" s="29" t="str">
        <f>IFERROR(VLOOKUP($I200&amp;"|"&amp;$A200,Table2[],3,FALSE),"")</f>
        <v/>
      </c>
      <c r="AE200" s="28">
        <f t="shared" si="33"/>
        <v>0</v>
      </c>
      <c r="AF200" s="28" t="str">
        <f t="shared" si="34"/>
        <v/>
      </c>
      <c r="AG200" s="30" t="str">
        <f t="shared" si="35"/>
        <v/>
      </c>
      <c r="AH200" s="28" t="str">
        <f>IFERROR(VLOOKUP($I200&amp;"|"&amp;$A200,Table2[],4,FALSE),"")</f>
        <v/>
      </c>
      <c r="AI200" s="28" t="str">
        <f t="shared" si="36"/>
        <v/>
      </c>
      <c r="AJ200" s="31">
        <f t="shared" si="37"/>
        <v>0</v>
      </c>
      <c r="AK200" s="32">
        <f t="shared" si="41"/>
        <v>0</v>
      </c>
      <c r="AL200" s="33">
        <f t="shared" si="38"/>
        <v>0</v>
      </c>
      <c r="AM200" s="31">
        <f t="shared" si="39"/>
        <v>0</v>
      </c>
      <c r="AN200" s="32">
        <f t="shared" si="42"/>
        <v>0</v>
      </c>
      <c r="AO200" s="33">
        <f t="shared" si="40"/>
        <v>0</v>
      </c>
    </row>
    <row r="201" spans="1:41" s="43" customFormat="1" ht="27" customHeight="1" x14ac:dyDescent="0.25">
      <c r="A201" s="102"/>
      <c r="B201" s="22">
        <f>IFERROR(IF(VLOOKUP(A201,Table3[],MATCH('2023 sintesi '!I201,Table3[#Headers],0),0)=0,IFERROR(VLOOKUP($A201,Table1[],2,FALSE),0),VLOOKUP(A201,Table3[],MATCH('2023 sintesi '!I201,Table3[#Headers],0),0)),0)</f>
        <v>0</v>
      </c>
      <c r="C201" s="23">
        <f>IFERROR(VLOOKUP($A201,Table1[],3,FALSE),0)</f>
        <v>0</v>
      </c>
      <c r="D201" s="102"/>
      <c r="E201" s="102"/>
      <c r="F201" s="108"/>
      <c r="G201" s="102"/>
      <c r="H201" s="102"/>
      <c r="I201" s="105"/>
      <c r="J201" s="106"/>
      <c r="K201" s="112"/>
      <c r="L201" s="35"/>
      <c r="M201" s="36"/>
      <c r="N201" s="36"/>
      <c r="O201" s="36"/>
      <c r="P201" s="36"/>
      <c r="Q201" s="36"/>
      <c r="R201" s="36"/>
      <c r="S201" s="36"/>
      <c r="T201" s="36"/>
      <c r="U201" s="36"/>
      <c r="V201" s="36"/>
      <c r="W201" s="36"/>
      <c r="X201" s="25">
        <f t="shared" si="29"/>
        <v>0</v>
      </c>
      <c r="Y201" s="26">
        <f t="shared" si="30"/>
        <v>0</v>
      </c>
      <c r="Z201" s="26"/>
      <c r="AA201" s="27">
        <f t="shared" si="31"/>
        <v>0</v>
      </c>
      <c r="AB201" s="27">
        <f t="shared" si="32"/>
        <v>0</v>
      </c>
      <c r="AC201" s="28" t="str">
        <f>IFERROR(VLOOKUP($I201&amp;"|"&amp;$A201,Table2[],2,FALSE),"")</f>
        <v/>
      </c>
      <c r="AD201" s="29" t="str">
        <f>IFERROR(VLOOKUP($I201&amp;"|"&amp;$A201,Table2[],3,FALSE),"")</f>
        <v/>
      </c>
      <c r="AE201" s="28">
        <f t="shared" si="33"/>
        <v>0</v>
      </c>
      <c r="AF201" s="28" t="str">
        <f t="shared" si="34"/>
        <v/>
      </c>
      <c r="AG201" s="30" t="str">
        <f t="shared" si="35"/>
        <v/>
      </c>
      <c r="AH201" s="28" t="str">
        <f>IFERROR(VLOOKUP($I201&amp;"|"&amp;$A201,Table2[],4,FALSE),"")</f>
        <v/>
      </c>
      <c r="AI201" s="28" t="str">
        <f t="shared" si="36"/>
        <v/>
      </c>
      <c r="AJ201" s="31">
        <f t="shared" si="37"/>
        <v>0</v>
      </c>
      <c r="AK201" s="32">
        <f t="shared" si="41"/>
        <v>0</v>
      </c>
      <c r="AL201" s="33">
        <f t="shared" si="38"/>
        <v>0</v>
      </c>
      <c r="AM201" s="31">
        <f t="shared" si="39"/>
        <v>0</v>
      </c>
      <c r="AN201" s="32">
        <f t="shared" si="42"/>
        <v>0</v>
      </c>
      <c r="AO201" s="33">
        <f t="shared" si="40"/>
        <v>0</v>
      </c>
    </row>
    <row r="202" spans="1:41" s="43" customFormat="1" ht="27" customHeight="1" x14ac:dyDescent="0.25">
      <c r="A202" s="102"/>
      <c r="B202" s="22">
        <f>IFERROR(IF(VLOOKUP(A202,Table3[],MATCH('2023 sintesi '!I202,Table3[#Headers],0),0)=0,IFERROR(VLOOKUP($A202,Table1[],2,FALSE),0),VLOOKUP(A202,Table3[],MATCH('2023 sintesi '!I202,Table3[#Headers],0),0)),0)</f>
        <v>0</v>
      </c>
      <c r="C202" s="23">
        <f>IFERROR(VLOOKUP($A202,Table1[],3,FALSE),0)</f>
        <v>0</v>
      </c>
      <c r="D202" s="102"/>
      <c r="E202" s="102"/>
      <c r="F202" s="108"/>
      <c r="G202" s="102"/>
      <c r="H202" s="102"/>
      <c r="I202" s="105"/>
      <c r="J202" s="106"/>
      <c r="K202" s="112"/>
      <c r="L202" s="35"/>
      <c r="M202" s="36"/>
      <c r="N202" s="36"/>
      <c r="O202" s="36"/>
      <c r="P202" s="36"/>
      <c r="Q202" s="36"/>
      <c r="R202" s="36"/>
      <c r="S202" s="36"/>
      <c r="T202" s="36"/>
      <c r="U202" s="36"/>
      <c r="V202" s="36"/>
      <c r="W202" s="36"/>
      <c r="X202" s="25">
        <f t="shared" si="29"/>
        <v>0</v>
      </c>
      <c r="Y202" s="26">
        <f t="shared" si="30"/>
        <v>0</v>
      </c>
      <c r="Z202" s="26"/>
      <c r="AA202" s="27">
        <f t="shared" si="31"/>
        <v>0</v>
      </c>
      <c r="AB202" s="27">
        <f t="shared" si="32"/>
        <v>0</v>
      </c>
      <c r="AC202" s="28" t="str">
        <f>IFERROR(VLOOKUP($I202&amp;"|"&amp;$A202,Table2[],2,FALSE),"")</f>
        <v/>
      </c>
      <c r="AD202" s="29" t="str">
        <f>IFERROR(VLOOKUP($I202&amp;"|"&amp;$A202,Table2[],3,FALSE),"")</f>
        <v/>
      </c>
      <c r="AE202" s="28">
        <f t="shared" si="33"/>
        <v>0</v>
      </c>
      <c r="AF202" s="28" t="str">
        <f t="shared" si="34"/>
        <v/>
      </c>
      <c r="AG202" s="30" t="str">
        <f t="shared" si="35"/>
        <v/>
      </c>
      <c r="AH202" s="28" t="str">
        <f>IFERROR(VLOOKUP($I202&amp;"|"&amp;$A202,Table2[],4,FALSE),"")</f>
        <v/>
      </c>
      <c r="AI202" s="28" t="str">
        <f t="shared" si="36"/>
        <v/>
      </c>
      <c r="AJ202" s="31">
        <f t="shared" si="37"/>
        <v>0</v>
      </c>
      <c r="AK202" s="32">
        <f t="shared" si="41"/>
        <v>0</v>
      </c>
      <c r="AL202" s="33">
        <f t="shared" si="38"/>
        <v>0</v>
      </c>
      <c r="AM202" s="31">
        <f t="shared" si="39"/>
        <v>0</v>
      </c>
      <c r="AN202" s="32">
        <f t="shared" si="42"/>
        <v>0</v>
      </c>
      <c r="AO202" s="33">
        <f t="shared" si="40"/>
        <v>0</v>
      </c>
    </row>
    <row r="203" spans="1:41" s="43" customFormat="1" ht="27" customHeight="1" x14ac:dyDescent="0.25">
      <c r="A203" s="102"/>
      <c r="B203" s="22">
        <f>IFERROR(IF(VLOOKUP(A203,Table3[],MATCH('2023 sintesi '!I203,Table3[#Headers],0),0)=0,IFERROR(VLOOKUP($A203,Table1[],2,FALSE),0),VLOOKUP(A203,Table3[],MATCH('2023 sintesi '!I203,Table3[#Headers],0),0)),0)</f>
        <v>0</v>
      </c>
      <c r="C203" s="23">
        <f>IFERROR(VLOOKUP($A203,Table1[],3,FALSE),0)</f>
        <v>0</v>
      </c>
      <c r="D203" s="102"/>
      <c r="E203" s="102"/>
      <c r="F203" s="108"/>
      <c r="G203" s="102"/>
      <c r="H203" s="102"/>
      <c r="I203" s="105"/>
      <c r="J203" s="106"/>
      <c r="K203" s="112"/>
      <c r="L203" s="35"/>
      <c r="M203" s="36"/>
      <c r="N203" s="36"/>
      <c r="O203" s="36"/>
      <c r="P203" s="36"/>
      <c r="Q203" s="36"/>
      <c r="R203" s="36"/>
      <c r="S203" s="36"/>
      <c r="T203" s="36"/>
      <c r="U203" s="36"/>
      <c r="V203" s="36"/>
      <c r="W203" s="36"/>
      <c r="X203" s="25">
        <f t="shared" si="29"/>
        <v>0</v>
      </c>
      <c r="Y203" s="26">
        <f t="shared" si="30"/>
        <v>0</v>
      </c>
      <c r="Z203" s="26"/>
      <c r="AA203" s="27">
        <f t="shared" si="31"/>
        <v>0</v>
      </c>
      <c r="AB203" s="27">
        <f t="shared" si="32"/>
        <v>0</v>
      </c>
      <c r="AC203" s="28" t="str">
        <f>IFERROR(VLOOKUP($I203&amp;"|"&amp;$A203,Table2[],2,FALSE),"")</f>
        <v/>
      </c>
      <c r="AD203" s="29" t="str">
        <f>IFERROR(VLOOKUP($I203&amp;"|"&amp;$A203,Table2[],3,FALSE),"")</f>
        <v/>
      </c>
      <c r="AE203" s="28">
        <f t="shared" si="33"/>
        <v>0</v>
      </c>
      <c r="AF203" s="28" t="str">
        <f t="shared" si="34"/>
        <v/>
      </c>
      <c r="AG203" s="30" t="str">
        <f t="shared" si="35"/>
        <v/>
      </c>
      <c r="AH203" s="28" t="str">
        <f>IFERROR(VLOOKUP($I203&amp;"|"&amp;$A203,Table2[],4,FALSE),"")</f>
        <v/>
      </c>
      <c r="AI203" s="28" t="str">
        <f t="shared" si="36"/>
        <v/>
      </c>
      <c r="AJ203" s="31">
        <f t="shared" si="37"/>
        <v>0</v>
      </c>
      <c r="AK203" s="32">
        <f t="shared" si="41"/>
        <v>0</v>
      </c>
      <c r="AL203" s="33">
        <f t="shared" si="38"/>
        <v>0</v>
      </c>
      <c r="AM203" s="31">
        <f t="shared" si="39"/>
        <v>0</v>
      </c>
      <c r="AN203" s="32">
        <f t="shared" si="42"/>
        <v>0</v>
      </c>
      <c r="AO203" s="33">
        <f t="shared" si="40"/>
        <v>0</v>
      </c>
    </row>
    <row r="204" spans="1:41" s="43" customFormat="1" ht="27" customHeight="1" x14ac:dyDescent="0.25">
      <c r="A204" s="102"/>
      <c r="B204" s="22">
        <f>IFERROR(IF(VLOOKUP(A204,Table3[],MATCH('2023 sintesi '!I204,Table3[#Headers],0),0)=0,IFERROR(VLOOKUP($A204,Table1[],2,FALSE),0),VLOOKUP(A204,Table3[],MATCH('2023 sintesi '!I204,Table3[#Headers],0),0)),0)</f>
        <v>0</v>
      </c>
      <c r="C204" s="23">
        <f>IFERROR(VLOOKUP($A204,Table1[],3,FALSE),0)</f>
        <v>0</v>
      </c>
      <c r="D204" s="102"/>
      <c r="E204" s="102"/>
      <c r="F204" s="108"/>
      <c r="G204" s="102"/>
      <c r="H204" s="102"/>
      <c r="I204" s="105"/>
      <c r="J204" s="106"/>
      <c r="K204" s="112"/>
      <c r="L204" s="35"/>
      <c r="M204" s="36"/>
      <c r="N204" s="36"/>
      <c r="O204" s="36"/>
      <c r="P204" s="36"/>
      <c r="Q204" s="36"/>
      <c r="R204" s="36"/>
      <c r="S204" s="36"/>
      <c r="T204" s="36"/>
      <c r="U204" s="36"/>
      <c r="V204" s="36"/>
      <c r="W204" s="36"/>
      <c r="X204" s="25">
        <f t="shared" si="29"/>
        <v>0</v>
      </c>
      <c r="Y204" s="26">
        <f t="shared" si="30"/>
        <v>0</v>
      </c>
      <c r="Z204" s="26"/>
      <c r="AA204" s="27">
        <f t="shared" si="31"/>
        <v>0</v>
      </c>
      <c r="AB204" s="27">
        <f t="shared" si="32"/>
        <v>0</v>
      </c>
      <c r="AC204" s="28" t="str">
        <f>IFERROR(VLOOKUP($I204&amp;"|"&amp;$A204,Table2[],2,FALSE),"")</f>
        <v/>
      </c>
      <c r="AD204" s="29" t="str">
        <f>IFERROR(VLOOKUP($I204&amp;"|"&amp;$A204,Table2[],3,FALSE),"")</f>
        <v/>
      </c>
      <c r="AE204" s="28">
        <f t="shared" si="33"/>
        <v>0</v>
      </c>
      <c r="AF204" s="28" t="str">
        <f t="shared" si="34"/>
        <v/>
      </c>
      <c r="AG204" s="30" t="str">
        <f t="shared" si="35"/>
        <v/>
      </c>
      <c r="AH204" s="28" t="str">
        <f>IFERROR(VLOOKUP($I204&amp;"|"&amp;$A204,Table2[],4,FALSE),"")</f>
        <v/>
      </c>
      <c r="AI204" s="28" t="str">
        <f t="shared" si="36"/>
        <v/>
      </c>
      <c r="AJ204" s="31">
        <f t="shared" si="37"/>
        <v>0</v>
      </c>
      <c r="AK204" s="32">
        <f t="shared" si="41"/>
        <v>0</v>
      </c>
      <c r="AL204" s="33">
        <f t="shared" si="38"/>
        <v>0</v>
      </c>
      <c r="AM204" s="31">
        <f t="shared" si="39"/>
        <v>0</v>
      </c>
      <c r="AN204" s="32">
        <f t="shared" si="42"/>
        <v>0</v>
      </c>
      <c r="AO204" s="33">
        <f t="shared" si="40"/>
        <v>0</v>
      </c>
    </row>
    <row r="205" spans="1:41" s="43" customFormat="1" ht="27" customHeight="1" x14ac:dyDescent="0.25">
      <c r="A205" s="102"/>
      <c r="B205" s="22">
        <f>IFERROR(IF(VLOOKUP(A205,Table3[],MATCH('2023 sintesi '!I205,Table3[#Headers],0),0)=0,IFERROR(VLOOKUP($A205,Table1[],2,FALSE),0),VLOOKUP(A205,Table3[],MATCH('2023 sintesi '!I205,Table3[#Headers],0),0)),0)</f>
        <v>0</v>
      </c>
      <c r="C205" s="23">
        <f>IFERROR(VLOOKUP($A205,Table1[],3,FALSE),0)</f>
        <v>0</v>
      </c>
      <c r="D205" s="102"/>
      <c r="E205" s="102"/>
      <c r="F205" s="104"/>
      <c r="G205" s="102"/>
      <c r="H205" s="102"/>
      <c r="I205" s="105"/>
      <c r="J205" s="106"/>
      <c r="K205" s="112"/>
      <c r="L205" s="35"/>
      <c r="M205" s="36"/>
      <c r="N205" s="36"/>
      <c r="O205" s="36"/>
      <c r="P205" s="36"/>
      <c r="Q205" s="36"/>
      <c r="R205" s="36"/>
      <c r="S205" s="36"/>
      <c r="T205" s="36"/>
      <c r="U205" s="36"/>
      <c r="V205" s="36"/>
      <c r="W205" s="36"/>
      <c r="X205" s="25">
        <f t="shared" si="29"/>
        <v>0</v>
      </c>
      <c r="Y205" s="26">
        <f t="shared" si="30"/>
        <v>0</v>
      </c>
      <c r="Z205" s="26"/>
      <c r="AA205" s="27">
        <f t="shared" si="31"/>
        <v>0</v>
      </c>
      <c r="AB205" s="27">
        <f t="shared" si="32"/>
        <v>0</v>
      </c>
      <c r="AC205" s="28" t="str">
        <f>IFERROR(VLOOKUP($I205&amp;"|"&amp;$A205,Table2[],2,FALSE),"")</f>
        <v/>
      </c>
      <c r="AD205" s="29" t="str">
        <f>IFERROR(VLOOKUP($I205&amp;"|"&amp;$A205,Table2[],3,FALSE),"")</f>
        <v/>
      </c>
      <c r="AE205" s="28">
        <f t="shared" si="33"/>
        <v>0</v>
      </c>
      <c r="AF205" s="28" t="str">
        <f t="shared" si="34"/>
        <v/>
      </c>
      <c r="AG205" s="30" t="str">
        <f t="shared" si="35"/>
        <v/>
      </c>
      <c r="AH205" s="28" t="str">
        <f>IFERROR(VLOOKUP($I205&amp;"|"&amp;$A205,Table2[],4,FALSE),"")</f>
        <v/>
      </c>
      <c r="AI205" s="28" t="str">
        <f t="shared" si="36"/>
        <v/>
      </c>
      <c r="AJ205" s="31">
        <f t="shared" si="37"/>
        <v>0</v>
      </c>
      <c r="AK205" s="32">
        <f t="shared" si="41"/>
        <v>0</v>
      </c>
      <c r="AL205" s="33">
        <f t="shared" si="38"/>
        <v>0</v>
      </c>
      <c r="AM205" s="31">
        <f t="shared" si="39"/>
        <v>0</v>
      </c>
      <c r="AN205" s="32">
        <f t="shared" si="42"/>
        <v>0</v>
      </c>
      <c r="AO205" s="33">
        <f t="shared" si="40"/>
        <v>0</v>
      </c>
    </row>
    <row r="206" spans="1:41" s="14" customFormat="1" ht="27" customHeight="1" x14ac:dyDescent="0.25">
      <c r="A206" s="102"/>
      <c r="B206" s="22">
        <f>IFERROR(IF(VLOOKUP(A206,Table3[],MATCH('2023 sintesi '!I206,Table3[#Headers],0),0)=0,IFERROR(VLOOKUP($A206,Table1[],2,FALSE),0),VLOOKUP(A206,Table3[],MATCH('2023 sintesi '!I206,Table3[#Headers],0),0)),0)</f>
        <v>0</v>
      </c>
      <c r="C206" s="23">
        <f>IFERROR(VLOOKUP($A206,Table1[],3,FALSE),0)</f>
        <v>0</v>
      </c>
      <c r="D206" s="102"/>
      <c r="E206" s="102"/>
      <c r="F206" s="104"/>
      <c r="G206" s="102"/>
      <c r="H206" s="102"/>
      <c r="I206" s="105"/>
      <c r="J206" s="106"/>
      <c r="K206" s="112"/>
      <c r="L206" s="35"/>
      <c r="M206" s="36"/>
      <c r="N206" s="36"/>
      <c r="O206" s="36"/>
      <c r="P206" s="36"/>
      <c r="Q206" s="36"/>
      <c r="R206" s="36"/>
      <c r="S206" s="36"/>
      <c r="T206" s="36"/>
      <c r="U206" s="36"/>
      <c r="V206" s="36"/>
      <c r="W206" s="36"/>
      <c r="X206" s="25">
        <f t="shared" si="29"/>
        <v>0</v>
      </c>
      <c r="Y206" s="26">
        <f t="shared" si="30"/>
        <v>0</v>
      </c>
      <c r="Z206" s="26"/>
      <c r="AA206" s="27">
        <f t="shared" si="31"/>
        <v>0</v>
      </c>
      <c r="AB206" s="27">
        <f t="shared" si="32"/>
        <v>0</v>
      </c>
      <c r="AC206" s="28" t="str">
        <f>IFERROR(VLOOKUP($I206&amp;"|"&amp;$A206,Table2[],2,FALSE),"")</f>
        <v/>
      </c>
      <c r="AD206" s="29" t="str">
        <f>IFERROR(VLOOKUP($I206&amp;"|"&amp;$A206,Table2[],3,FALSE),"")</f>
        <v/>
      </c>
      <c r="AE206" s="28">
        <f t="shared" si="33"/>
        <v>0</v>
      </c>
      <c r="AF206" s="28" t="str">
        <f t="shared" si="34"/>
        <v/>
      </c>
      <c r="AG206" s="30" t="str">
        <f t="shared" si="35"/>
        <v/>
      </c>
      <c r="AH206" s="28" t="str">
        <f>IFERROR(VLOOKUP($I206&amp;"|"&amp;$A206,Table2[],4,FALSE),"")</f>
        <v/>
      </c>
      <c r="AI206" s="28" t="str">
        <f t="shared" si="36"/>
        <v/>
      </c>
      <c r="AJ206" s="31">
        <f t="shared" si="37"/>
        <v>0</v>
      </c>
      <c r="AK206" s="32">
        <f t="shared" si="41"/>
        <v>0</v>
      </c>
      <c r="AL206" s="33">
        <f t="shared" si="38"/>
        <v>0</v>
      </c>
      <c r="AM206" s="31">
        <f t="shared" si="39"/>
        <v>0</v>
      </c>
      <c r="AN206" s="32">
        <f t="shared" si="42"/>
        <v>0</v>
      </c>
      <c r="AO206" s="33">
        <f t="shared" si="40"/>
        <v>0</v>
      </c>
    </row>
    <row r="207" spans="1:41" s="14" customFormat="1" ht="27" customHeight="1" x14ac:dyDescent="0.25">
      <c r="A207" s="102"/>
      <c r="B207" s="22">
        <f>IFERROR(IF(VLOOKUP(A207,Table3[],MATCH('2023 sintesi '!I207,Table3[#Headers],0),0)=0,IFERROR(VLOOKUP($A207,Table1[],2,FALSE),0),VLOOKUP(A207,Table3[],MATCH('2023 sintesi '!I207,Table3[#Headers],0),0)),0)</f>
        <v>0</v>
      </c>
      <c r="C207" s="23">
        <f>IFERROR(VLOOKUP($A207,Table1[],3,FALSE),0)</f>
        <v>0</v>
      </c>
      <c r="D207" s="102"/>
      <c r="E207" s="102"/>
      <c r="F207" s="104"/>
      <c r="G207" s="102"/>
      <c r="H207" s="102"/>
      <c r="I207" s="105"/>
      <c r="J207" s="106"/>
      <c r="K207" s="112"/>
      <c r="L207" s="35"/>
      <c r="M207" s="36"/>
      <c r="N207" s="36"/>
      <c r="O207" s="36"/>
      <c r="P207" s="36"/>
      <c r="Q207" s="36"/>
      <c r="R207" s="36"/>
      <c r="S207" s="36"/>
      <c r="T207" s="36"/>
      <c r="U207" s="36"/>
      <c r="V207" s="36"/>
      <c r="W207" s="36"/>
      <c r="X207" s="25">
        <f t="shared" si="29"/>
        <v>0</v>
      </c>
      <c r="Y207" s="26">
        <f t="shared" si="30"/>
        <v>0</v>
      </c>
      <c r="Z207" s="26"/>
      <c r="AA207" s="27">
        <f t="shared" si="31"/>
        <v>0</v>
      </c>
      <c r="AB207" s="27">
        <f t="shared" si="32"/>
        <v>0</v>
      </c>
      <c r="AC207" s="28" t="str">
        <f>IFERROR(VLOOKUP($I207&amp;"|"&amp;$A207,Table2[],2,FALSE),"")</f>
        <v/>
      </c>
      <c r="AD207" s="29" t="str">
        <f>IFERROR(VLOOKUP($I207&amp;"|"&amp;$A207,Table2[],3,FALSE),"")</f>
        <v/>
      </c>
      <c r="AE207" s="28">
        <f t="shared" si="33"/>
        <v>0</v>
      </c>
      <c r="AF207" s="28" t="str">
        <f t="shared" si="34"/>
        <v/>
      </c>
      <c r="AG207" s="30" t="str">
        <f t="shared" si="35"/>
        <v/>
      </c>
      <c r="AH207" s="28" t="str">
        <f>IFERROR(VLOOKUP($I207&amp;"|"&amp;$A207,Table2[],4,FALSE),"")</f>
        <v/>
      </c>
      <c r="AI207" s="28" t="str">
        <f t="shared" si="36"/>
        <v/>
      </c>
      <c r="AJ207" s="31">
        <f t="shared" si="37"/>
        <v>0</v>
      </c>
      <c r="AK207" s="32">
        <f t="shared" si="41"/>
        <v>0</v>
      </c>
      <c r="AL207" s="33">
        <f t="shared" si="38"/>
        <v>0</v>
      </c>
      <c r="AM207" s="31">
        <f t="shared" si="39"/>
        <v>0</v>
      </c>
      <c r="AN207" s="32">
        <f t="shared" si="42"/>
        <v>0</v>
      </c>
      <c r="AO207" s="33">
        <f t="shared" si="40"/>
        <v>0</v>
      </c>
    </row>
    <row r="208" spans="1:41" s="14" customFormat="1" ht="27" customHeight="1" x14ac:dyDescent="0.25">
      <c r="A208" s="102"/>
      <c r="B208" s="22">
        <f>IFERROR(IF(VLOOKUP(A208,Table3[],MATCH('2023 sintesi '!I208,Table3[#Headers],0),0)=0,IFERROR(VLOOKUP($A208,Table1[],2,FALSE),0),VLOOKUP(A208,Table3[],MATCH('2023 sintesi '!I208,Table3[#Headers],0),0)),0)</f>
        <v>0</v>
      </c>
      <c r="C208" s="23">
        <f>IFERROR(VLOOKUP($A208,Table1[],3,FALSE),0)</f>
        <v>0</v>
      </c>
      <c r="D208" s="102"/>
      <c r="E208" s="102"/>
      <c r="F208" s="104"/>
      <c r="G208" s="102"/>
      <c r="H208" s="102"/>
      <c r="I208" s="105"/>
      <c r="J208" s="106"/>
      <c r="K208" s="112"/>
      <c r="L208" s="47"/>
      <c r="M208" s="36"/>
      <c r="N208" s="36"/>
      <c r="O208" s="36"/>
      <c r="P208" s="36"/>
      <c r="Q208" s="36"/>
      <c r="R208" s="36"/>
      <c r="S208" s="36"/>
      <c r="T208" s="36"/>
      <c r="U208" s="36"/>
      <c r="V208" s="36"/>
      <c r="W208" s="36"/>
      <c r="X208" s="25">
        <f t="shared" si="29"/>
        <v>0</v>
      </c>
      <c r="Y208" s="26">
        <f t="shared" si="30"/>
        <v>0</v>
      </c>
      <c r="Z208" s="26"/>
      <c r="AA208" s="27">
        <f t="shared" si="31"/>
        <v>0</v>
      </c>
      <c r="AB208" s="27">
        <f t="shared" si="32"/>
        <v>0</v>
      </c>
      <c r="AC208" s="28" t="str">
        <f>IFERROR(VLOOKUP($I208&amp;"|"&amp;$A208,Table2[],2,FALSE),"")</f>
        <v/>
      </c>
      <c r="AD208" s="29" t="str">
        <f>IFERROR(VLOOKUP($I208&amp;"|"&amp;$A208,Table2[],3,FALSE),"")</f>
        <v/>
      </c>
      <c r="AE208" s="28">
        <f t="shared" si="33"/>
        <v>0</v>
      </c>
      <c r="AF208" s="28" t="str">
        <f t="shared" si="34"/>
        <v/>
      </c>
      <c r="AG208" s="30" t="str">
        <f t="shared" si="35"/>
        <v/>
      </c>
      <c r="AH208" s="28" t="str">
        <f>IFERROR(VLOOKUP($I208&amp;"|"&amp;$A208,Table2[],4,FALSE),"")</f>
        <v/>
      </c>
      <c r="AI208" s="28" t="str">
        <f t="shared" si="36"/>
        <v/>
      </c>
      <c r="AJ208" s="31">
        <f t="shared" si="37"/>
        <v>0</v>
      </c>
      <c r="AK208" s="32">
        <f t="shared" si="41"/>
        <v>0</v>
      </c>
      <c r="AL208" s="33">
        <f t="shared" si="38"/>
        <v>0</v>
      </c>
      <c r="AM208" s="31">
        <f t="shared" si="39"/>
        <v>0</v>
      </c>
      <c r="AN208" s="32">
        <f t="shared" si="42"/>
        <v>0</v>
      </c>
      <c r="AO208" s="33">
        <f t="shared" si="40"/>
        <v>0</v>
      </c>
    </row>
    <row r="209" spans="1:41" s="14" customFormat="1" ht="27" customHeight="1" x14ac:dyDescent="0.25">
      <c r="A209" s="102"/>
      <c r="B209" s="22">
        <f>IFERROR(IF(VLOOKUP(A209,Table3[],MATCH('2023 sintesi '!I209,Table3[#Headers],0),0)=0,IFERROR(VLOOKUP($A209,Table1[],2,FALSE),0),VLOOKUP(A209,Table3[],MATCH('2023 sintesi '!I209,Table3[#Headers],0),0)),0)</f>
        <v>0</v>
      </c>
      <c r="C209" s="23">
        <f>IFERROR(VLOOKUP($A209,Table1[],3,FALSE),0)</f>
        <v>0</v>
      </c>
      <c r="D209" s="102"/>
      <c r="E209" s="102"/>
      <c r="F209" s="104"/>
      <c r="G209" s="102"/>
      <c r="H209" s="102"/>
      <c r="I209" s="105"/>
      <c r="J209" s="106"/>
      <c r="K209" s="112"/>
      <c r="L209" s="47"/>
      <c r="M209" s="48"/>
      <c r="N209" s="48"/>
      <c r="O209" s="48"/>
      <c r="P209" s="48"/>
      <c r="Q209" s="48"/>
      <c r="R209" s="48"/>
      <c r="S209" s="48"/>
      <c r="T209" s="48"/>
      <c r="U209" s="48"/>
      <c r="V209" s="48"/>
      <c r="W209" s="48"/>
      <c r="X209" s="25">
        <f t="shared" si="29"/>
        <v>0</v>
      </c>
      <c r="Y209" s="26">
        <f t="shared" si="30"/>
        <v>0</v>
      </c>
      <c r="Z209" s="26"/>
      <c r="AA209" s="27">
        <f t="shared" si="31"/>
        <v>0</v>
      </c>
      <c r="AB209" s="27">
        <f t="shared" si="32"/>
        <v>0</v>
      </c>
      <c r="AC209" s="28" t="str">
        <f>IFERROR(VLOOKUP($I209&amp;"|"&amp;$A209,Table2[],2,FALSE),"")</f>
        <v/>
      </c>
      <c r="AD209" s="29" t="str">
        <f>IFERROR(VLOOKUP($I209&amp;"|"&amp;$A209,Table2[],3,FALSE),"")</f>
        <v/>
      </c>
      <c r="AE209" s="28">
        <f t="shared" si="33"/>
        <v>0</v>
      </c>
      <c r="AF209" s="28" t="str">
        <f t="shared" si="34"/>
        <v/>
      </c>
      <c r="AG209" s="30" t="str">
        <f t="shared" si="35"/>
        <v/>
      </c>
      <c r="AH209" s="28" t="str">
        <f>IFERROR(VLOOKUP($I209&amp;"|"&amp;$A209,Table2[],4,FALSE),"")</f>
        <v/>
      </c>
      <c r="AI209" s="28" t="str">
        <f t="shared" si="36"/>
        <v/>
      </c>
      <c r="AJ209" s="31">
        <f t="shared" si="37"/>
        <v>0</v>
      </c>
      <c r="AK209" s="32">
        <f t="shared" si="41"/>
        <v>0</v>
      </c>
      <c r="AL209" s="33">
        <f t="shared" si="38"/>
        <v>0</v>
      </c>
      <c r="AM209" s="31">
        <f t="shared" si="39"/>
        <v>0</v>
      </c>
      <c r="AN209" s="32">
        <f t="shared" si="42"/>
        <v>0</v>
      </c>
      <c r="AO209" s="33">
        <f t="shared" si="40"/>
        <v>0</v>
      </c>
    </row>
    <row r="210" spans="1:41" s="14" customFormat="1" ht="27" customHeight="1" x14ac:dyDescent="0.25">
      <c r="A210" s="102"/>
      <c r="B210" s="22">
        <f>IFERROR(IF(VLOOKUP(A210,Table3[],MATCH('2023 sintesi '!I210,Table3[#Headers],0),0)=0,IFERROR(VLOOKUP($A210,Table1[],2,FALSE),0),VLOOKUP(A210,Table3[],MATCH('2023 sintesi '!I210,Table3[#Headers],0),0)),0)</f>
        <v>0</v>
      </c>
      <c r="C210" s="23">
        <f>IFERROR(VLOOKUP($A210,Table1[],3,FALSE),0)</f>
        <v>0</v>
      </c>
      <c r="D210" s="102"/>
      <c r="E210" s="102"/>
      <c r="F210" s="104"/>
      <c r="G210" s="102"/>
      <c r="H210" s="102"/>
      <c r="I210" s="105"/>
      <c r="J210" s="106"/>
      <c r="K210" s="112"/>
      <c r="L210" s="47"/>
      <c r="M210" s="48"/>
      <c r="N210" s="48"/>
      <c r="O210" s="48"/>
      <c r="P210" s="48"/>
      <c r="Q210" s="48"/>
      <c r="R210" s="48"/>
      <c r="S210" s="48"/>
      <c r="T210" s="48"/>
      <c r="U210" s="48"/>
      <c r="V210" s="48"/>
      <c r="W210" s="48"/>
      <c r="X210" s="25">
        <f t="shared" si="29"/>
        <v>0</v>
      </c>
      <c r="Y210" s="26">
        <f t="shared" si="30"/>
        <v>0</v>
      </c>
      <c r="Z210" s="26"/>
      <c r="AA210" s="27">
        <f t="shared" si="31"/>
        <v>0</v>
      </c>
      <c r="AB210" s="27">
        <f t="shared" si="32"/>
        <v>0</v>
      </c>
      <c r="AC210" s="28" t="str">
        <f>IFERROR(VLOOKUP($I210&amp;"|"&amp;$A210,Table2[],2,FALSE),"")</f>
        <v/>
      </c>
      <c r="AD210" s="29" t="str">
        <f>IFERROR(VLOOKUP($I210&amp;"|"&amp;$A210,Table2[],3,FALSE),"")</f>
        <v/>
      </c>
      <c r="AE210" s="28">
        <f t="shared" si="33"/>
        <v>0</v>
      </c>
      <c r="AF210" s="28" t="str">
        <f t="shared" si="34"/>
        <v/>
      </c>
      <c r="AG210" s="30" t="str">
        <f t="shared" si="35"/>
        <v/>
      </c>
      <c r="AH210" s="28" t="str">
        <f>IFERROR(VLOOKUP($I210&amp;"|"&amp;$A210,Table2[],4,FALSE),"")</f>
        <v/>
      </c>
      <c r="AI210" s="28" t="str">
        <f t="shared" si="36"/>
        <v/>
      </c>
      <c r="AJ210" s="31">
        <f t="shared" si="37"/>
        <v>0</v>
      </c>
      <c r="AK210" s="32">
        <f t="shared" si="41"/>
        <v>0</v>
      </c>
      <c r="AL210" s="33">
        <f t="shared" si="38"/>
        <v>0</v>
      </c>
      <c r="AM210" s="31">
        <f t="shared" si="39"/>
        <v>0</v>
      </c>
      <c r="AN210" s="32">
        <f t="shared" si="42"/>
        <v>0</v>
      </c>
      <c r="AO210" s="33">
        <f t="shared" si="40"/>
        <v>0</v>
      </c>
    </row>
    <row r="211" spans="1:41" s="14" customFormat="1" ht="27" customHeight="1" x14ac:dyDescent="0.25">
      <c r="A211" s="103"/>
      <c r="B211" s="22">
        <f>IFERROR(IF(VLOOKUP(A211,Table3[],MATCH('2023 sintesi '!I211,Table3[#Headers],0),0)=0,IFERROR(VLOOKUP($A211,Table1[],2,FALSE),0),VLOOKUP(A211,Table3[],MATCH('2023 sintesi '!I211,Table3[#Headers],0),0)),0)</f>
        <v>0</v>
      </c>
      <c r="C211" s="23">
        <f>IFERROR(VLOOKUP($A211,Table1[],3,FALSE),0)</f>
        <v>0</v>
      </c>
      <c r="D211" s="102"/>
      <c r="E211" s="102"/>
      <c r="F211" s="104"/>
      <c r="G211" s="102"/>
      <c r="H211" s="102"/>
      <c r="I211" s="105"/>
      <c r="J211" s="106"/>
      <c r="K211" s="112"/>
      <c r="L211" s="47"/>
      <c r="M211" s="48"/>
      <c r="N211" s="48"/>
      <c r="O211" s="48"/>
      <c r="P211" s="48"/>
      <c r="Q211" s="48"/>
      <c r="R211" s="48"/>
      <c r="S211" s="48"/>
      <c r="T211" s="48"/>
      <c r="U211" s="48"/>
      <c r="V211" s="48"/>
      <c r="W211" s="48"/>
      <c r="X211" s="25">
        <f t="shared" si="29"/>
        <v>0</v>
      </c>
      <c r="Y211" s="26">
        <f t="shared" si="30"/>
        <v>0</v>
      </c>
      <c r="Z211" s="26"/>
      <c r="AA211" s="27">
        <f t="shared" si="31"/>
        <v>0</v>
      </c>
      <c r="AB211" s="27">
        <f t="shared" si="32"/>
        <v>0</v>
      </c>
      <c r="AC211" s="28" t="str">
        <f>IFERROR(VLOOKUP($I211&amp;"|"&amp;$A211,Table2[],2,FALSE),"")</f>
        <v/>
      </c>
      <c r="AD211" s="29" t="str">
        <f>IFERROR(VLOOKUP($I211&amp;"|"&amp;$A211,Table2[],3,FALSE),"")</f>
        <v/>
      </c>
      <c r="AE211" s="28">
        <f t="shared" si="33"/>
        <v>0</v>
      </c>
      <c r="AF211" s="28" t="str">
        <f t="shared" si="34"/>
        <v/>
      </c>
      <c r="AG211" s="30" t="str">
        <f t="shared" si="35"/>
        <v/>
      </c>
      <c r="AH211" s="28" t="str">
        <f>IFERROR(VLOOKUP($I211&amp;"|"&amp;$A211,Table2[],4,FALSE),"")</f>
        <v/>
      </c>
      <c r="AI211" s="28" t="str">
        <f t="shared" si="36"/>
        <v/>
      </c>
      <c r="AJ211" s="31">
        <f t="shared" si="37"/>
        <v>0</v>
      </c>
      <c r="AK211" s="32">
        <f t="shared" si="41"/>
        <v>0</v>
      </c>
      <c r="AL211" s="33">
        <f t="shared" si="38"/>
        <v>0</v>
      </c>
      <c r="AM211" s="31">
        <f t="shared" si="39"/>
        <v>0</v>
      </c>
      <c r="AN211" s="32">
        <f t="shared" si="42"/>
        <v>0</v>
      </c>
      <c r="AO211" s="33">
        <f t="shared" si="40"/>
        <v>0</v>
      </c>
    </row>
    <row r="212" spans="1:41" s="14" customFormat="1" ht="27" customHeight="1" x14ac:dyDescent="0.25">
      <c r="A212" s="103"/>
      <c r="B212" s="22">
        <f>IFERROR(IF(VLOOKUP(A212,Table3[],MATCH('2023 sintesi '!I212,Table3[#Headers],0),0)=0,IFERROR(VLOOKUP($A212,Table1[],2,FALSE),0),VLOOKUP(A212,Table3[],MATCH('2023 sintesi '!I212,Table3[#Headers],0),0)),0)</f>
        <v>0</v>
      </c>
      <c r="C212" s="23">
        <f>IFERROR(VLOOKUP($A212,Table1[],3,FALSE),0)</f>
        <v>0</v>
      </c>
      <c r="D212" s="102"/>
      <c r="E212" s="102"/>
      <c r="F212" s="104"/>
      <c r="G212" s="102"/>
      <c r="H212" s="102"/>
      <c r="I212" s="105"/>
      <c r="J212" s="106"/>
      <c r="K212" s="112"/>
      <c r="L212" s="47"/>
      <c r="M212" s="48"/>
      <c r="N212" s="48"/>
      <c r="O212" s="48"/>
      <c r="P212" s="48"/>
      <c r="Q212" s="48"/>
      <c r="R212" s="48"/>
      <c r="S212" s="48"/>
      <c r="T212" s="48"/>
      <c r="U212" s="48"/>
      <c r="V212" s="48"/>
      <c r="W212" s="48"/>
      <c r="X212" s="25">
        <f t="shared" ref="X212:X226" si="43">IF($K212="ORE",SUM(L212:W212)/147,0)</f>
        <v>0</v>
      </c>
      <c r="Y212" s="26">
        <f t="shared" ref="Y212:Y226" si="44" xml:space="preserve"> IF($K212="ORE",SUM(L212:W212),0)</f>
        <v>0</v>
      </c>
      <c r="Z212" s="26"/>
      <c r="AA212" s="27">
        <f t="shared" ref="AA212:AA226" si="45">$Y212*$B212</f>
        <v>0</v>
      </c>
      <c r="AB212" s="27">
        <f t="shared" ref="AB212:AB226" si="46">IF($K212="LUMP SUM",SUM(L212:W212),0)</f>
        <v>0</v>
      </c>
      <c r="AC212" s="28" t="str">
        <f>IFERROR(VLOOKUP($I212&amp;"|"&amp;$A212,Table2[],2,FALSE),"")</f>
        <v/>
      </c>
      <c r="AD212" s="29" t="str">
        <f>IFERROR(VLOOKUP($I212&amp;"|"&amp;$A212,Table2[],3,FALSE),"")</f>
        <v/>
      </c>
      <c r="AE212" s="28">
        <f t="shared" ref="AE212:AE226" si="47">COUNTIFS($A$19:$A$226,A212,$I$19:$I$226,I212)</f>
        <v>0</v>
      </c>
      <c r="AF212" s="28" t="str">
        <f t="shared" ref="AF212:AF226" si="48">IFERROR(AC212/AE212,"")</f>
        <v/>
      </c>
      <c r="AG212" s="30" t="str">
        <f t="shared" ref="AG212:AG226" si="49">IFERROR(AD212/AE212,"")</f>
        <v/>
      </c>
      <c r="AH212" s="28" t="str">
        <f>IFERROR(VLOOKUP($I212&amp;"|"&amp;$A212,Table2[],4,FALSE),"")</f>
        <v/>
      </c>
      <c r="AI212" s="28" t="str">
        <f t="shared" ref="AI212:AI226" si="50">IFERROR(AH212/AE212,"")</f>
        <v/>
      </c>
      <c r="AJ212" s="31">
        <f t="shared" ref="AJ212:AJ226" si="51">IF($K212="ORE",SUM(Q212:W212),0)</f>
        <v>0</v>
      </c>
      <c r="AK212" s="32">
        <f t="shared" si="41"/>
        <v>0</v>
      </c>
      <c r="AL212" s="33">
        <f t="shared" ref="AL212:AL226" si="52">IF($K212="LUMP SUM",SUM(Q212:W212),0)</f>
        <v>0</v>
      </c>
      <c r="AM212" s="31">
        <f t="shared" ref="AM212:AM226" si="53">IF($K212="ORE",SUM(L212:P212),0)</f>
        <v>0</v>
      </c>
      <c r="AN212" s="32">
        <f t="shared" si="42"/>
        <v>0</v>
      </c>
      <c r="AO212" s="33">
        <f t="shared" ref="AO212:AO226" si="54">IF($K212="LUMP SUM",SUM(L212:P212),0)</f>
        <v>0</v>
      </c>
    </row>
    <row r="213" spans="1:41" s="14" customFormat="1" ht="27" customHeight="1" x14ac:dyDescent="0.25">
      <c r="A213" s="102"/>
      <c r="B213" s="22">
        <f>IFERROR(IF(VLOOKUP(A213,Table3[],MATCH('2023 sintesi '!I213,Table3[#Headers],0),0)=0,IFERROR(VLOOKUP($A213,Table1[],2,FALSE),0),VLOOKUP(A213,Table3[],MATCH('2023 sintesi '!I213,Table3[#Headers],0),0)),0)</f>
        <v>0</v>
      </c>
      <c r="C213" s="23">
        <f>IFERROR(VLOOKUP($A213,Table1[],3,FALSE),0)</f>
        <v>0</v>
      </c>
      <c r="D213" s="102"/>
      <c r="E213" s="102"/>
      <c r="F213" s="104"/>
      <c r="G213" s="102"/>
      <c r="H213" s="102"/>
      <c r="I213" s="105"/>
      <c r="J213" s="106"/>
      <c r="K213" s="112"/>
      <c r="L213" s="47"/>
      <c r="M213" s="36"/>
      <c r="N213" s="36"/>
      <c r="O213" s="36"/>
      <c r="P213" s="36"/>
      <c r="Q213" s="36"/>
      <c r="R213" s="36"/>
      <c r="S213" s="36"/>
      <c r="T213" s="36"/>
      <c r="U213" s="36"/>
      <c r="V213" s="36"/>
      <c r="W213" s="36"/>
      <c r="X213" s="25">
        <f t="shared" si="43"/>
        <v>0</v>
      </c>
      <c r="Y213" s="26">
        <f t="shared" si="44"/>
        <v>0</v>
      </c>
      <c r="Z213" s="26"/>
      <c r="AA213" s="27">
        <f t="shared" si="45"/>
        <v>0</v>
      </c>
      <c r="AB213" s="27">
        <f t="shared" si="46"/>
        <v>0</v>
      </c>
      <c r="AC213" s="28" t="str">
        <f>IFERROR(VLOOKUP($I213&amp;"|"&amp;$A213,Table2[],2,FALSE),"")</f>
        <v/>
      </c>
      <c r="AD213" s="29" t="str">
        <f>IFERROR(VLOOKUP($I213&amp;"|"&amp;$A213,Table2[],3,FALSE),"")</f>
        <v/>
      </c>
      <c r="AE213" s="28">
        <f t="shared" si="47"/>
        <v>0</v>
      </c>
      <c r="AF213" s="28" t="str">
        <f t="shared" si="48"/>
        <v/>
      </c>
      <c r="AG213" s="30" t="str">
        <f t="shared" si="49"/>
        <v/>
      </c>
      <c r="AH213" s="28" t="str">
        <f>IFERROR(VLOOKUP($I213&amp;"|"&amp;$A213,Table2[],4,FALSE),"")</f>
        <v/>
      </c>
      <c r="AI213" s="28" t="str">
        <f t="shared" si="50"/>
        <v/>
      </c>
      <c r="AJ213" s="31">
        <f t="shared" si="51"/>
        <v>0</v>
      </c>
      <c r="AK213" s="32">
        <f t="shared" si="41"/>
        <v>0</v>
      </c>
      <c r="AL213" s="33">
        <f t="shared" si="52"/>
        <v>0</v>
      </c>
      <c r="AM213" s="31">
        <f t="shared" si="53"/>
        <v>0</v>
      </c>
      <c r="AN213" s="32">
        <f t="shared" si="42"/>
        <v>0</v>
      </c>
      <c r="AO213" s="33">
        <f t="shared" si="54"/>
        <v>0</v>
      </c>
    </row>
    <row r="214" spans="1:41" s="14" customFormat="1" ht="27" customHeight="1" x14ac:dyDescent="0.25">
      <c r="A214" s="102"/>
      <c r="B214" s="22">
        <f>IFERROR(IF(VLOOKUP(A214,Table3[],MATCH('2023 sintesi '!I214,Table3[#Headers],0),0)=0,IFERROR(VLOOKUP($A214,Table1[],2,FALSE),0),VLOOKUP(A214,Table3[],MATCH('2023 sintesi '!I214,Table3[#Headers],0),0)),0)</f>
        <v>0</v>
      </c>
      <c r="C214" s="23">
        <f>IFERROR(VLOOKUP($A214,Table1[],3,FALSE),0)</f>
        <v>0</v>
      </c>
      <c r="D214" s="102"/>
      <c r="E214" s="102"/>
      <c r="F214" s="104"/>
      <c r="G214" s="102"/>
      <c r="H214" s="102"/>
      <c r="I214" s="105"/>
      <c r="J214" s="106"/>
      <c r="K214" s="112"/>
      <c r="L214" s="47"/>
      <c r="M214" s="36"/>
      <c r="N214" s="36"/>
      <c r="O214" s="36"/>
      <c r="P214" s="36"/>
      <c r="Q214" s="36"/>
      <c r="R214" s="36"/>
      <c r="S214" s="36"/>
      <c r="T214" s="36"/>
      <c r="U214" s="36"/>
      <c r="V214" s="36"/>
      <c r="W214" s="36"/>
      <c r="X214" s="25">
        <f t="shared" si="43"/>
        <v>0</v>
      </c>
      <c r="Y214" s="26">
        <f t="shared" si="44"/>
        <v>0</v>
      </c>
      <c r="Z214" s="26"/>
      <c r="AA214" s="27">
        <f t="shared" si="45"/>
        <v>0</v>
      </c>
      <c r="AB214" s="27">
        <f t="shared" si="46"/>
        <v>0</v>
      </c>
      <c r="AC214" s="28" t="str">
        <f>IFERROR(VLOOKUP($I214&amp;"|"&amp;$A214,Table2[],2,FALSE),"")</f>
        <v/>
      </c>
      <c r="AD214" s="29" t="str">
        <f>IFERROR(VLOOKUP($I214&amp;"|"&amp;$A214,Table2[],3,FALSE),"")</f>
        <v/>
      </c>
      <c r="AE214" s="28">
        <f t="shared" si="47"/>
        <v>0</v>
      </c>
      <c r="AF214" s="28" t="str">
        <f t="shared" si="48"/>
        <v/>
      </c>
      <c r="AG214" s="30" t="str">
        <f t="shared" si="49"/>
        <v/>
      </c>
      <c r="AH214" s="28" t="str">
        <f>IFERROR(VLOOKUP($I214&amp;"|"&amp;$A214,Table2[],4,FALSE),"")</f>
        <v/>
      </c>
      <c r="AI214" s="28" t="str">
        <f t="shared" si="50"/>
        <v/>
      </c>
      <c r="AJ214" s="31">
        <f t="shared" si="51"/>
        <v>0</v>
      </c>
      <c r="AK214" s="32">
        <f t="shared" si="41"/>
        <v>0</v>
      </c>
      <c r="AL214" s="33">
        <f t="shared" si="52"/>
        <v>0</v>
      </c>
      <c r="AM214" s="31">
        <f t="shared" si="53"/>
        <v>0</v>
      </c>
      <c r="AN214" s="32">
        <f t="shared" si="42"/>
        <v>0</v>
      </c>
      <c r="AO214" s="33">
        <f t="shared" si="54"/>
        <v>0</v>
      </c>
    </row>
    <row r="215" spans="1:41" s="14" customFormat="1" ht="27" customHeight="1" x14ac:dyDescent="0.25">
      <c r="A215" s="102"/>
      <c r="B215" s="22">
        <f>IFERROR(IF(VLOOKUP(A215,Table3[],MATCH('2023 sintesi '!I215,Table3[#Headers],0),0)=0,IFERROR(VLOOKUP($A215,Table1[],2,FALSE),0),VLOOKUP(A215,Table3[],MATCH('2023 sintesi '!I215,Table3[#Headers],0),0)),0)</f>
        <v>0</v>
      </c>
      <c r="C215" s="23">
        <f>IFERROR(VLOOKUP($A215,Table1[],3,FALSE),0)</f>
        <v>0</v>
      </c>
      <c r="D215" s="102"/>
      <c r="E215" s="102"/>
      <c r="F215" s="104"/>
      <c r="G215" s="102"/>
      <c r="H215" s="102"/>
      <c r="I215" s="105"/>
      <c r="J215" s="106"/>
      <c r="K215" s="112"/>
      <c r="L215" s="47"/>
      <c r="M215" s="36"/>
      <c r="N215" s="36"/>
      <c r="O215" s="36"/>
      <c r="P215" s="36"/>
      <c r="Q215" s="36"/>
      <c r="R215" s="36"/>
      <c r="S215" s="36"/>
      <c r="T215" s="36"/>
      <c r="U215" s="36"/>
      <c r="V215" s="36"/>
      <c r="W215" s="36"/>
      <c r="X215" s="25">
        <f t="shared" si="43"/>
        <v>0</v>
      </c>
      <c r="Y215" s="26">
        <f t="shared" si="44"/>
        <v>0</v>
      </c>
      <c r="Z215" s="26"/>
      <c r="AA215" s="27">
        <f t="shared" si="45"/>
        <v>0</v>
      </c>
      <c r="AB215" s="27">
        <f t="shared" si="46"/>
        <v>0</v>
      </c>
      <c r="AC215" s="28" t="str">
        <f>IFERROR(VLOOKUP($I215&amp;"|"&amp;$A215,Table2[],2,FALSE),"")</f>
        <v/>
      </c>
      <c r="AD215" s="29" t="str">
        <f>IFERROR(VLOOKUP($I215&amp;"|"&amp;$A215,Table2[],3,FALSE),"")</f>
        <v/>
      </c>
      <c r="AE215" s="28">
        <f t="shared" si="47"/>
        <v>0</v>
      </c>
      <c r="AF215" s="28" t="str">
        <f t="shared" si="48"/>
        <v/>
      </c>
      <c r="AG215" s="30" t="str">
        <f t="shared" si="49"/>
        <v/>
      </c>
      <c r="AH215" s="28" t="str">
        <f>IFERROR(VLOOKUP($I215&amp;"|"&amp;$A215,Table2[],4,FALSE),"")</f>
        <v/>
      </c>
      <c r="AI215" s="28" t="str">
        <f t="shared" si="50"/>
        <v/>
      </c>
      <c r="AJ215" s="31">
        <f t="shared" si="51"/>
        <v>0</v>
      </c>
      <c r="AK215" s="32">
        <f t="shared" si="41"/>
        <v>0</v>
      </c>
      <c r="AL215" s="33">
        <f t="shared" si="52"/>
        <v>0</v>
      </c>
      <c r="AM215" s="31">
        <f t="shared" si="53"/>
        <v>0</v>
      </c>
      <c r="AN215" s="32">
        <f t="shared" si="42"/>
        <v>0</v>
      </c>
      <c r="AO215" s="33">
        <f t="shared" si="54"/>
        <v>0</v>
      </c>
    </row>
    <row r="216" spans="1:41" s="14" customFormat="1" ht="27" customHeight="1" x14ac:dyDescent="0.25">
      <c r="A216" s="102"/>
      <c r="B216" s="22">
        <f>IFERROR(IF(VLOOKUP(A216,Table3[],MATCH('2023 sintesi '!I216,Table3[#Headers],0),0)=0,IFERROR(VLOOKUP($A216,Table1[],2,FALSE),0),VLOOKUP(A216,Table3[],MATCH('2023 sintesi '!I216,Table3[#Headers],0),0)),0)</f>
        <v>0</v>
      </c>
      <c r="C216" s="23">
        <f>IFERROR(VLOOKUP($A216,Table1[],3,FALSE),0)</f>
        <v>0</v>
      </c>
      <c r="D216" s="102"/>
      <c r="E216" s="102"/>
      <c r="F216" s="104"/>
      <c r="G216" s="102"/>
      <c r="H216" s="102"/>
      <c r="I216" s="105"/>
      <c r="J216" s="106"/>
      <c r="K216" s="112"/>
      <c r="L216" s="47"/>
      <c r="M216" s="36"/>
      <c r="N216" s="36"/>
      <c r="O216" s="36"/>
      <c r="P216" s="36"/>
      <c r="Q216" s="36"/>
      <c r="R216" s="36"/>
      <c r="S216" s="36"/>
      <c r="T216" s="36"/>
      <c r="U216" s="36"/>
      <c r="V216" s="36"/>
      <c r="W216" s="36"/>
      <c r="X216" s="25">
        <f t="shared" si="43"/>
        <v>0</v>
      </c>
      <c r="Y216" s="26">
        <f t="shared" si="44"/>
        <v>0</v>
      </c>
      <c r="Z216" s="26"/>
      <c r="AA216" s="27">
        <f t="shared" si="45"/>
        <v>0</v>
      </c>
      <c r="AB216" s="27">
        <f t="shared" si="46"/>
        <v>0</v>
      </c>
      <c r="AC216" s="28" t="str">
        <f>IFERROR(VLOOKUP($I216&amp;"|"&amp;$A216,Table2[],2,FALSE),"")</f>
        <v/>
      </c>
      <c r="AD216" s="29" t="str">
        <f>IFERROR(VLOOKUP($I216&amp;"|"&amp;$A216,Table2[],3,FALSE),"")</f>
        <v/>
      </c>
      <c r="AE216" s="28">
        <f t="shared" si="47"/>
        <v>0</v>
      </c>
      <c r="AF216" s="28" t="str">
        <f t="shared" si="48"/>
        <v/>
      </c>
      <c r="AG216" s="30" t="str">
        <f t="shared" si="49"/>
        <v/>
      </c>
      <c r="AH216" s="28" t="str">
        <f>IFERROR(VLOOKUP($I216&amp;"|"&amp;$A216,Table2[],4,FALSE),"")</f>
        <v/>
      </c>
      <c r="AI216" s="28" t="str">
        <f t="shared" si="50"/>
        <v/>
      </c>
      <c r="AJ216" s="31">
        <f t="shared" si="51"/>
        <v>0</v>
      </c>
      <c r="AK216" s="32">
        <f t="shared" si="41"/>
        <v>0</v>
      </c>
      <c r="AL216" s="33">
        <f t="shared" si="52"/>
        <v>0</v>
      </c>
      <c r="AM216" s="31">
        <f t="shared" si="53"/>
        <v>0</v>
      </c>
      <c r="AN216" s="32">
        <f t="shared" si="42"/>
        <v>0</v>
      </c>
      <c r="AO216" s="33">
        <f t="shared" si="54"/>
        <v>0</v>
      </c>
    </row>
    <row r="217" spans="1:41" s="14" customFormat="1" ht="27" customHeight="1" x14ac:dyDescent="0.25">
      <c r="A217" s="102"/>
      <c r="B217" s="22">
        <f>IFERROR(IF(VLOOKUP(A217,Table3[],MATCH('2023 sintesi '!I217,Table3[#Headers],0),0)=0,IFERROR(VLOOKUP($A217,Table1[],2,FALSE),0),VLOOKUP(A217,Table3[],MATCH('2023 sintesi '!I217,Table3[#Headers],0),0)),0)</f>
        <v>0</v>
      </c>
      <c r="C217" s="23">
        <f>IFERROR(VLOOKUP($A217,Table1[],3,FALSE),0)</f>
        <v>0</v>
      </c>
      <c r="D217" s="102"/>
      <c r="E217" s="102"/>
      <c r="F217" s="104"/>
      <c r="G217" s="102"/>
      <c r="H217" s="102"/>
      <c r="I217" s="105"/>
      <c r="J217" s="106"/>
      <c r="K217" s="112"/>
      <c r="L217" s="47"/>
      <c r="M217" s="36"/>
      <c r="N217" s="36"/>
      <c r="O217" s="36"/>
      <c r="P217" s="36"/>
      <c r="Q217" s="36"/>
      <c r="R217" s="36"/>
      <c r="S217" s="36"/>
      <c r="T217" s="36"/>
      <c r="U217" s="36"/>
      <c r="V217" s="36"/>
      <c r="W217" s="36"/>
      <c r="X217" s="25">
        <f t="shared" si="43"/>
        <v>0</v>
      </c>
      <c r="Y217" s="26">
        <f t="shared" si="44"/>
        <v>0</v>
      </c>
      <c r="Z217" s="26"/>
      <c r="AA217" s="27">
        <f t="shared" si="45"/>
        <v>0</v>
      </c>
      <c r="AB217" s="27">
        <f t="shared" si="46"/>
        <v>0</v>
      </c>
      <c r="AC217" s="28" t="str">
        <f>IFERROR(VLOOKUP($I217&amp;"|"&amp;$A217,Table2[],2,FALSE),"")</f>
        <v/>
      </c>
      <c r="AD217" s="29" t="str">
        <f>IFERROR(VLOOKUP($I217&amp;"|"&amp;$A217,Table2[],3,FALSE),"")</f>
        <v/>
      </c>
      <c r="AE217" s="28">
        <f t="shared" si="47"/>
        <v>0</v>
      </c>
      <c r="AF217" s="28" t="str">
        <f t="shared" si="48"/>
        <v/>
      </c>
      <c r="AG217" s="30" t="str">
        <f t="shared" si="49"/>
        <v/>
      </c>
      <c r="AH217" s="28" t="str">
        <f>IFERROR(VLOOKUP($I217&amp;"|"&amp;$A217,Table2[],4,FALSE),"")</f>
        <v/>
      </c>
      <c r="AI217" s="28" t="str">
        <f t="shared" si="50"/>
        <v/>
      </c>
      <c r="AJ217" s="31">
        <f t="shared" si="51"/>
        <v>0</v>
      </c>
      <c r="AK217" s="32">
        <f t="shared" ref="AK217:AK226" si="55">$AJ217*$B217</f>
        <v>0</v>
      </c>
      <c r="AL217" s="33">
        <f t="shared" si="52"/>
        <v>0</v>
      </c>
      <c r="AM217" s="31">
        <f t="shared" si="53"/>
        <v>0</v>
      </c>
      <c r="AN217" s="32">
        <f t="shared" ref="AN217:AN226" si="56">$AM217*$B217</f>
        <v>0</v>
      </c>
      <c r="AO217" s="33">
        <f t="shared" si="54"/>
        <v>0</v>
      </c>
    </row>
    <row r="218" spans="1:41" s="14" customFormat="1" ht="27" customHeight="1" x14ac:dyDescent="0.25">
      <c r="A218" s="102"/>
      <c r="B218" s="22">
        <f>IFERROR(IF(VLOOKUP(A218,Table3[],MATCH('2023 sintesi '!I218,Table3[#Headers],0),0)=0,IFERROR(VLOOKUP($A218,Table1[],2,FALSE),0),VLOOKUP(A218,Table3[],MATCH('2023 sintesi '!I218,Table3[#Headers],0),0)),0)</f>
        <v>0</v>
      </c>
      <c r="C218" s="23">
        <f>IFERROR(VLOOKUP($A218,Table1[],3,FALSE),0)</f>
        <v>0</v>
      </c>
      <c r="D218" s="102"/>
      <c r="E218" s="102"/>
      <c r="F218" s="104"/>
      <c r="G218" s="102"/>
      <c r="H218" s="102"/>
      <c r="I218" s="105"/>
      <c r="J218" s="106"/>
      <c r="K218" s="112"/>
      <c r="L218" s="47"/>
      <c r="M218" s="36"/>
      <c r="N218" s="36"/>
      <c r="O218" s="36"/>
      <c r="P218" s="36"/>
      <c r="Q218" s="36"/>
      <c r="R218" s="36"/>
      <c r="S218" s="36"/>
      <c r="T218" s="36"/>
      <c r="U218" s="36"/>
      <c r="V218" s="36"/>
      <c r="W218" s="36"/>
      <c r="X218" s="25">
        <f t="shared" si="43"/>
        <v>0</v>
      </c>
      <c r="Y218" s="26">
        <f t="shared" si="44"/>
        <v>0</v>
      </c>
      <c r="Z218" s="26"/>
      <c r="AA218" s="27">
        <f t="shared" si="45"/>
        <v>0</v>
      </c>
      <c r="AB218" s="27">
        <f t="shared" si="46"/>
        <v>0</v>
      </c>
      <c r="AC218" s="28" t="str">
        <f>IFERROR(VLOOKUP($I218&amp;"|"&amp;$A218,Table2[],2,FALSE),"")</f>
        <v/>
      </c>
      <c r="AD218" s="29" t="str">
        <f>IFERROR(VLOOKUP($I218&amp;"|"&amp;$A218,Table2[],3,FALSE),"")</f>
        <v/>
      </c>
      <c r="AE218" s="28">
        <f t="shared" si="47"/>
        <v>0</v>
      </c>
      <c r="AF218" s="28" t="str">
        <f t="shared" si="48"/>
        <v/>
      </c>
      <c r="AG218" s="30" t="str">
        <f t="shared" si="49"/>
        <v/>
      </c>
      <c r="AH218" s="28" t="str">
        <f>IFERROR(VLOOKUP($I218&amp;"|"&amp;$A218,Table2[],4,FALSE),"")</f>
        <v/>
      </c>
      <c r="AI218" s="28" t="str">
        <f t="shared" si="50"/>
        <v/>
      </c>
      <c r="AJ218" s="31">
        <f t="shared" si="51"/>
        <v>0</v>
      </c>
      <c r="AK218" s="32">
        <f t="shared" si="55"/>
        <v>0</v>
      </c>
      <c r="AL218" s="33">
        <f t="shared" si="52"/>
        <v>0</v>
      </c>
      <c r="AM218" s="31">
        <f t="shared" si="53"/>
        <v>0</v>
      </c>
      <c r="AN218" s="32">
        <f t="shared" si="56"/>
        <v>0</v>
      </c>
      <c r="AO218" s="33">
        <f t="shared" si="54"/>
        <v>0</v>
      </c>
    </row>
    <row r="219" spans="1:41" s="14" customFormat="1" ht="27" customHeight="1" x14ac:dyDescent="0.25">
      <c r="A219" s="102"/>
      <c r="B219" s="22">
        <f>IFERROR(IF(VLOOKUP(A219,Table3[],MATCH('2023 sintesi '!I219,Table3[#Headers],0),0)=0,IFERROR(VLOOKUP($A219,Table1[],2,FALSE),0),VLOOKUP(A219,Table3[],MATCH('2023 sintesi '!I219,Table3[#Headers],0),0)),0)</f>
        <v>0</v>
      </c>
      <c r="C219" s="23">
        <f>IFERROR(VLOOKUP($A219,Table1[],3,FALSE),0)</f>
        <v>0</v>
      </c>
      <c r="D219" s="102"/>
      <c r="E219" s="102"/>
      <c r="F219" s="104"/>
      <c r="G219" s="102"/>
      <c r="H219" s="102"/>
      <c r="I219" s="105"/>
      <c r="J219" s="106"/>
      <c r="K219" s="112"/>
      <c r="L219" s="47"/>
      <c r="M219" s="36"/>
      <c r="N219" s="36"/>
      <c r="O219" s="36"/>
      <c r="P219" s="36"/>
      <c r="Q219" s="36"/>
      <c r="R219" s="36"/>
      <c r="S219" s="36"/>
      <c r="T219" s="36"/>
      <c r="U219" s="36"/>
      <c r="V219" s="36"/>
      <c r="W219" s="36"/>
      <c r="X219" s="25">
        <f t="shared" si="43"/>
        <v>0</v>
      </c>
      <c r="Y219" s="26">
        <f t="shared" si="44"/>
        <v>0</v>
      </c>
      <c r="Z219" s="26"/>
      <c r="AA219" s="27">
        <f t="shared" si="45"/>
        <v>0</v>
      </c>
      <c r="AB219" s="27">
        <f t="shared" si="46"/>
        <v>0</v>
      </c>
      <c r="AC219" s="28" t="str">
        <f>IFERROR(VLOOKUP($I219&amp;"|"&amp;$A219,Table2[],2,FALSE),"")</f>
        <v/>
      </c>
      <c r="AD219" s="29" t="str">
        <f>IFERROR(VLOOKUP($I219&amp;"|"&amp;$A219,Table2[],3,FALSE),"")</f>
        <v/>
      </c>
      <c r="AE219" s="28">
        <f t="shared" si="47"/>
        <v>0</v>
      </c>
      <c r="AF219" s="28" t="str">
        <f t="shared" si="48"/>
        <v/>
      </c>
      <c r="AG219" s="30" t="str">
        <f t="shared" si="49"/>
        <v/>
      </c>
      <c r="AH219" s="28" t="str">
        <f>IFERROR(VLOOKUP($I219&amp;"|"&amp;$A219,Table2[],4,FALSE),"")</f>
        <v/>
      </c>
      <c r="AI219" s="28" t="str">
        <f t="shared" si="50"/>
        <v/>
      </c>
      <c r="AJ219" s="31">
        <f t="shared" si="51"/>
        <v>0</v>
      </c>
      <c r="AK219" s="32">
        <f t="shared" si="55"/>
        <v>0</v>
      </c>
      <c r="AL219" s="33">
        <f t="shared" si="52"/>
        <v>0</v>
      </c>
      <c r="AM219" s="31">
        <f t="shared" si="53"/>
        <v>0</v>
      </c>
      <c r="AN219" s="32">
        <f t="shared" si="56"/>
        <v>0</v>
      </c>
      <c r="AO219" s="33">
        <f t="shared" si="54"/>
        <v>0</v>
      </c>
    </row>
    <row r="220" spans="1:41" s="14" customFormat="1" ht="27" customHeight="1" x14ac:dyDescent="0.25">
      <c r="A220" s="102"/>
      <c r="B220" s="22">
        <f>IFERROR(IF(VLOOKUP(A220,Table3[],MATCH('2023 sintesi '!I220,Table3[#Headers],0),0)=0,IFERROR(VLOOKUP($A220,Table1[],2,FALSE),0),VLOOKUP(A220,Table3[],MATCH('2023 sintesi '!I220,Table3[#Headers],0),0)),0)</f>
        <v>0</v>
      </c>
      <c r="C220" s="23">
        <f>IFERROR(VLOOKUP($A220,Table1[],3,FALSE),0)</f>
        <v>0</v>
      </c>
      <c r="D220" s="102"/>
      <c r="E220" s="102"/>
      <c r="F220" s="104"/>
      <c r="G220" s="102"/>
      <c r="H220" s="102"/>
      <c r="I220" s="105"/>
      <c r="J220" s="106"/>
      <c r="K220" s="112"/>
      <c r="L220" s="47"/>
      <c r="M220" s="36"/>
      <c r="N220" s="36"/>
      <c r="O220" s="36"/>
      <c r="P220" s="36"/>
      <c r="Q220" s="36"/>
      <c r="R220" s="36"/>
      <c r="S220" s="36"/>
      <c r="T220" s="36"/>
      <c r="U220" s="36"/>
      <c r="V220" s="36"/>
      <c r="W220" s="36"/>
      <c r="X220" s="25">
        <f t="shared" si="43"/>
        <v>0</v>
      </c>
      <c r="Y220" s="26">
        <f t="shared" si="44"/>
        <v>0</v>
      </c>
      <c r="Z220" s="26"/>
      <c r="AA220" s="27">
        <f t="shared" si="45"/>
        <v>0</v>
      </c>
      <c r="AB220" s="27">
        <f t="shared" si="46"/>
        <v>0</v>
      </c>
      <c r="AC220" s="28" t="str">
        <f>IFERROR(VLOOKUP($I220&amp;"|"&amp;$A220,Table2[],2,FALSE),"")</f>
        <v/>
      </c>
      <c r="AD220" s="29" t="str">
        <f>IFERROR(VLOOKUP($I220&amp;"|"&amp;$A220,Table2[],3,FALSE),"")</f>
        <v/>
      </c>
      <c r="AE220" s="28">
        <f t="shared" si="47"/>
        <v>0</v>
      </c>
      <c r="AF220" s="28" t="str">
        <f t="shared" si="48"/>
        <v/>
      </c>
      <c r="AG220" s="30" t="str">
        <f t="shared" si="49"/>
        <v/>
      </c>
      <c r="AH220" s="28" t="str">
        <f>IFERROR(VLOOKUP($I220&amp;"|"&amp;$A220,Table2[],4,FALSE),"")</f>
        <v/>
      </c>
      <c r="AI220" s="28" t="str">
        <f t="shared" si="50"/>
        <v/>
      </c>
      <c r="AJ220" s="31">
        <f t="shared" si="51"/>
        <v>0</v>
      </c>
      <c r="AK220" s="32">
        <f t="shared" si="55"/>
        <v>0</v>
      </c>
      <c r="AL220" s="33">
        <f t="shared" si="52"/>
        <v>0</v>
      </c>
      <c r="AM220" s="31">
        <f t="shared" si="53"/>
        <v>0</v>
      </c>
      <c r="AN220" s="32">
        <f t="shared" si="56"/>
        <v>0</v>
      </c>
      <c r="AO220" s="33">
        <f t="shared" si="54"/>
        <v>0</v>
      </c>
    </row>
    <row r="221" spans="1:41" s="14" customFormat="1" ht="27" customHeight="1" x14ac:dyDescent="0.25">
      <c r="A221" s="102"/>
      <c r="B221" s="22">
        <f>IFERROR(IF(VLOOKUP(A221,Table3[],MATCH('2023 sintesi '!I221,Table3[#Headers],0),0)=0,IFERROR(VLOOKUP($A221,Table1[],2,FALSE),0),VLOOKUP(A221,Table3[],MATCH('2023 sintesi '!I221,Table3[#Headers],0),0)),0)</f>
        <v>0</v>
      </c>
      <c r="C221" s="23">
        <f>IFERROR(VLOOKUP($A221,Table1[],3,FALSE),0)</f>
        <v>0</v>
      </c>
      <c r="D221" s="102"/>
      <c r="E221" s="102"/>
      <c r="F221" s="104"/>
      <c r="G221" s="102"/>
      <c r="H221" s="102"/>
      <c r="I221" s="105"/>
      <c r="J221" s="106"/>
      <c r="K221" s="112"/>
      <c r="L221" s="47"/>
      <c r="M221" s="36"/>
      <c r="N221" s="36"/>
      <c r="O221" s="36"/>
      <c r="P221" s="36"/>
      <c r="Q221" s="36"/>
      <c r="R221" s="36"/>
      <c r="S221" s="36"/>
      <c r="T221" s="36"/>
      <c r="U221" s="36"/>
      <c r="V221" s="36"/>
      <c r="W221" s="36"/>
      <c r="X221" s="25">
        <f t="shared" si="43"/>
        <v>0</v>
      </c>
      <c r="Y221" s="26">
        <f t="shared" si="44"/>
        <v>0</v>
      </c>
      <c r="Z221" s="26"/>
      <c r="AA221" s="27">
        <f t="shared" si="45"/>
        <v>0</v>
      </c>
      <c r="AB221" s="27">
        <f t="shared" si="46"/>
        <v>0</v>
      </c>
      <c r="AC221" s="28" t="str">
        <f>IFERROR(VLOOKUP($I221&amp;"|"&amp;$A221,Table2[],2,FALSE),"")</f>
        <v/>
      </c>
      <c r="AD221" s="29" t="str">
        <f>IFERROR(VLOOKUP($I221&amp;"|"&amp;$A221,Table2[],3,FALSE),"")</f>
        <v/>
      </c>
      <c r="AE221" s="28">
        <f t="shared" si="47"/>
        <v>0</v>
      </c>
      <c r="AF221" s="28" t="str">
        <f t="shared" si="48"/>
        <v/>
      </c>
      <c r="AG221" s="30" t="str">
        <f t="shared" si="49"/>
        <v/>
      </c>
      <c r="AH221" s="28" t="str">
        <f>IFERROR(VLOOKUP($I221&amp;"|"&amp;$A221,Table2[],4,FALSE),"")</f>
        <v/>
      </c>
      <c r="AI221" s="28" t="str">
        <f t="shared" si="50"/>
        <v/>
      </c>
      <c r="AJ221" s="31">
        <f t="shared" si="51"/>
        <v>0</v>
      </c>
      <c r="AK221" s="32">
        <f t="shared" si="55"/>
        <v>0</v>
      </c>
      <c r="AL221" s="33">
        <f t="shared" si="52"/>
        <v>0</v>
      </c>
      <c r="AM221" s="31">
        <f t="shared" si="53"/>
        <v>0</v>
      </c>
      <c r="AN221" s="32">
        <f t="shared" si="56"/>
        <v>0</v>
      </c>
      <c r="AO221" s="33">
        <f t="shared" si="54"/>
        <v>0</v>
      </c>
    </row>
    <row r="222" spans="1:41" s="14" customFormat="1" ht="27" customHeight="1" x14ac:dyDescent="0.25">
      <c r="A222" s="102"/>
      <c r="B222" s="22">
        <f>IFERROR(IF(VLOOKUP(A222,Table3[],MATCH('2023 sintesi '!I222,Table3[#Headers],0),0)=0,IFERROR(VLOOKUP($A222,Table1[],2,FALSE),0),VLOOKUP(A222,Table3[],MATCH('2023 sintesi '!I222,Table3[#Headers],0),0)),0)</f>
        <v>0</v>
      </c>
      <c r="C222" s="23">
        <f>IFERROR(VLOOKUP($A222,Table1[],3,FALSE),0)</f>
        <v>0</v>
      </c>
      <c r="D222" s="102"/>
      <c r="E222" s="102"/>
      <c r="F222" s="104"/>
      <c r="G222" s="102"/>
      <c r="H222" s="102"/>
      <c r="I222" s="105"/>
      <c r="J222" s="106"/>
      <c r="K222" s="112"/>
      <c r="L222" s="47"/>
      <c r="M222" s="36"/>
      <c r="N222" s="36"/>
      <c r="O222" s="36"/>
      <c r="P222" s="36"/>
      <c r="Q222" s="36"/>
      <c r="R222" s="36"/>
      <c r="S222" s="36"/>
      <c r="T222" s="36"/>
      <c r="U222" s="36"/>
      <c r="V222" s="36"/>
      <c r="W222" s="36"/>
      <c r="X222" s="25">
        <f t="shared" si="43"/>
        <v>0</v>
      </c>
      <c r="Y222" s="26">
        <f t="shared" si="44"/>
        <v>0</v>
      </c>
      <c r="Z222" s="26"/>
      <c r="AA222" s="27">
        <f t="shared" si="45"/>
        <v>0</v>
      </c>
      <c r="AB222" s="27">
        <f t="shared" si="46"/>
        <v>0</v>
      </c>
      <c r="AC222" s="28" t="str">
        <f>IFERROR(VLOOKUP($I222&amp;"|"&amp;$A222,Table2[],2,FALSE),"")</f>
        <v/>
      </c>
      <c r="AD222" s="29" t="str">
        <f>IFERROR(VLOOKUP($I222&amp;"|"&amp;$A222,Table2[],3,FALSE),"")</f>
        <v/>
      </c>
      <c r="AE222" s="28">
        <f t="shared" si="47"/>
        <v>0</v>
      </c>
      <c r="AF222" s="28" t="str">
        <f t="shared" si="48"/>
        <v/>
      </c>
      <c r="AG222" s="30" t="str">
        <f t="shared" si="49"/>
        <v/>
      </c>
      <c r="AH222" s="28" t="str">
        <f>IFERROR(VLOOKUP($I222&amp;"|"&amp;$A222,Table2[],4,FALSE),"")</f>
        <v/>
      </c>
      <c r="AI222" s="28" t="str">
        <f t="shared" si="50"/>
        <v/>
      </c>
      <c r="AJ222" s="31">
        <f t="shared" si="51"/>
        <v>0</v>
      </c>
      <c r="AK222" s="32">
        <f t="shared" si="55"/>
        <v>0</v>
      </c>
      <c r="AL222" s="33">
        <f t="shared" si="52"/>
        <v>0</v>
      </c>
      <c r="AM222" s="31">
        <f t="shared" si="53"/>
        <v>0</v>
      </c>
      <c r="AN222" s="32">
        <f t="shared" si="56"/>
        <v>0</v>
      </c>
      <c r="AO222" s="33">
        <f t="shared" si="54"/>
        <v>0</v>
      </c>
    </row>
    <row r="223" spans="1:41" s="14" customFormat="1" ht="27" customHeight="1" x14ac:dyDescent="0.25">
      <c r="A223" s="102"/>
      <c r="B223" s="22">
        <f>IFERROR(IF(VLOOKUP(A223,Table3[],MATCH('2023 sintesi '!I223,Table3[#Headers],0),0)=0,IFERROR(VLOOKUP($A223,Table1[],2,FALSE),0),VLOOKUP(A223,Table3[],MATCH('2023 sintesi '!I223,Table3[#Headers],0),0)),0)</f>
        <v>0</v>
      </c>
      <c r="C223" s="23">
        <f>IFERROR(VLOOKUP($A223,Table1[],3,FALSE),0)</f>
        <v>0</v>
      </c>
      <c r="D223" s="102"/>
      <c r="E223" s="102"/>
      <c r="F223" s="104"/>
      <c r="G223" s="102"/>
      <c r="H223" s="102"/>
      <c r="I223" s="105"/>
      <c r="J223" s="106"/>
      <c r="K223" s="112"/>
      <c r="L223" s="47"/>
      <c r="M223" s="36"/>
      <c r="N223" s="36"/>
      <c r="O223" s="36"/>
      <c r="P223" s="36"/>
      <c r="Q223" s="36"/>
      <c r="R223" s="36"/>
      <c r="S223" s="36"/>
      <c r="T223" s="36"/>
      <c r="U223" s="36"/>
      <c r="V223" s="36"/>
      <c r="W223" s="36"/>
      <c r="X223" s="25">
        <f t="shared" si="43"/>
        <v>0</v>
      </c>
      <c r="Y223" s="26">
        <f t="shared" si="44"/>
        <v>0</v>
      </c>
      <c r="Z223" s="26"/>
      <c r="AA223" s="27">
        <f t="shared" si="45"/>
        <v>0</v>
      </c>
      <c r="AB223" s="27">
        <f t="shared" si="46"/>
        <v>0</v>
      </c>
      <c r="AC223" s="28" t="str">
        <f>IFERROR(VLOOKUP($I223&amp;"|"&amp;$A223,Table2[],2,FALSE),"")</f>
        <v/>
      </c>
      <c r="AD223" s="29" t="str">
        <f>IFERROR(VLOOKUP($I223&amp;"|"&amp;$A223,Table2[],3,FALSE),"")</f>
        <v/>
      </c>
      <c r="AE223" s="28">
        <f t="shared" si="47"/>
        <v>0</v>
      </c>
      <c r="AF223" s="28" t="str">
        <f t="shared" si="48"/>
        <v/>
      </c>
      <c r="AG223" s="30" t="str">
        <f t="shared" si="49"/>
        <v/>
      </c>
      <c r="AH223" s="28" t="str">
        <f>IFERROR(VLOOKUP($I223&amp;"|"&amp;$A223,Table2[],4,FALSE),"")</f>
        <v/>
      </c>
      <c r="AI223" s="28" t="str">
        <f t="shared" si="50"/>
        <v/>
      </c>
      <c r="AJ223" s="31">
        <f t="shared" si="51"/>
        <v>0</v>
      </c>
      <c r="AK223" s="32">
        <f t="shared" si="55"/>
        <v>0</v>
      </c>
      <c r="AL223" s="33">
        <f t="shared" si="52"/>
        <v>0</v>
      </c>
      <c r="AM223" s="31">
        <f t="shared" si="53"/>
        <v>0</v>
      </c>
      <c r="AN223" s="32">
        <f t="shared" si="56"/>
        <v>0</v>
      </c>
      <c r="AO223" s="33">
        <f t="shared" si="54"/>
        <v>0</v>
      </c>
    </row>
    <row r="224" spans="1:41" s="14" customFormat="1" ht="27" customHeight="1" x14ac:dyDescent="0.25">
      <c r="A224" s="102"/>
      <c r="B224" s="22">
        <f>IFERROR(IF(VLOOKUP(A224,Table3[],MATCH('2023 sintesi '!I224,Table3[#Headers],0),0)=0,IFERROR(VLOOKUP($A224,Table1[],2,FALSE),0),VLOOKUP(A224,Table3[],MATCH('2023 sintesi '!I224,Table3[#Headers],0),0)),0)</f>
        <v>0</v>
      </c>
      <c r="C224" s="23">
        <f>IFERROR(VLOOKUP($A224,Table1[],3,FALSE),0)</f>
        <v>0</v>
      </c>
      <c r="D224" s="102"/>
      <c r="E224" s="102"/>
      <c r="F224" s="104"/>
      <c r="G224" s="102"/>
      <c r="H224" s="102"/>
      <c r="I224" s="105"/>
      <c r="J224" s="106"/>
      <c r="K224" s="112"/>
      <c r="L224" s="47"/>
      <c r="M224" s="36"/>
      <c r="N224" s="36"/>
      <c r="O224" s="36"/>
      <c r="P224" s="36"/>
      <c r="Q224" s="36"/>
      <c r="R224" s="36"/>
      <c r="S224" s="36"/>
      <c r="T224" s="36"/>
      <c r="U224" s="36"/>
      <c r="V224" s="36"/>
      <c r="W224" s="36"/>
      <c r="X224" s="25">
        <f t="shared" si="43"/>
        <v>0</v>
      </c>
      <c r="Y224" s="26">
        <f t="shared" si="44"/>
        <v>0</v>
      </c>
      <c r="Z224" s="26"/>
      <c r="AA224" s="27">
        <f t="shared" si="45"/>
        <v>0</v>
      </c>
      <c r="AB224" s="27">
        <f t="shared" si="46"/>
        <v>0</v>
      </c>
      <c r="AC224" s="28" t="str">
        <f>IFERROR(VLOOKUP($I224&amp;"|"&amp;$A224,Table2[],2,FALSE),"")</f>
        <v/>
      </c>
      <c r="AD224" s="29" t="str">
        <f>IFERROR(VLOOKUP($I224&amp;"|"&amp;$A224,Table2[],3,FALSE),"")</f>
        <v/>
      </c>
      <c r="AE224" s="28">
        <f t="shared" si="47"/>
        <v>0</v>
      </c>
      <c r="AF224" s="28" t="str">
        <f t="shared" si="48"/>
        <v/>
      </c>
      <c r="AG224" s="30" t="str">
        <f t="shared" si="49"/>
        <v/>
      </c>
      <c r="AH224" s="28" t="str">
        <f>IFERROR(VLOOKUP($I224&amp;"|"&amp;$A224,Table2[],4,FALSE),"")</f>
        <v/>
      </c>
      <c r="AI224" s="28" t="str">
        <f t="shared" si="50"/>
        <v/>
      </c>
      <c r="AJ224" s="31">
        <f t="shared" si="51"/>
        <v>0</v>
      </c>
      <c r="AK224" s="32">
        <f t="shared" si="55"/>
        <v>0</v>
      </c>
      <c r="AL224" s="33">
        <f t="shared" si="52"/>
        <v>0</v>
      </c>
      <c r="AM224" s="31">
        <f t="shared" si="53"/>
        <v>0</v>
      </c>
      <c r="AN224" s="32">
        <f t="shared" si="56"/>
        <v>0</v>
      </c>
      <c r="AO224" s="33">
        <f t="shared" si="54"/>
        <v>0</v>
      </c>
    </row>
    <row r="225" spans="1:41" s="14" customFormat="1" ht="27" customHeight="1" x14ac:dyDescent="0.25">
      <c r="A225" s="102"/>
      <c r="B225" s="22">
        <f>IFERROR(IF(VLOOKUP(A225,Table3[],MATCH('2023 sintesi '!I225,Table3[#Headers],0),0)=0,IFERROR(VLOOKUP($A225,Table1[],2,FALSE),0),VLOOKUP(A225,Table3[],MATCH('2023 sintesi '!I225,Table3[#Headers],0),0)),0)</f>
        <v>0</v>
      </c>
      <c r="C225" s="23">
        <f>IFERROR(VLOOKUP($A225,Table1[],3,FALSE),0)</f>
        <v>0</v>
      </c>
      <c r="D225" s="102"/>
      <c r="E225" s="102"/>
      <c r="F225" s="104"/>
      <c r="G225" s="102"/>
      <c r="H225" s="102"/>
      <c r="I225" s="105"/>
      <c r="J225" s="106"/>
      <c r="K225" s="112"/>
      <c r="L225" s="35"/>
      <c r="M225" s="36"/>
      <c r="N225" s="36"/>
      <c r="O225" s="36"/>
      <c r="P225" s="36"/>
      <c r="Q225" s="36"/>
      <c r="R225" s="36"/>
      <c r="S225" s="36"/>
      <c r="T225" s="36"/>
      <c r="U225" s="36"/>
      <c r="V225" s="36"/>
      <c r="W225" s="36"/>
      <c r="X225" s="25">
        <f t="shared" si="43"/>
        <v>0</v>
      </c>
      <c r="Y225" s="26">
        <f t="shared" si="44"/>
        <v>0</v>
      </c>
      <c r="Z225" s="26"/>
      <c r="AA225" s="27">
        <f t="shared" si="45"/>
        <v>0</v>
      </c>
      <c r="AB225" s="27">
        <f t="shared" si="46"/>
        <v>0</v>
      </c>
      <c r="AC225" s="28" t="str">
        <f>IFERROR(VLOOKUP($I225&amp;"|"&amp;$A225,Table2[],2,FALSE),"")</f>
        <v/>
      </c>
      <c r="AD225" s="29" t="str">
        <f>IFERROR(VLOOKUP($I225&amp;"|"&amp;$A225,Table2[],3,FALSE),"")</f>
        <v/>
      </c>
      <c r="AE225" s="28">
        <f t="shared" si="47"/>
        <v>0</v>
      </c>
      <c r="AF225" s="28" t="str">
        <f t="shared" si="48"/>
        <v/>
      </c>
      <c r="AG225" s="30" t="str">
        <f t="shared" si="49"/>
        <v/>
      </c>
      <c r="AH225" s="28" t="str">
        <f>IFERROR(VLOOKUP($I225&amp;"|"&amp;$A225,Table2[],4,FALSE),"")</f>
        <v/>
      </c>
      <c r="AI225" s="28" t="str">
        <f t="shared" si="50"/>
        <v/>
      </c>
      <c r="AJ225" s="31">
        <f t="shared" si="51"/>
        <v>0</v>
      </c>
      <c r="AK225" s="32">
        <f t="shared" si="55"/>
        <v>0</v>
      </c>
      <c r="AL225" s="33">
        <f t="shared" si="52"/>
        <v>0</v>
      </c>
      <c r="AM225" s="31">
        <f t="shared" si="53"/>
        <v>0</v>
      </c>
      <c r="AN225" s="32">
        <f t="shared" si="56"/>
        <v>0</v>
      </c>
      <c r="AO225" s="33">
        <f t="shared" si="54"/>
        <v>0</v>
      </c>
    </row>
    <row r="226" spans="1:41" s="14" customFormat="1" ht="27" customHeight="1" x14ac:dyDescent="0.25">
      <c r="A226" s="102"/>
      <c r="B226" s="22">
        <f>IFERROR(IF(VLOOKUP(A226,Table3[],MATCH('2023 sintesi '!I226,Table3[#Headers],0),0)=0,IFERROR(VLOOKUP($A226,Table1[],2,FALSE),0),VLOOKUP(A226,Table3[],MATCH('2023 sintesi '!I226,Table3[#Headers],0),0)),0)</f>
        <v>0</v>
      </c>
      <c r="C226" s="23">
        <f>IFERROR(VLOOKUP($A226,Table1[],3,FALSE),0)</f>
        <v>0</v>
      </c>
      <c r="D226" s="102"/>
      <c r="E226" s="102"/>
      <c r="F226" s="104"/>
      <c r="G226" s="102"/>
      <c r="H226" s="102"/>
      <c r="I226" s="105"/>
      <c r="J226" s="106"/>
      <c r="K226" s="112"/>
      <c r="L226" s="35"/>
      <c r="M226" s="36"/>
      <c r="N226" s="36"/>
      <c r="O226" s="36"/>
      <c r="P226" s="36"/>
      <c r="Q226" s="36"/>
      <c r="R226" s="36"/>
      <c r="S226" s="36"/>
      <c r="T226" s="36"/>
      <c r="U226" s="36"/>
      <c r="V226" s="36"/>
      <c r="W226" s="36"/>
      <c r="X226" s="25">
        <f t="shared" si="43"/>
        <v>0</v>
      </c>
      <c r="Y226" s="26">
        <f t="shared" si="44"/>
        <v>0</v>
      </c>
      <c r="Z226" s="26"/>
      <c r="AA226" s="27">
        <f t="shared" si="45"/>
        <v>0</v>
      </c>
      <c r="AB226" s="27">
        <f t="shared" si="46"/>
        <v>0</v>
      </c>
      <c r="AC226" s="28" t="str">
        <f>IFERROR(VLOOKUP($I226&amp;"|"&amp;$A226,Table2[],2,FALSE),"")</f>
        <v/>
      </c>
      <c r="AD226" s="29" t="str">
        <f>IFERROR(VLOOKUP($I226&amp;"|"&amp;$A226,Table2[],3,FALSE),"")</f>
        <v/>
      </c>
      <c r="AE226" s="28">
        <f t="shared" si="47"/>
        <v>0</v>
      </c>
      <c r="AF226" s="28" t="str">
        <f t="shared" si="48"/>
        <v/>
      </c>
      <c r="AG226" s="30" t="str">
        <f t="shared" si="49"/>
        <v/>
      </c>
      <c r="AH226" s="28" t="str">
        <f>IFERROR(VLOOKUP($I226&amp;"|"&amp;$A226,Table2[],4,FALSE),"")</f>
        <v/>
      </c>
      <c r="AI226" s="28" t="str">
        <f t="shared" si="50"/>
        <v/>
      </c>
      <c r="AJ226" s="31">
        <f t="shared" si="51"/>
        <v>0</v>
      </c>
      <c r="AK226" s="32">
        <f t="shared" si="55"/>
        <v>0</v>
      </c>
      <c r="AL226" s="33">
        <f t="shared" si="52"/>
        <v>0</v>
      </c>
      <c r="AM226" s="31">
        <f t="shared" si="53"/>
        <v>0</v>
      </c>
      <c r="AN226" s="32">
        <f t="shared" si="56"/>
        <v>0</v>
      </c>
      <c r="AO226" s="33">
        <f t="shared" si="54"/>
        <v>0</v>
      </c>
    </row>
    <row r="227" spans="1:41" s="14" customFormat="1" ht="18" customHeight="1" thickBot="1" x14ac:dyDescent="0.3">
      <c r="A227" s="49"/>
      <c r="B227" s="49"/>
      <c r="C227" s="49"/>
      <c r="D227" s="49"/>
      <c r="E227" s="49"/>
      <c r="F227" s="50"/>
      <c r="G227" s="51"/>
      <c r="H227" s="51"/>
      <c r="I227" s="52"/>
      <c r="J227" s="53"/>
      <c r="K227" s="53"/>
      <c r="L227" s="54">
        <f t="shared" ref="L227:AB227" si="57">SUBTOTAL(9,L19:L226)</f>
        <v>5632</v>
      </c>
      <c r="M227" s="54">
        <f t="shared" si="57"/>
        <v>3192</v>
      </c>
      <c r="N227" s="54">
        <f t="shared" si="57"/>
        <v>3412</v>
      </c>
      <c r="O227" s="55">
        <f t="shared" si="57"/>
        <v>1152</v>
      </c>
      <c r="P227" s="55">
        <f t="shared" si="57"/>
        <v>29552</v>
      </c>
      <c r="Q227" s="55">
        <f t="shared" si="57"/>
        <v>45900</v>
      </c>
      <c r="R227" s="56">
        <f t="shared" si="57"/>
        <v>21965</v>
      </c>
      <c r="S227" s="56">
        <f t="shared" si="57"/>
        <v>1905</v>
      </c>
      <c r="T227" s="56">
        <f t="shared" si="57"/>
        <v>7265</v>
      </c>
      <c r="U227" s="57">
        <f t="shared" si="57"/>
        <v>25825</v>
      </c>
      <c r="V227" s="57">
        <f t="shared" si="57"/>
        <v>6605</v>
      </c>
      <c r="W227" s="57">
        <f t="shared" si="57"/>
        <v>10705</v>
      </c>
      <c r="X227" s="58">
        <f t="shared" si="57"/>
        <v>95.170068027210888</v>
      </c>
      <c r="Y227" s="59">
        <f t="shared" si="57"/>
        <v>13990</v>
      </c>
      <c r="Z227" s="59">
        <f t="shared" si="57"/>
        <v>0</v>
      </c>
      <c r="AA227" s="60">
        <f t="shared" si="57"/>
        <v>55841.5</v>
      </c>
      <c r="AB227" s="61">
        <f t="shared" si="57"/>
        <v>149120</v>
      </c>
      <c r="AC227" s="62"/>
      <c r="AD227" s="62"/>
    </row>
    <row r="228" spans="1:41" s="14" customFormat="1" ht="16.5" customHeight="1" x14ac:dyDescent="0.25">
      <c r="A228" s="49"/>
      <c r="B228" s="49"/>
      <c r="C228" s="49"/>
      <c r="D228" s="49"/>
      <c r="E228" s="49"/>
      <c r="F228" s="50"/>
      <c r="G228" s="51"/>
      <c r="H228" s="51"/>
      <c r="I228" s="63"/>
      <c r="J228" s="53"/>
      <c r="K228" s="53"/>
      <c r="L228" s="7"/>
      <c r="M228" s="7"/>
      <c r="N228" s="7"/>
      <c r="O228" s="7"/>
      <c r="P228" s="7"/>
      <c r="Q228" s="7"/>
      <c r="R228" s="7"/>
      <c r="S228" s="7"/>
      <c r="T228" s="7"/>
      <c r="U228" s="7"/>
      <c r="V228" s="7"/>
      <c r="W228" s="7"/>
      <c r="AA228" s="64"/>
      <c r="AB228" s="64"/>
    </row>
    <row r="229" spans="1:41" s="14" customFormat="1" ht="15" customHeight="1" x14ac:dyDescent="0.25">
      <c r="A229" s="49"/>
      <c r="B229" s="49"/>
      <c r="C229" s="49"/>
      <c r="D229" s="49"/>
      <c r="E229" s="49"/>
      <c r="F229" s="50"/>
      <c r="G229" s="51"/>
      <c r="H229" s="51"/>
      <c r="I229" s="63"/>
      <c r="J229" s="53"/>
      <c r="K229" s="53"/>
      <c r="L229" s="7"/>
      <c r="M229" s="7"/>
      <c r="N229" s="7"/>
      <c r="O229" s="7"/>
      <c r="P229" s="7"/>
      <c r="Q229" s="7"/>
      <c r="R229" s="7"/>
      <c r="S229" s="7"/>
      <c r="T229" s="7"/>
      <c r="U229" s="7"/>
      <c r="V229" s="7" t="s">
        <v>0</v>
      </c>
      <c r="W229" s="7"/>
      <c r="AA229" s="64"/>
      <c r="AB229" s="64"/>
    </row>
    <row r="230" spans="1:41" s="14" customFormat="1" ht="15" customHeight="1" x14ac:dyDescent="0.25">
      <c r="A230" s="49"/>
      <c r="B230" s="49"/>
      <c r="C230" s="49"/>
      <c r="D230" s="49"/>
      <c r="E230" s="49"/>
      <c r="F230" s="50"/>
      <c r="G230" s="51"/>
      <c r="H230" s="51"/>
      <c r="I230" s="63"/>
      <c r="J230" s="53"/>
      <c r="K230" s="53"/>
      <c r="L230" s="7"/>
      <c r="M230" s="7"/>
      <c r="N230" s="7"/>
      <c r="O230" s="7" t="s">
        <v>0</v>
      </c>
      <c r="P230" s="7" t="s">
        <v>0</v>
      </c>
      <c r="Q230" s="7"/>
      <c r="R230" s="7"/>
      <c r="S230" s="7" t="s">
        <v>0</v>
      </c>
      <c r="T230" s="7" t="s">
        <v>0</v>
      </c>
      <c r="U230" s="7"/>
      <c r="V230" s="7" t="s">
        <v>0</v>
      </c>
      <c r="W230" s="7"/>
      <c r="AA230" s="64"/>
      <c r="AB230" s="64"/>
    </row>
    <row r="231" spans="1:41" s="14" customFormat="1" ht="15" customHeight="1" x14ac:dyDescent="0.25">
      <c r="A231" s="49"/>
      <c r="B231" s="49"/>
      <c r="C231" s="49"/>
      <c r="D231" s="49"/>
      <c r="E231" s="49"/>
      <c r="F231" s="50"/>
      <c r="G231" s="51"/>
      <c r="H231" s="51"/>
      <c r="I231" s="63"/>
      <c r="J231" s="53"/>
      <c r="K231" s="53"/>
      <c r="L231" s="7"/>
      <c r="M231" s="7"/>
      <c r="N231" s="7"/>
      <c r="O231" s="7"/>
      <c r="P231" s="7" t="s">
        <v>0</v>
      </c>
      <c r="Q231" s="7"/>
      <c r="R231" s="7"/>
      <c r="S231" s="7"/>
      <c r="T231" s="7"/>
      <c r="U231" s="7"/>
      <c r="V231" s="7"/>
      <c r="W231" s="7" t="s">
        <v>0</v>
      </c>
      <c r="AA231" s="64"/>
      <c r="AB231" s="64"/>
    </row>
    <row r="232" spans="1:41" s="14" customFormat="1" ht="13.5" customHeight="1" x14ac:dyDescent="0.25">
      <c r="A232" s="49"/>
      <c r="B232" s="49"/>
      <c r="C232" s="49"/>
      <c r="D232" s="49"/>
      <c r="E232" s="49"/>
      <c r="F232" s="50"/>
      <c r="G232" s="51"/>
      <c r="H232" s="51"/>
      <c r="I232" s="63"/>
      <c r="J232" s="53" t="s">
        <v>0</v>
      </c>
      <c r="K232" s="53"/>
      <c r="L232" s="7" t="s">
        <v>0</v>
      </c>
      <c r="M232" s="7"/>
      <c r="N232" s="7" t="s">
        <v>0</v>
      </c>
      <c r="O232" s="7" t="s">
        <v>0</v>
      </c>
      <c r="P232" s="7"/>
      <c r="Q232" s="7"/>
      <c r="R232" s="7" t="s">
        <v>0</v>
      </c>
      <c r="S232" s="7" t="s">
        <v>0</v>
      </c>
      <c r="T232" s="7" t="s">
        <v>0</v>
      </c>
      <c r="U232" s="7" t="s">
        <v>0</v>
      </c>
      <c r="V232" s="7" t="s">
        <v>0</v>
      </c>
      <c r="W232" s="7" t="s">
        <v>0</v>
      </c>
      <c r="AA232" s="64"/>
      <c r="AB232" s="64"/>
    </row>
    <row r="233" spans="1:41" s="14" customFormat="1" ht="15" customHeight="1" x14ac:dyDescent="0.25">
      <c r="A233" s="49"/>
      <c r="B233" s="49"/>
      <c r="C233" s="49"/>
      <c r="D233" s="49"/>
      <c r="E233" s="49"/>
      <c r="F233" s="50"/>
      <c r="G233" s="51"/>
      <c r="H233" s="51"/>
      <c r="I233" s="63"/>
      <c r="J233" s="53"/>
      <c r="K233" s="53"/>
      <c r="L233" s="7"/>
      <c r="M233" s="7"/>
      <c r="N233" s="7"/>
      <c r="O233" s="7"/>
      <c r="P233" s="7"/>
      <c r="Q233" s="7"/>
      <c r="R233" s="7"/>
      <c r="S233" s="7"/>
      <c r="T233" s="6" t="s">
        <v>0</v>
      </c>
      <c r="U233" s="6" t="s">
        <v>0</v>
      </c>
      <c r="V233" s="7"/>
      <c r="W233" s="7" t="s">
        <v>0</v>
      </c>
      <c r="X233" s="7"/>
      <c r="Y233" s="7"/>
      <c r="Z233" s="7"/>
      <c r="AA233" s="7"/>
      <c r="AB233" s="7"/>
      <c r="AC233" s="7"/>
      <c r="AD233" s="7"/>
    </row>
  </sheetData>
  <mergeCells count="6">
    <mergeCell ref="P16:Q16"/>
    <mergeCell ref="X16:AO16"/>
    <mergeCell ref="X17:AB17"/>
    <mergeCell ref="AC17:AI17"/>
    <mergeCell ref="AJ17:AL17"/>
    <mergeCell ref="AM17:AO17"/>
  </mergeCells>
  <phoneticPr fontId="33" type="noConversion"/>
  <conditionalFormatting sqref="B19:C226">
    <cfRule type="cellIs" dxfId="47" priority="5" operator="equal">
      <formula>0</formula>
    </cfRule>
  </conditionalFormatting>
  <conditionalFormatting sqref="K19:K226">
    <cfRule type="expression" dxfId="46" priority="6">
      <formula>$K19="LUMP SUM"</formula>
    </cfRule>
    <cfRule type="expression" dxfId="45" priority="7">
      <formula>$K19="ORE"</formula>
    </cfRule>
  </conditionalFormatting>
  <conditionalFormatting sqref="L78:O82">
    <cfRule type="expression" dxfId="44" priority="9">
      <formula>$K78="LUMP SUM"</formula>
    </cfRule>
  </conditionalFormatting>
  <conditionalFormatting sqref="L19:W23">
    <cfRule type="expression" dxfId="43" priority="3">
      <formula>$K19="LUMP SUM"</formula>
    </cfRule>
  </conditionalFormatting>
  <conditionalFormatting sqref="L26:W27 L32:W35 L36:M36 Q36:W36 L73:M73 P73:W73 P78:W83 S197:W197">
    <cfRule type="expression" dxfId="42" priority="12">
      <formula>$K26="LUMP SUM"</formula>
    </cfRule>
  </conditionalFormatting>
  <conditionalFormatting sqref="L29:W30">
    <cfRule type="expression" dxfId="41" priority="1">
      <formula>$K29="LUMP SUM"</formula>
    </cfRule>
  </conditionalFormatting>
  <conditionalFormatting sqref="L37:W72 L83:N83">
    <cfRule type="expression" dxfId="40" priority="8">
      <formula>$K37="LUMP SUM"</formula>
    </cfRule>
  </conditionalFormatting>
  <conditionalFormatting sqref="L74:W77">
    <cfRule type="expression" dxfId="39" priority="11">
      <formula>$K74="LUMP SUM"</formula>
    </cfRule>
  </conditionalFormatting>
  <conditionalFormatting sqref="L84:W196">
    <cfRule type="expression" dxfId="38" priority="2">
      <formula>$K84="LUMP SUM"</formula>
    </cfRule>
  </conditionalFormatting>
  <conditionalFormatting sqref="L198:W226">
    <cfRule type="expression" dxfId="37" priority="4">
      <formula>$K198="LUMP SUM"</formula>
    </cfRule>
  </conditionalFormatting>
  <conditionalFormatting sqref="P31:Q31">
    <cfRule type="expression" dxfId="36" priority="10">
      <formula>$K31="LUMP SUM"</formula>
    </cfRule>
  </conditionalFormatting>
  <dataValidations count="2">
    <dataValidation type="list" allowBlank="1" showInputMessage="1" showErrorMessage="1" sqref="K19:K226" xr:uid="{4C944D18-3BA9-494C-A3D9-CB6A2922B1DE}">
      <formula1>"ORE,LUMP SUM"</formula1>
    </dataValidation>
    <dataValidation type="list" allowBlank="1" showInputMessage="1" showErrorMessage="1" sqref="A19:A226" xr:uid="{89734179-896E-4998-BB84-BB821E9E04D4}">
      <formula1>Lista_Fornitori</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FD2BE89-A69D-4B36-A202-C202FAAC7AFF}">
          <x14:formula1>
            <xm:f>'lista dati'!$W$3:$W$14</xm:f>
          </x14:formula1>
          <xm:sqref>I19:I226</xm:sqref>
        </x14:dataValidation>
        <x14:dataValidation type="list" allowBlank="1" showInputMessage="1" showErrorMessage="1" xr:uid="{ECA54F82-37C8-41EF-8997-260B665A210A}">
          <x14:formula1>
            <xm:f>'lista dati'!$U$3:$U$5</xm:f>
          </x14:formula1>
          <xm:sqref>J19:J226</xm:sqref>
        </x14:dataValidation>
        <x14:dataValidation type="list" allowBlank="1" showInputMessage="1" showErrorMessage="1" xr:uid="{DEA914D3-FF79-443E-B8DF-CB1AD51B7B28}">
          <x14:formula1>
            <xm:f>'lista dati'!$Y$3:$Y$10</xm:f>
          </x14:formula1>
          <xm:sqref>H19:H226</xm:sqref>
        </x14:dataValidation>
        <x14:dataValidation type="list" allowBlank="1" showInputMessage="1" showErrorMessage="1" xr:uid="{647EE2E7-47D0-4F60-8168-C9E69D397819}">
          <x14:formula1>
            <xm:f>'lista dati'!$AA$3:$AA$6</xm:f>
          </x14:formula1>
          <xm:sqref>E19:E226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5A69-A1A5-4682-9B79-AD9CA0CE62D0}">
  <sheetPr>
    <tabColor rgb="FFFFFF00"/>
  </sheetPr>
  <dimension ref="A1:AC17"/>
  <sheetViews>
    <sheetView workbookViewId="0"/>
  </sheetViews>
  <sheetFormatPr defaultRowHeight="15" x14ac:dyDescent="0.25"/>
  <cols>
    <col min="2" max="2" width="10" bestFit="1" customWidth="1"/>
    <col min="3" max="4" width="13.140625" bestFit="1" customWidth="1"/>
    <col min="5" max="6" width="18" bestFit="1" customWidth="1"/>
  </cols>
  <sheetData>
    <row r="1" spans="1:29" x14ac:dyDescent="0.25">
      <c r="A1" s="65"/>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row>
    <row r="2" spans="1:29" ht="34.5" customHeight="1" x14ac:dyDescent="0.25">
      <c r="A2" s="65"/>
      <c r="B2" s="65"/>
      <c r="C2" s="186" t="s">
        <v>122</v>
      </c>
      <c r="D2" s="65"/>
      <c r="E2" s="186" t="s">
        <v>122</v>
      </c>
      <c r="F2" s="65"/>
      <c r="G2" s="65"/>
      <c r="H2" s="65"/>
      <c r="I2" s="65"/>
      <c r="J2" s="65"/>
      <c r="K2" s="65"/>
      <c r="L2" s="65"/>
      <c r="M2" s="65"/>
      <c r="N2" s="65"/>
      <c r="O2" s="65"/>
      <c r="P2" s="65"/>
      <c r="Q2" s="65"/>
      <c r="R2" s="65"/>
      <c r="S2" s="65"/>
      <c r="T2" s="65"/>
      <c r="U2" s="65"/>
      <c r="V2" s="65"/>
      <c r="W2" s="65"/>
      <c r="X2" s="65"/>
      <c r="Y2" s="65"/>
      <c r="Z2" s="65"/>
      <c r="AA2" s="65"/>
      <c r="AB2" s="65"/>
      <c r="AC2" s="65"/>
    </row>
    <row r="3" spans="1:29" ht="61.5" customHeight="1" x14ac:dyDescent="0.25">
      <c r="A3" s="65"/>
      <c r="B3" s="187" t="s">
        <v>123</v>
      </c>
      <c r="C3" s="188" t="s">
        <v>127</v>
      </c>
      <c r="D3" s="188" t="s">
        <v>124</v>
      </c>
      <c r="E3" s="189" t="s">
        <v>125</v>
      </c>
      <c r="F3" s="189" t="s">
        <v>126</v>
      </c>
      <c r="G3" s="65"/>
      <c r="H3" s="65"/>
      <c r="I3" s="65"/>
      <c r="J3" s="65"/>
      <c r="K3" s="65"/>
      <c r="L3" s="65"/>
      <c r="M3" s="65"/>
      <c r="N3" s="65"/>
      <c r="O3" s="65"/>
      <c r="P3" s="65"/>
      <c r="Q3" s="65"/>
      <c r="R3" s="65"/>
      <c r="S3" s="65"/>
      <c r="T3" s="65"/>
      <c r="U3" s="65"/>
      <c r="V3" s="65"/>
      <c r="W3" s="65"/>
      <c r="X3" s="65"/>
      <c r="Y3" s="65"/>
      <c r="Z3" s="65"/>
      <c r="AA3" s="65"/>
      <c r="AB3" s="65"/>
      <c r="AC3" s="65"/>
    </row>
    <row r="4" spans="1:29" x14ac:dyDescent="0.25">
      <c r="B4" s="79" t="s">
        <v>129</v>
      </c>
      <c r="C4" s="79"/>
      <c r="D4" s="79"/>
      <c r="E4" s="190">
        <f>IFERROR(C4*VLOOKUP($B4,Table1[],2,FALSE),"")</f>
        <v>0</v>
      </c>
      <c r="F4" s="190">
        <f>IFERROR(D4*VLOOKUP($B4,Table1[],2,FALSE),"")</f>
        <v>0</v>
      </c>
    </row>
    <row r="5" spans="1:29" x14ac:dyDescent="0.25">
      <c r="B5" s="79" t="s">
        <v>147</v>
      </c>
      <c r="C5" s="79"/>
      <c r="D5" s="79"/>
      <c r="E5" s="190">
        <f>IFERROR(C5*VLOOKUP($B5,Table1[],2,FALSE),"")</f>
        <v>0</v>
      </c>
      <c r="F5" s="190">
        <f>IFERROR(D5*VLOOKUP($B5,Table1[],2,FALSE),"")</f>
        <v>0</v>
      </c>
    </row>
    <row r="6" spans="1:29" x14ac:dyDescent="0.25">
      <c r="B6" s="79" t="s">
        <v>149</v>
      </c>
      <c r="C6" s="79"/>
      <c r="D6" s="79"/>
      <c r="E6" s="190">
        <f>IFERROR(C6*VLOOKUP($B6,Table1[],2,FALSE),"")</f>
        <v>0</v>
      </c>
      <c r="F6" s="190">
        <f>IFERROR(D6*VLOOKUP($B6,Table1[],2,FALSE),"")</f>
        <v>0</v>
      </c>
    </row>
    <row r="7" spans="1:29" x14ac:dyDescent="0.25">
      <c r="B7" s="79" t="s">
        <v>151</v>
      </c>
      <c r="C7" s="79"/>
      <c r="D7" s="79"/>
      <c r="E7" s="190">
        <f>IFERROR(C7*VLOOKUP($B7,Table1[],2,FALSE),"")</f>
        <v>0</v>
      </c>
      <c r="F7" s="190">
        <f>IFERROR(D7*VLOOKUP($B7,Table1[],2,FALSE),"")</f>
        <v>0</v>
      </c>
    </row>
    <row r="8" spans="1:29" x14ac:dyDescent="0.25">
      <c r="B8" s="79" t="s">
        <v>153</v>
      </c>
      <c r="C8" s="79"/>
      <c r="D8" s="79"/>
      <c r="E8" s="190">
        <f>IFERROR(C8*VLOOKUP($B8,Table1[],2,FALSE),"")</f>
        <v>0</v>
      </c>
      <c r="F8" s="190">
        <f>IFERROR(D8*VLOOKUP($B8,Table1[],2,FALSE),"")</f>
        <v>0</v>
      </c>
    </row>
    <row r="9" spans="1:29" x14ac:dyDescent="0.25">
      <c r="B9" s="79" t="s">
        <v>155</v>
      </c>
      <c r="C9" s="79"/>
      <c r="D9" s="79"/>
      <c r="E9" s="190">
        <f>IFERROR(C9*VLOOKUP($B9,Table1[],2,FALSE),"")</f>
        <v>0</v>
      </c>
      <c r="F9" s="190">
        <f>IFERROR(D9*VLOOKUP($B9,Table1[],2,FALSE),"")</f>
        <v>0</v>
      </c>
    </row>
    <row r="10" spans="1:29" x14ac:dyDescent="0.25">
      <c r="B10" s="79" t="s">
        <v>131</v>
      </c>
      <c r="C10" s="79"/>
      <c r="D10" s="79"/>
      <c r="E10" s="190">
        <f>IFERROR(C10*VLOOKUP($B10,Table1[],2,FALSE),"")</f>
        <v>0</v>
      </c>
      <c r="F10" s="190">
        <f>IFERROR(D10*VLOOKUP($B10,Table1[],2,FALSE),"")</f>
        <v>0</v>
      </c>
    </row>
    <row r="11" spans="1:29" x14ac:dyDescent="0.25">
      <c r="B11" s="79" t="s">
        <v>133</v>
      </c>
      <c r="C11" s="79"/>
      <c r="D11" s="79"/>
      <c r="E11" s="190">
        <f>IFERROR(C11*VLOOKUP($B11,Table1[],2,FALSE),"")</f>
        <v>0</v>
      </c>
      <c r="F11" s="190">
        <f>IFERROR(D11*VLOOKUP($B11,Table1[],2,FALSE),"")</f>
        <v>0</v>
      </c>
    </row>
    <row r="12" spans="1:29" x14ac:dyDescent="0.25">
      <c r="B12" s="79" t="s">
        <v>135</v>
      </c>
      <c r="C12" s="79"/>
      <c r="D12" s="79"/>
      <c r="E12" s="190">
        <f>IFERROR(C12*VLOOKUP($B12,Table1[],2,FALSE),"")</f>
        <v>0</v>
      </c>
      <c r="F12" s="190">
        <f>IFERROR(D12*VLOOKUP($B12,Table1[],2,FALSE),"")</f>
        <v>0</v>
      </c>
    </row>
    <row r="13" spans="1:29" x14ac:dyDescent="0.25">
      <c r="B13" s="79" t="s">
        <v>137</v>
      </c>
      <c r="C13" s="79"/>
      <c r="D13" s="79"/>
      <c r="E13" s="190">
        <f>IFERROR(C13*VLOOKUP($B13,Table1[],2,FALSE),"")</f>
        <v>0</v>
      </c>
      <c r="F13" s="190">
        <f>IFERROR(D13*VLOOKUP($B13,Table1[],2,FALSE),"")</f>
        <v>0</v>
      </c>
    </row>
    <row r="14" spans="1:29" x14ac:dyDescent="0.25">
      <c r="B14" s="79" t="s">
        <v>139</v>
      </c>
      <c r="C14" s="79"/>
      <c r="D14" s="79"/>
      <c r="E14" s="190">
        <f>IFERROR(C14*VLOOKUP($B14,Table1[],2,FALSE),"")</f>
        <v>0</v>
      </c>
      <c r="F14" s="190">
        <f>IFERROR(D14*VLOOKUP($B14,Table1[],2,FALSE),"")</f>
        <v>0</v>
      </c>
    </row>
    <row r="15" spans="1:29" x14ac:dyDescent="0.25">
      <c r="B15" s="79" t="s">
        <v>141</v>
      </c>
      <c r="C15" s="79"/>
      <c r="D15" s="79"/>
      <c r="E15" s="190">
        <f>IFERROR(C15*VLOOKUP($B15,Table1[],2,FALSE),"")</f>
        <v>0</v>
      </c>
      <c r="F15" s="190">
        <f>IFERROR(D15*VLOOKUP($B15,Table1[],2,FALSE),"")</f>
        <v>0</v>
      </c>
    </row>
    <row r="16" spans="1:29" x14ac:dyDescent="0.25">
      <c r="B16" s="79" t="s">
        <v>143</v>
      </c>
      <c r="C16" s="79"/>
      <c r="D16" s="79"/>
      <c r="E16" s="190">
        <f>IFERROR(C16*VLOOKUP($B16,Table1[],2,FALSE),"")</f>
        <v>0</v>
      </c>
      <c r="F16" s="190">
        <f>IFERROR(D16*VLOOKUP($B16,Table1[],2,FALSE),"")</f>
        <v>0</v>
      </c>
    </row>
    <row r="17" spans="2:6" x14ac:dyDescent="0.25">
      <c r="B17" s="79" t="s">
        <v>145</v>
      </c>
      <c r="C17" s="79"/>
      <c r="D17" s="79"/>
      <c r="E17" s="190">
        <f>IFERROR(C17*VLOOKUP($B17,Table1[],2,FALSE),"")</f>
        <v>0</v>
      </c>
      <c r="F17" s="190">
        <f>IFERROR(D17*VLOOKUP($B17,Table1[],2,FALSE),"")</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C063-DB4F-44C2-A24A-EA86CC337F3A}">
  <sheetPr>
    <tabColor rgb="FF7030A0"/>
  </sheetPr>
  <dimension ref="A1:AB62"/>
  <sheetViews>
    <sheetView zoomScale="70" zoomScaleNormal="70" workbookViewId="0">
      <pane ySplit="1" topLeftCell="A2" activePane="bottomLeft" state="frozen"/>
      <selection pane="bottomLeft" activeCell="A2" sqref="A2"/>
    </sheetView>
  </sheetViews>
  <sheetFormatPr defaultColWidth="8.85546875" defaultRowHeight="15" x14ac:dyDescent="0.25"/>
  <cols>
    <col min="1" max="1" width="22.5703125" style="318" customWidth="1"/>
    <col min="2" max="3" width="8.85546875" style="318"/>
    <col min="4" max="4" width="14.7109375" style="318" customWidth="1"/>
    <col min="5" max="5" width="1.85546875" style="318" customWidth="1"/>
    <col min="6" max="6" width="17.85546875" style="318" customWidth="1"/>
    <col min="7" max="7" width="12.140625" style="318" customWidth="1"/>
    <col min="8" max="8" width="15" style="318" customWidth="1"/>
    <col min="9" max="9" width="12.140625" style="318" customWidth="1"/>
    <col min="10" max="10" width="14.5703125" style="318" customWidth="1"/>
    <col min="11" max="11" width="12.140625" style="318" customWidth="1"/>
    <col min="12" max="12" width="15.140625" style="318" customWidth="1"/>
    <col min="13" max="13" width="12.85546875" style="318" customWidth="1"/>
    <col min="14" max="14" width="14.140625" style="318" customWidth="1"/>
    <col min="15" max="15" width="13.42578125" style="318" customWidth="1"/>
    <col min="16" max="16" width="13.28515625" style="318" customWidth="1"/>
    <col min="17" max="17" width="11.42578125" style="318" customWidth="1"/>
    <col min="18" max="18" width="13.7109375" style="318" bestFit="1" customWidth="1"/>
    <col min="19" max="19" width="11.42578125" style="318" customWidth="1"/>
    <col min="20" max="20" width="13.140625" style="318" bestFit="1" customWidth="1"/>
    <col min="21" max="21" width="13.7109375" style="318" bestFit="1" customWidth="1"/>
    <col min="22" max="22" width="11.42578125" style="318" customWidth="1"/>
    <col min="23" max="23" width="12.42578125" style="318" bestFit="1" customWidth="1"/>
    <col min="24" max="27" width="11.42578125" style="318" customWidth="1"/>
    <col min="28" max="28" width="14.140625" style="318" customWidth="1"/>
    <col min="29" max="16384" width="8.85546875" style="318"/>
  </cols>
  <sheetData>
    <row r="1" spans="6:28" s="316" customFormat="1" ht="60.75" customHeight="1" thickBot="1" x14ac:dyDescent="0.3">
      <c r="AB1" s="317" t="s">
        <v>156</v>
      </c>
    </row>
    <row r="2" spans="6:28" ht="19.899999999999999" customHeight="1" thickTop="1" x14ac:dyDescent="0.25">
      <c r="K2" s="572"/>
      <c r="L2" s="572"/>
      <c r="M2" s="573" t="s">
        <v>210</v>
      </c>
      <c r="N2" s="574"/>
      <c r="O2" s="574"/>
      <c r="P2" s="575"/>
      <c r="Q2" s="319" t="s">
        <v>211</v>
      </c>
    </row>
    <row r="3" spans="6:28" ht="19.899999999999999" customHeight="1" thickBot="1" x14ac:dyDescent="0.3">
      <c r="K3" s="576">
        <f>AVANZAMENTO!M1</f>
        <v>45082</v>
      </c>
      <c r="L3" s="577"/>
      <c r="M3" s="578" t="s">
        <v>212</v>
      </c>
      <c r="N3" s="579"/>
      <c r="O3" s="580" t="s">
        <v>213</v>
      </c>
      <c r="P3" s="581"/>
      <c r="R3" s="320"/>
    </row>
    <row r="4" spans="6:28" ht="20.45" customHeight="1" thickTop="1" thickBot="1" x14ac:dyDescent="0.3">
      <c r="G4" s="564" t="s">
        <v>170</v>
      </c>
      <c r="H4" s="565"/>
      <c r="I4" s="566" t="s">
        <v>214</v>
      </c>
      <c r="J4" s="567"/>
      <c r="K4" s="566" t="s">
        <v>215</v>
      </c>
      <c r="L4" s="567"/>
      <c r="M4" s="568" t="s">
        <v>216</v>
      </c>
      <c r="N4" s="569" t="s">
        <v>217</v>
      </c>
      <c r="O4" s="570" t="s">
        <v>218</v>
      </c>
      <c r="P4" s="571" t="s">
        <v>219</v>
      </c>
      <c r="Q4" s="553" t="s">
        <v>220</v>
      </c>
      <c r="R4" s="555" t="s">
        <v>205</v>
      </c>
      <c r="S4" s="557" t="s">
        <v>221</v>
      </c>
      <c r="AB4" s="321"/>
    </row>
    <row r="5" spans="6:28" ht="21.6" customHeight="1" thickBot="1" x14ac:dyDescent="0.3">
      <c r="F5" s="322" t="s">
        <v>179</v>
      </c>
      <c r="G5" s="323" t="s">
        <v>180</v>
      </c>
      <c r="H5" s="324" t="s">
        <v>222</v>
      </c>
      <c r="I5" s="325" t="s">
        <v>180</v>
      </c>
      <c r="J5" s="324" t="s">
        <v>222</v>
      </c>
      <c r="K5" s="326" t="s">
        <v>223</v>
      </c>
      <c r="L5" s="327" t="s">
        <v>222</v>
      </c>
      <c r="M5" s="568"/>
      <c r="N5" s="569"/>
      <c r="O5" s="570"/>
      <c r="P5" s="571"/>
      <c r="Q5" s="554"/>
      <c r="R5" s="556"/>
      <c r="S5" s="558"/>
      <c r="T5" s="328" t="s">
        <v>179</v>
      </c>
    </row>
    <row r="6" spans="6:28" ht="18.600000000000001" customHeight="1" x14ac:dyDescent="0.25">
      <c r="F6" s="329" t="s">
        <v>266</v>
      </c>
      <c r="G6" s="330" t="str">
        <f>IFERROR(GETPIVOTDATA("TOTALE ORE",'Altre Tabelle di dettaglio'!$AP$5,"Ingegneria di competenza","Baldanza"),"non-visibile")</f>
        <v>non-visibile</v>
      </c>
      <c r="H6" s="331" t="str">
        <f>IFERROR(GETPIVOTDATA("BUDGET STIMATO LUMP SUM",'Altre Tabelle di dettaglio'!$V$5,"Ingegneria di competenza","Baldanza"),"non-visibile")</f>
        <v>non-visibile</v>
      </c>
      <c r="I6" s="332" t="str">
        <f>IF($G$6&lt;&gt;"non-visibile",'BDG 2023'!E4,"non-visibile")</f>
        <v>non-visibile</v>
      </c>
      <c r="J6" s="331" t="str">
        <f>IF($G$6&lt;&gt;"non-visibile",'BDG 2023'!F4,"non-visibile")</f>
        <v>non-visibile</v>
      </c>
      <c r="K6" s="333" t="str">
        <f>IFERROR(GETPIVOTDATA("Actual ORE ripartito",'Altre Tabelle di dettaglio'!$BK$5,"Ingegneria di competenza","Baldanza"),"non-visibile")</f>
        <v>non-visibile</v>
      </c>
      <c r="L6" s="334" t="str">
        <f>IFERROR(GETPIVOTDATA("Actual LUMP ripartito",'Altre Tabelle di dettaglio'!$DC$5,"Ingegneria di competenza","Baldanza"),"non-visibile")</f>
        <v>non-visibile</v>
      </c>
      <c r="M6" s="335" t="str">
        <f>IFERROR(GETPIVOTDATA("ORE a oggi",'Altre Tabelle di dettaglio'!$DZ$5,"Ingegneria di competenza",$F6),"non-visibile")</f>
        <v>non-visibile</v>
      </c>
      <c r="N6" s="336" t="str">
        <f>IFERROR(GETPIVOTDATA("EURO LUMP a oggi",'Altre Tabelle di dettaglio'!$EX$5,"Ingegneria di competenza",$F6),"non-visibile")</f>
        <v>non-visibile</v>
      </c>
      <c r="O6" s="337" t="str">
        <f>IFERROR(GETPIVOTDATA("ORE a finire",'Altre Tabelle di dettaglio'!$FV$5,"Ingegneria di competenza",$F6),"non-visibile")</f>
        <v>non-visibile</v>
      </c>
      <c r="P6" s="338" t="str">
        <f>IFERROR(GETPIVOTDATA("EURO LUMP a finire",'Altre Tabelle di dettaglio'!$GU$5,"Ingegneria di competenza",$F6),"non-visibile")</f>
        <v>non-visibile</v>
      </c>
      <c r="Q6" s="339" t="str">
        <f>IF($G6&lt;&gt;"non-visibile",K6+O6,"non-visibile")</f>
        <v>non-visibile</v>
      </c>
      <c r="R6" s="340" t="str">
        <f>IF($G6&lt;&gt;"non-visibile",L6+P6,"non-visibile")</f>
        <v>non-visibile</v>
      </c>
      <c r="S6" s="341" t="str">
        <f>IF($G6&lt;&gt;"non-visibile",K6*12/5,"non-visibile")</f>
        <v>non-visibile</v>
      </c>
      <c r="T6" s="342" t="s">
        <v>266</v>
      </c>
    </row>
    <row r="7" spans="6:28" ht="18.600000000000001" customHeight="1" x14ac:dyDescent="0.25">
      <c r="F7" s="343" t="s">
        <v>267</v>
      </c>
      <c r="G7" s="330" t="str">
        <f>IFERROR(GETPIVOTDATA("TOTALE ORE",'Altre Tabelle di dettaglio'!$AP$5,"Ingegneria di competenza","Ferrari"),"non-visibile")</f>
        <v>non-visibile</v>
      </c>
      <c r="H7" s="331" t="str">
        <f>IFERROR(GETPIVOTDATA("BUDGET STIMATO LUMP SUM",'Altre Tabelle di dettaglio'!$V$5,"Ingegneria di competenza","Ferrari"),"non-visibile")</f>
        <v>non-visibile</v>
      </c>
      <c r="I7" s="332" t="str">
        <f>IF($G$7&lt;&gt;"non-visibile",'BDG 2023'!E6,"non-visibile")</f>
        <v>non-visibile</v>
      </c>
      <c r="J7" s="331" t="str">
        <f>IF($G$7&lt;&gt;"non-visibile",'BDG 2023'!F6,"non-visibile")</f>
        <v>non-visibile</v>
      </c>
      <c r="K7" s="333" t="str">
        <f>IFERROR(GETPIVOTDATA("Actual ORE ripartito",'Altre Tabelle di dettaglio'!$BK$5,"Ingegneria di competenza","Ferrari"),"non-visibile")</f>
        <v>non-visibile</v>
      </c>
      <c r="L7" s="334" t="str">
        <f>IFERROR(GETPIVOTDATA("Actual LUMP ripartito",'Altre Tabelle di dettaglio'!$DC$5,"Ingegneria di competenza","Ferrari"),"non-visibile")</f>
        <v>non-visibile</v>
      </c>
      <c r="M7" s="335" t="str">
        <f>IFERROR(GETPIVOTDATA("ORE a oggi",'Altre Tabelle di dettaglio'!$DZ$5,"Ingegneria di competenza",$F7),"non-visibile")</f>
        <v>non-visibile</v>
      </c>
      <c r="N7" s="336" t="str">
        <f>IFERROR(GETPIVOTDATA("EURO LUMP a oggi",'Altre Tabelle di dettaglio'!$EX$5,"Ingegneria di competenza",$F7),"non-visibile")</f>
        <v>non-visibile</v>
      </c>
      <c r="O7" s="337" t="str">
        <f>IFERROR(GETPIVOTDATA("ORE a finire",'Altre Tabelle di dettaglio'!$FV$5,"Ingegneria di competenza",$F7),"non-visibile")</f>
        <v>non-visibile</v>
      </c>
      <c r="P7" s="338" t="str">
        <f>IFERROR(GETPIVOTDATA("EURO LUMP a finire",'Altre Tabelle di dettaglio'!$GU$5,"Ingegneria di competenza",$F7),"non-visibile")</f>
        <v>non-visibile</v>
      </c>
      <c r="Q7" s="339" t="str">
        <f t="shared" ref="Q7:R18" si="0">IF($G7&lt;&gt;"non-visibile",K7+O7,"non-visibile")</f>
        <v>non-visibile</v>
      </c>
      <c r="R7" s="340" t="str">
        <f t="shared" si="0"/>
        <v>non-visibile</v>
      </c>
      <c r="S7" s="341" t="str">
        <f t="shared" ref="S7:S17" si="1">IF($G7&lt;&gt;"non-visibile",K7*12/5,"non-visibile")</f>
        <v>non-visibile</v>
      </c>
      <c r="T7" s="344" t="s">
        <v>267</v>
      </c>
    </row>
    <row r="8" spans="6:28" ht="18.600000000000001" customHeight="1" x14ac:dyDescent="0.25">
      <c r="F8" s="343" t="s">
        <v>268</v>
      </c>
      <c r="G8" s="330" t="str">
        <f>IFERROR(GETPIVOTDATA("TOTALE ORE",'Altre Tabelle di dettaglio'!$AP$5,"Ingegneria di competenza","Fortini"),"non-visibile")</f>
        <v>non-visibile</v>
      </c>
      <c r="H8" s="331" t="str">
        <f>IFERROR(GETPIVOTDATA("BUDGET STIMATO LUMP SUM",'Altre Tabelle di dettaglio'!$V$5,"Ingegneria di competenza","Fortini"),"non-visibile")</f>
        <v>non-visibile</v>
      </c>
      <c r="I8" s="332" t="str">
        <f>IF($G$8&lt;&gt;"non-visibile",'BDG 2023'!E7,"non-visibile")</f>
        <v>non-visibile</v>
      </c>
      <c r="J8" s="331" t="str">
        <f>IF($G$8&lt;&gt;"non-visibile",'BDG 2023'!F7,"non-visibile")</f>
        <v>non-visibile</v>
      </c>
      <c r="K8" s="333" t="str">
        <f>IFERROR(GETPIVOTDATA("Actual ORE ripartito",'Altre Tabelle di dettaglio'!$BK$5,"Ingegneria di competenza","Fortini"),"non-visibile")</f>
        <v>non-visibile</v>
      </c>
      <c r="L8" s="334" t="str">
        <f>IFERROR(GETPIVOTDATA("Actual LUMP ripartito",'Altre Tabelle di dettaglio'!$DC$5,"Ingegneria di competenza","Fortini"),"non-visibile")</f>
        <v>non-visibile</v>
      </c>
      <c r="M8" s="335" t="str">
        <f>IFERROR(GETPIVOTDATA("ORE a oggi",'Altre Tabelle di dettaglio'!$DZ$5,"Ingegneria di competenza",$F8),"non-visibile")</f>
        <v>non-visibile</v>
      </c>
      <c r="N8" s="336" t="str">
        <f>IFERROR(GETPIVOTDATA("EURO LUMP a oggi",'Altre Tabelle di dettaglio'!$EX$5,"Ingegneria di competenza",$F8),"non-visibile")</f>
        <v>non-visibile</v>
      </c>
      <c r="O8" s="337" t="str">
        <f>IFERROR(GETPIVOTDATA("ORE a finire",'Altre Tabelle di dettaglio'!$FV$5,"Ingegneria di competenza",$F8),"non-visibile")</f>
        <v>non-visibile</v>
      </c>
      <c r="P8" s="338" t="str">
        <f>IFERROR(GETPIVOTDATA("EURO LUMP a finire",'Altre Tabelle di dettaglio'!$GU$5,"Ingegneria di competenza",$F8),"non-visibile")</f>
        <v>non-visibile</v>
      </c>
      <c r="Q8" s="339" t="str">
        <f t="shared" si="0"/>
        <v>non-visibile</v>
      </c>
      <c r="R8" s="340" t="str">
        <f t="shared" si="0"/>
        <v>non-visibile</v>
      </c>
      <c r="S8" s="341" t="str">
        <f t="shared" si="1"/>
        <v>non-visibile</v>
      </c>
      <c r="T8" s="344" t="s">
        <v>268</v>
      </c>
    </row>
    <row r="9" spans="6:28" ht="18.600000000000001" customHeight="1" x14ac:dyDescent="0.25">
      <c r="F9" s="343" t="s">
        <v>269</v>
      </c>
      <c r="G9" s="330" t="str">
        <f>IFERROR(GETPIVOTDATA("TOTALE ORE",'Altre Tabelle di dettaglio'!$AP$5,"Ingegneria di competenza","Guidotti"),"non-visibile")</f>
        <v>non-visibile</v>
      </c>
      <c r="H9" s="331" t="str">
        <f>IFERROR(GETPIVOTDATA("BUDGET STIMATO LUMP SUM",'Altre Tabelle di dettaglio'!$V$5,"Ingegneria di competenza","Guidotti"),"non-visibile")</f>
        <v>non-visibile</v>
      </c>
      <c r="I9" s="332" t="str">
        <f>IF($G$9&lt;&gt;"non-visibile",'BDG 2023'!E8,"non-visibile")</f>
        <v>non-visibile</v>
      </c>
      <c r="J9" s="331" t="str">
        <f>IF($G$9&lt;&gt;"non-visibile",'BDG 2023'!F8,"non-visibile")</f>
        <v>non-visibile</v>
      </c>
      <c r="K9" s="333" t="str">
        <f>IFERROR(GETPIVOTDATA("Actual ORE ripartito",'Altre Tabelle di dettaglio'!$BK$5,"Ingegneria di competenza","Guidotti"),"non-visibile")</f>
        <v>non-visibile</v>
      </c>
      <c r="L9" s="334" t="str">
        <f>IFERROR(GETPIVOTDATA("Actual LUMP ripartito",'Altre Tabelle di dettaglio'!$DC$5,"Ingegneria di competenza","Guidotti"),"non-visibile")</f>
        <v>non-visibile</v>
      </c>
      <c r="M9" s="335" t="str">
        <f>IFERROR(GETPIVOTDATA("ORE a oggi",'Altre Tabelle di dettaglio'!$DZ$5,"Ingegneria di competenza",$F9),"non-visibile")</f>
        <v>non-visibile</v>
      </c>
      <c r="N9" s="336" t="str">
        <f>IFERROR(GETPIVOTDATA("EURO LUMP a oggi",'Altre Tabelle di dettaglio'!$EX$5,"Ingegneria di competenza",$F9),"non-visibile")</f>
        <v>non-visibile</v>
      </c>
      <c r="O9" s="337" t="str">
        <f>IFERROR(GETPIVOTDATA("ORE a finire",'Altre Tabelle di dettaglio'!$FV$5,"Ingegneria di competenza",$F9),"non-visibile")</f>
        <v>non-visibile</v>
      </c>
      <c r="P9" s="338" t="str">
        <f>IFERROR(GETPIVOTDATA("EURO LUMP a finire",'Altre Tabelle di dettaglio'!$GU$5,"Ingegneria di competenza",$F9),"non-visibile")</f>
        <v>non-visibile</v>
      </c>
      <c r="Q9" s="339" t="str">
        <f t="shared" si="0"/>
        <v>non-visibile</v>
      </c>
      <c r="R9" s="340" t="str">
        <f t="shared" si="0"/>
        <v>non-visibile</v>
      </c>
      <c r="S9" s="341" t="str">
        <f t="shared" si="1"/>
        <v>non-visibile</v>
      </c>
      <c r="T9" s="344" t="s">
        <v>269</v>
      </c>
    </row>
    <row r="10" spans="6:28" ht="18.600000000000001" customHeight="1" x14ac:dyDescent="0.25">
      <c r="F10" s="343" t="s">
        <v>270</v>
      </c>
      <c r="G10" s="330" t="str">
        <f>IFERROR(GETPIVOTDATA("TOTALE ORE",'Altre Tabelle di dettaglio'!$AP$5,"Ingegneria di competenza","Lanzarini"),"non-visibile")</f>
        <v>non-visibile</v>
      </c>
      <c r="H10" s="331" t="str">
        <f>IFERROR(GETPIVOTDATA("BUDGET STIMATO LUMP SUM",'Altre Tabelle di dettaglio'!$V$5,"Ingegneria di competenza","Lanzarini"),"non-visibile")</f>
        <v>non-visibile</v>
      </c>
      <c r="I10" s="332" t="str">
        <f>IF($G$10&lt;&gt;"non-visibile",'BDG 2023'!E17,"non-visibile")</f>
        <v>non-visibile</v>
      </c>
      <c r="J10" s="331" t="str">
        <f>IF($G$10&lt;&gt;"non-visibile",'BDG 2023'!F17,"non-visibile")</f>
        <v>non-visibile</v>
      </c>
      <c r="K10" s="333" t="str">
        <f>IFERROR(GETPIVOTDATA("Actual ORE ripartito",'Altre Tabelle di dettaglio'!$BK$5,"Ingegneria di competenza","Lanzarini"),"non-visibile")</f>
        <v>non-visibile</v>
      </c>
      <c r="L10" s="334" t="str">
        <f>IFERROR(GETPIVOTDATA("Actual LUMP ripartito",'Altre Tabelle di dettaglio'!$DC$5,"Ingegneria di competenza","Lanzarini"),"non-visibile")</f>
        <v>non-visibile</v>
      </c>
      <c r="M10" s="335" t="str">
        <f>IFERROR(GETPIVOTDATA("ORE a oggi",'Altre Tabelle di dettaglio'!$DZ$5,"Ingegneria di competenza",$F10),"non-visibile")</f>
        <v>non-visibile</v>
      </c>
      <c r="N10" s="336" t="str">
        <f>IFERROR(GETPIVOTDATA("EURO LUMP a oggi",'Altre Tabelle di dettaglio'!$EX$5,"Ingegneria di competenza",$F10),"non-visibile")</f>
        <v>non-visibile</v>
      </c>
      <c r="O10" s="337" t="str">
        <f>IFERROR(GETPIVOTDATA("ORE a finire",'Altre Tabelle di dettaglio'!$FV$5,"Ingegneria di competenza",$F10),"non-visibile")</f>
        <v>non-visibile</v>
      </c>
      <c r="P10" s="338" t="str">
        <f>IFERROR(GETPIVOTDATA("EURO LUMP a finire",'Altre Tabelle di dettaglio'!$GU$5,"Ingegneria di competenza",$F10),"non-visibile")</f>
        <v>non-visibile</v>
      </c>
      <c r="Q10" s="339" t="str">
        <f t="shared" si="0"/>
        <v>non-visibile</v>
      </c>
      <c r="R10" s="340" t="str">
        <f t="shared" si="0"/>
        <v>non-visibile</v>
      </c>
      <c r="S10" s="341" t="str">
        <f t="shared" si="1"/>
        <v>non-visibile</v>
      </c>
      <c r="T10" s="344" t="s">
        <v>270</v>
      </c>
    </row>
    <row r="11" spans="6:28" ht="18.600000000000001" customHeight="1" x14ac:dyDescent="0.25">
      <c r="F11" s="343" t="s">
        <v>271</v>
      </c>
      <c r="G11" s="330" t="str">
        <f>IFERROR(GETPIVOTDATA("TOTALE ORE",'Altre Tabelle di dettaglio'!$AP$5,"Ingegneria di competenza","Mengoli"),"non-visibile")</f>
        <v>non-visibile</v>
      </c>
      <c r="H11" s="331" t="str">
        <f>IFERROR(GETPIVOTDATA("BUDGET STIMATO LUMP SUM",'Altre Tabelle di dettaglio'!$V$5,"Ingegneria di competenza","Mengoli"),"non-visibile")</f>
        <v>non-visibile</v>
      </c>
      <c r="I11" s="332" t="str">
        <f>IF($G$11&lt;&gt;"non-visibile",'BDG 2023'!E9,"non-visibile")</f>
        <v>non-visibile</v>
      </c>
      <c r="J11" s="331" t="str">
        <f>IF($G$11&lt;&gt;"non-visibile",'BDG 2023'!F9,"non-visibile")</f>
        <v>non-visibile</v>
      </c>
      <c r="K11" s="333" t="str">
        <f>IFERROR(GETPIVOTDATA("Actual ORE ripartito",'Altre Tabelle di dettaglio'!$BK$5,"Ingegneria di competenza","Mengoli"),"non-visibile")</f>
        <v>non-visibile</v>
      </c>
      <c r="L11" s="334" t="str">
        <f>IFERROR(GETPIVOTDATA("Actual LUMP ripartito",'Altre Tabelle di dettaglio'!$DC$5,"Ingegneria di competenza","Mengoli"),"non-visibile")</f>
        <v>non-visibile</v>
      </c>
      <c r="M11" s="335" t="str">
        <f>IFERROR(GETPIVOTDATA("ORE a oggi",'Altre Tabelle di dettaglio'!$DZ$5,"Ingegneria di competenza",$F11),"non-visibile")</f>
        <v>non-visibile</v>
      </c>
      <c r="N11" s="336" t="str">
        <f>IFERROR(GETPIVOTDATA("EURO LUMP a oggi",'Altre Tabelle di dettaglio'!$EX$5,"Ingegneria di competenza",$F11),"non-visibile")</f>
        <v>non-visibile</v>
      </c>
      <c r="O11" s="337" t="str">
        <f>IFERROR(GETPIVOTDATA("ORE a finire",'Altre Tabelle di dettaglio'!$FV$5,"Ingegneria di competenza",$F11),"non-visibile")</f>
        <v>non-visibile</v>
      </c>
      <c r="P11" s="338" t="str">
        <f>IFERROR(GETPIVOTDATA("EURO LUMP a finire",'Altre Tabelle di dettaglio'!$GU$5,"Ingegneria di competenza",$F11),"non-visibile")</f>
        <v>non-visibile</v>
      </c>
      <c r="Q11" s="339" t="str">
        <f t="shared" si="0"/>
        <v>non-visibile</v>
      </c>
      <c r="R11" s="340" t="str">
        <f t="shared" si="0"/>
        <v>non-visibile</v>
      </c>
      <c r="S11" s="341" t="str">
        <f t="shared" si="1"/>
        <v>non-visibile</v>
      </c>
      <c r="T11" s="344" t="s">
        <v>271</v>
      </c>
    </row>
    <row r="12" spans="6:28" ht="18.600000000000001" customHeight="1" x14ac:dyDescent="0.25">
      <c r="F12" s="343" t="s">
        <v>272</v>
      </c>
      <c r="G12" s="330" t="str">
        <f>IFERROR(GETPIVOTDATA("TOTALE ORE",'Altre Tabelle di dettaglio'!$AP$5,"Ingegneria di competenza","Parmeggiani"),"non-visibile")</f>
        <v>non-visibile</v>
      </c>
      <c r="H12" s="331" t="str">
        <f>IFERROR(GETPIVOTDATA("BUDGET STIMATO LUMP SUM",'Altre Tabelle di dettaglio'!$V$5,"Ingegneria di competenza","Parmeggiani"),"non-visibile")</f>
        <v>non-visibile</v>
      </c>
      <c r="I12" s="332" t="str">
        <f>IF($G$12&lt;&gt;"non-visibile",'BDG 2023'!E10,"non-visibile")</f>
        <v>non-visibile</v>
      </c>
      <c r="J12" s="331" t="str">
        <f>IF($G$12&lt;&gt;"non-visibile",'BDG 2023'!F10,"non-visibile")</f>
        <v>non-visibile</v>
      </c>
      <c r="K12" s="333" t="str">
        <f>IFERROR(GETPIVOTDATA("Actual ORE ripartito",'Altre Tabelle di dettaglio'!$BK$5,"Ingegneria di competenza","Parmeggiani"),"non-visibile")</f>
        <v>non-visibile</v>
      </c>
      <c r="L12" s="334" t="str">
        <f>IFERROR(GETPIVOTDATA("Actual LUMP ripartito",'Altre Tabelle di dettaglio'!$DC$5,"Ingegneria di competenza","Parmeggiani"),"non-visibile")</f>
        <v>non-visibile</v>
      </c>
      <c r="M12" s="335" t="str">
        <f>IFERROR(GETPIVOTDATA("ORE a oggi",'Altre Tabelle di dettaglio'!$DZ$5,"Ingegneria di competenza",$F12),"non-visibile")</f>
        <v>non-visibile</v>
      </c>
      <c r="N12" s="336" t="str">
        <f>IFERROR(GETPIVOTDATA("EURO LUMP a oggi",'Altre Tabelle di dettaglio'!$EX$5,"Ingegneria di competenza",$F12),"non-visibile")</f>
        <v>non-visibile</v>
      </c>
      <c r="O12" s="337" t="str">
        <f>IFERROR(GETPIVOTDATA("ORE a finire",'Altre Tabelle di dettaglio'!$FV$5,"Ingegneria di competenza",$F12),"non-visibile")</f>
        <v>non-visibile</v>
      </c>
      <c r="P12" s="338" t="str">
        <f>IFERROR(GETPIVOTDATA("EURO LUMP a finire",'Altre Tabelle di dettaglio'!$GU$5,"Ingegneria di competenza",$F12),"non-visibile")</f>
        <v>non-visibile</v>
      </c>
      <c r="Q12" s="339" t="str">
        <f t="shared" si="0"/>
        <v>non-visibile</v>
      </c>
      <c r="R12" s="340" t="str">
        <f t="shared" si="0"/>
        <v>non-visibile</v>
      </c>
      <c r="S12" s="341" t="str">
        <f t="shared" si="1"/>
        <v>non-visibile</v>
      </c>
      <c r="T12" s="344" t="s">
        <v>272</v>
      </c>
    </row>
    <row r="13" spans="6:28" ht="18.600000000000001" customHeight="1" x14ac:dyDescent="0.25">
      <c r="F13" s="343" t="s">
        <v>273</v>
      </c>
      <c r="G13" s="330">
        <f>IFERROR(GETPIVOTDATA("TOTALE ORE",'Altre Tabelle di dettaglio'!$AP$5,"Ingegneria di competenza","Polloni"),"non-visibile")</f>
        <v>13990</v>
      </c>
      <c r="H13" s="331">
        <f>IFERROR(GETPIVOTDATA("BUDGET STIMATO LUMP SUM",'Altre Tabelle di dettaglio'!$V$5,"Ingegneria di competenza","Polloni"),"non-visibile")</f>
        <v>149120</v>
      </c>
      <c r="I13" s="332">
        <f>IF($G$13&lt;&gt;"non-visibile",'BDG 2023'!E11,"non-visibile")</f>
        <v>10000</v>
      </c>
      <c r="J13" s="331">
        <f>IF($G$13&lt;&gt;"non-visibile",'BDG 2023'!F11,"non-visibile")</f>
        <v>10000</v>
      </c>
      <c r="K13" s="333">
        <f>IFERROR(GETPIVOTDATA("Actual ORE ripartito",'Altre Tabelle di dettaglio'!$BK$5,"Ingegneria di competenza","Polloni"),"non-visibile")</f>
        <v>446.62857142857143</v>
      </c>
      <c r="L13" s="334">
        <f>IFERROR(GETPIVOTDATA("Actual LUMP ripartito",'Altre Tabelle di dettaglio'!$DC$5,"Ingegneria di competenza","Polloni"),"non-visibile")</f>
        <v>13</v>
      </c>
      <c r="M13" s="335">
        <f>IFERROR(GETPIVOTDATA("ORE a oggi",'Altre Tabelle di dettaglio'!$DZ$5,"Ingegneria di competenza",$F13),"non-visibile")</f>
        <v>1600</v>
      </c>
      <c r="N13" s="336">
        <f>IFERROR(GETPIVOTDATA("EURO LUMP a oggi",'Altre Tabelle di dettaglio'!$EX$5,"Ingegneria di competenza",$F13),"non-visibile")</f>
        <v>41340</v>
      </c>
      <c r="O13" s="337">
        <f>IFERROR(GETPIVOTDATA("ORE a finire",'Altre Tabelle di dettaglio'!$FV$5,"Ingegneria di competenza",$F13),"non-visibile")</f>
        <v>12390</v>
      </c>
      <c r="P13" s="338">
        <f>IFERROR(GETPIVOTDATA("EURO LUMP a finire",'Altre Tabelle di dettaglio'!$GU$5,"Ingegneria di competenza",$F13),"non-visibile")</f>
        <v>107780</v>
      </c>
      <c r="Q13" s="339">
        <f t="shared" si="0"/>
        <v>12836.628571428571</v>
      </c>
      <c r="R13" s="340">
        <f t="shared" si="0"/>
        <v>107793</v>
      </c>
      <c r="S13" s="341">
        <f t="shared" si="1"/>
        <v>1071.9085714285716</v>
      </c>
      <c r="T13" s="344" t="s">
        <v>273</v>
      </c>
    </row>
    <row r="14" spans="6:28" ht="18.600000000000001" customHeight="1" x14ac:dyDescent="0.25">
      <c r="F14" s="343" t="s">
        <v>274</v>
      </c>
      <c r="G14" s="330" t="str">
        <f>IFERROR(GETPIVOTDATA("TOTALE ORE",'Altre Tabelle di dettaglio'!$AP$5,"Ingegneria di competenza","Seren"),"non-visibile")</f>
        <v>non-visibile</v>
      </c>
      <c r="H14" s="331" t="str">
        <f>IFERROR(GETPIVOTDATA("BUDGET STIMATO LUMP SUM",'Altre Tabelle di dettaglio'!$V$5,"Ingegneria di competenza","Seren"),"non-visibile")</f>
        <v>non-visibile</v>
      </c>
      <c r="I14" s="332" t="str">
        <f>IF($G$14&lt;&gt;"non-visibile",'BDG 2023'!E16,"non-visibile")</f>
        <v>non-visibile</v>
      </c>
      <c r="J14" s="331" t="str">
        <f>IF($G$14&lt;&gt;"non-visibile",'BDG 2023'!F16,"non-visibile")</f>
        <v>non-visibile</v>
      </c>
      <c r="K14" s="333" t="str">
        <f>IFERROR(GETPIVOTDATA("Actual ORE ripartito",'Altre Tabelle di dettaglio'!$BK$5,"Ingegneria di competenza","Seren"),"non-visibile")</f>
        <v>non-visibile</v>
      </c>
      <c r="L14" s="334" t="str">
        <f>IFERROR(GETPIVOTDATA("Actual LUMP ripartito",'Altre Tabelle di dettaglio'!$DC$5,"Ingegneria di competenza","Seren"),"non-visibile")</f>
        <v>non-visibile</v>
      </c>
      <c r="M14" s="335" t="str">
        <f>IFERROR(GETPIVOTDATA("ORE a oggi",'Altre Tabelle di dettaglio'!$DZ$5,"Ingegneria di competenza",$F14),"non-visibile")</f>
        <v>non-visibile</v>
      </c>
      <c r="N14" s="336" t="str">
        <f>IFERROR(GETPIVOTDATA("EURO LUMP a oggi",'Altre Tabelle di dettaglio'!$EX$5,"Ingegneria di competenza",$F14),"non-visibile")</f>
        <v>non-visibile</v>
      </c>
      <c r="O14" s="337" t="str">
        <f>IFERROR(GETPIVOTDATA("ORE a finire",'Altre Tabelle di dettaglio'!$FV$5,"Ingegneria di competenza",$F14),"non-visibile")</f>
        <v>non-visibile</v>
      </c>
      <c r="P14" s="338" t="str">
        <f>IFERROR(GETPIVOTDATA("EURO LUMP a finire",'Altre Tabelle di dettaglio'!$GU$5,"Ingegneria di competenza",$F14),"non-visibile")</f>
        <v>non-visibile</v>
      </c>
      <c r="Q14" s="339" t="str">
        <f t="shared" si="0"/>
        <v>non-visibile</v>
      </c>
      <c r="R14" s="340" t="str">
        <f t="shared" si="0"/>
        <v>non-visibile</v>
      </c>
      <c r="S14" s="341" t="str">
        <f t="shared" si="1"/>
        <v>non-visibile</v>
      </c>
      <c r="T14" s="344" t="s">
        <v>274</v>
      </c>
    </row>
    <row r="15" spans="6:28" ht="18.600000000000001" customHeight="1" x14ac:dyDescent="0.25">
      <c r="F15" s="343" t="s">
        <v>275</v>
      </c>
      <c r="G15" s="330" t="str">
        <f>IFERROR(GETPIVOTDATA("TOTALE ORE",'Altre Tabelle di dettaglio'!$AP$5,"Ingegneria di competenza","Squarzoni"),"non-visibile")</f>
        <v>non-visibile</v>
      </c>
      <c r="H15" s="331" t="str">
        <f>IFERROR(GETPIVOTDATA("BUDGET STIMATO LUMP SUM",'Altre Tabelle di dettaglio'!$V$5,"Ingegneria di competenza","Squarzoni"),"non-visibile")</f>
        <v>non-visibile</v>
      </c>
      <c r="I15" s="332" t="str">
        <f>IF($G$15&lt;&gt;"non-visibile",'BDG 2023'!E12,"non-visibile")</f>
        <v>non-visibile</v>
      </c>
      <c r="J15" s="331" t="str">
        <f>IF($G$15&lt;&gt;"non-visibile",'BDG 2023'!F12,"non-visibile")</f>
        <v>non-visibile</v>
      </c>
      <c r="K15" s="333" t="str">
        <f>IFERROR(GETPIVOTDATA("Actual ORE ripartito",'Altre Tabelle di dettaglio'!$BK$5,"Ingegneria di competenza","Squarzoni"),"non-visibile")</f>
        <v>non-visibile</v>
      </c>
      <c r="L15" s="334" t="str">
        <f>IFERROR(GETPIVOTDATA("Actual LUMP ripartito",'Altre Tabelle di dettaglio'!$DC$5,"Ingegneria di competenza","Squarzoni"),"non-visibile")</f>
        <v>non-visibile</v>
      </c>
      <c r="M15" s="335" t="str">
        <f>IFERROR(GETPIVOTDATA("ORE a oggi",'Altre Tabelle di dettaglio'!$DZ$5,"Ingegneria di competenza",$F15),"non-visibile")</f>
        <v>non-visibile</v>
      </c>
      <c r="N15" s="336" t="str">
        <f>IFERROR(GETPIVOTDATA("EURO LUMP a oggi",'Altre Tabelle di dettaglio'!$EX$5,"Ingegneria di competenza",$F15),"non-visibile")</f>
        <v>non-visibile</v>
      </c>
      <c r="O15" s="337" t="str">
        <f>IFERROR(GETPIVOTDATA("ORE a finire",'Altre Tabelle di dettaglio'!$FV$5,"Ingegneria di competenza",$F15),"non-visibile")</f>
        <v>non-visibile</v>
      </c>
      <c r="P15" s="338" t="str">
        <f>IFERROR(GETPIVOTDATA("EURO LUMP a finire",'Altre Tabelle di dettaglio'!$GU$5,"Ingegneria di competenza",$F15),"non-visibile")</f>
        <v>non-visibile</v>
      </c>
      <c r="Q15" s="339" t="str">
        <f t="shared" si="0"/>
        <v>non-visibile</v>
      </c>
      <c r="R15" s="340" t="str">
        <f t="shared" si="0"/>
        <v>non-visibile</v>
      </c>
      <c r="S15" s="341" t="str">
        <f t="shared" si="1"/>
        <v>non-visibile</v>
      </c>
      <c r="T15" s="344" t="s">
        <v>275</v>
      </c>
    </row>
    <row r="16" spans="6:28" ht="18.600000000000001" customHeight="1" x14ac:dyDescent="0.25">
      <c r="F16" s="343" t="s">
        <v>276</v>
      </c>
      <c r="G16" s="330" t="str">
        <f>IFERROR(GETPIVOTDATA("TOTALE ORE",'Altre Tabelle di dettaglio'!$AP$5,"Ingegneria di competenza","Zanotti"),"non-visibile")</f>
        <v>non-visibile</v>
      </c>
      <c r="H16" s="331" t="str">
        <f>IFERROR(GETPIVOTDATA("BUDGET STIMATO LUMP SUM",'Altre Tabelle di dettaglio'!$V$5,"Ingegneria di competenza","Zanotti"),"non-visibile")</f>
        <v>non-visibile</v>
      </c>
      <c r="I16" s="332" t="str">
        <f>IF($G$16&lt;&gt;"non-visibile",'BDG 2023'!E13 + 'BDG 2023'!E14,"non-visibile")</f>
        <v>non-visibile</v>
      </c>
      <c r="J16" s="345" t="str">
        <f>IF($G$16&lt;&gt;"non-visibile",'BDG 2023'!F13+'BDG 2023'!F14,"non-visibile")</f>
        <v>non-visibile</v>
      </c>
      <c r="K16" s="333" t="str">
        <f>IFERROR(GETPIVOTDATA("Actual ORE ripartito",'Altre Tabelle di dettaglio'!$BK$5,"Ingegneria di competenza","Zanotti"),"non-visibile")</f>
        <v>non-visibile</v>
      </c>
      <c r="L16" s="334" t="str">
        <f>IFERROR(GETPIVOTDATA("Actual LUMP ripartito",'Altre Tabelle di dettaglio'!$DC$5,"Ingegneria di competenza","Zanotti"),"non-visibile")</f>
        <v>non-visibile</v>
      </c>
      <c r="M16" s="335" t="str">
        <f>IFERROR(GETPIVOTDATA("ORE a oggi",'Altre Tabelle di dettaglio'!$DZ$5,"Ingegneria di competenza",$F16),"non-visibile")</f>
        <v>non-visibile</v>
      </c>
      <c r="N16" s="336" t="str">
        <f>IFERROR(GETPIVOTDATA("EURO LUMP a oggi",'Altre Tabelle di dettaglio'!$EX$5,"Ingegneria di competenza",$F16),"non-visibile")</f>
        <v>non-visibile</v>
      </c>
      <c r="O16" s="337" t="str">
        <f>IFERROR(GETPIVOTDATA("ORE a finire",'Altre Tabelle di dettaglio'!$FV$5,"Ingegneria di competenza",$F16),"non-visibile")</f>
        <v>non-visibile</v>
      </c>
      <c r="P16" s="338" t="str">
        <f>IFERROR(GETPIVOTDATA("EURO LUMP a finire",'Altre Tabelle di dettaglio'!$GU$5,"Ingegneria di competenza",$F16),"non-visibile")</f>
        <v>non-visibile</v>
      </c>
      <c r="Q16" s="339" t="str">
        <f t="shared" si="0"/>
        <v>non-visibile</v>
      </c>
      <c r="R16" s="340" t="str">
        <f t="shared" si="0"/>
        <v>non-visibile</v>
      </c>
      <c r="S16" s="341" t="str">
        <f t="shared" si="1"/>
        <v>non-visibile</v>
      </c>
      <c r="T16" s="344" t="s">
        <v>276</v>
      </c>
    </row>
    <row r="17" spans="5:20" ht="18.600000000000001" customHeight="1" x14ac:dyDescent="0.25">
      <c r="F17" s="346" t="s">
        <v>277</v>
      </c>
      <c r="G17" s="330" t="str">
        <f>IFERROR(GETPIVOTDATA("TOTALE ORE",'Altre Tabelle di dettaglio'!$AP$5,"Ingegneria di competenza","Gamberini"),"non-visibile")</f>
        <v>non-visibile</v>
      </c>
      <c r="H17" s="331" t="str">
        <f>IFERROR(GETPIVOTDATA("BUDGET STIMATO LUMP SUM",'Altre Tabelle di dettaglio'!$V$5,"Ingegneria di competenza","Gamberini"),"non-visibile")</f>
        <v>non-visibile</v>
      </c>
      <c r="I17" s="347">
        <f>'BDG 2023'!E15</f>
        <v>10000</v>
      </c>
      <c r="J17" s="331">
        <f>'BDG 2023'!F15</f>
        <v>10000</v>
      </c>
      <c r="K17" s="333" t="str">
        <f>IFERROR(GETPIVOTDATA("Actual ORE ripartito",'Altre Tabelle di dettaglio'!$BK$5,"Ingegneria di competenza","Gamberini"),"non-visibile")</f>
        <v>non-visibile</v>
      </c>
      <c r="L17" s="334" t="str">
        <f>IFERROR(GETPIVOTDATA("Actual LUMP ripartito",'Altre Tabelle di dettaglio'!$DC$5,"Ingegneria di competenza","Gamberini"),"non-visibile")</f>
        <v>non-visibile</v>
      </c>
      <c r="M17" s="335" t="str">
        <f>IFERROR(GETPIVOTDATA("ORE a oggi",'Altre Tabelle di dettaglio'!$DZ$5,"Ingegneria di competenza",$F17),"non-visibile")</f>
        <v>non-visibile</v>
      </c>
      <c r="N17" s="336" t="str">
        <f>IFERROR(GETPIVOTDATA("EURO LUMP a oggi",'Altre Tabelle di dettaglio'!$EX$5,"Ingegneria di competenza",$F17),"non-visibile")</f>
        <v>non-visibile</v>
      </c>
      <c r="O17" s="337" t="str">
        <f>IFERROR(GETPIVOTDATA("ORE a finire",'Altre Tabelle di dettaglio'!$FV$5,"Ingegneria di competenza",$F17),"non-visibile")</f>
        <v>non-visibile</v>
      </c>
      <c r="P17" s="338" t="str">
        <f>IFERROR(GETPIVOTDATA("EURO LUMP a finire",'Altre Tabelle di dettaglio'!$GU$5,"Ingegneria di competenza",$F17),"non-visibile")</f>
        <v>non-visibile</v>
      </c>
      <c r="Q17" s="339" t="str">
        <f t="shared" si="0"/>
        <v>non-visibile</v>
      </c>
      <c r="R17" s="340" t="str">
        <f t="shared" si="0"/>
        <v>non-visibile</v>
      </c>
      <c r="S17" s="341" t="str">
        <f t="shared" si="1"/>
        <v>non-visibile</v>
      </c>
      <c r="T17" s="348" t="s">
        <v>277</v>
      </c>
    </row>
    <row r="18" spans="5:20" ht="18.600000000000001" customHeight="1" thickBot="1" x14ac:dyDescent="0.3">
      <c r="F18" s="349" t="s">
        <v>186</v>
      </c>
      <c r="G18" s="350">
        <f>GETPIVOTDATA("TOTALE ORE",'Altre Tabelle di dettaglio'!$AP$5)</f>
        <v>13990</v>
      </c>
      <c r="H18" s="351">
        <f>GETPIVOTDATA("BUDGET STIMATO LUMP SUM",'Altre Tabelle di dettaglio'!$V$5)</f>
        <v>149120</v>
      </c>
      <c r="I18" s="352">
        <f>SUM(I6:I17)</f>
        <v>20000</v>
      </c>
      <c r="J18" s="351">
        <f>SUM(J6:J17)</f>
        <v>20000</v>
      </c>
      <c r="K18" s="353">
        <f>GETPIVOTDATA("Actual ORE ripartito",'Altre Tabelle di dettaglio'!$BK$5)</f>
        <v>446.62857142857143</v>
      </c>
      <c r="L18" s="354">
        <f>GETPIVOTDATA("Actual LUMP ripartito",'Altre Tabelle di dettaglio'!$DC$5)</f>
        <v>13</v>
      </c>
      <c r="M18" s="355">
        <f t="shared" ref="M18:P18" si="2">SUM(M6:M17)</f>
        <v>1600</v>
      </c>
      <c r="N18" s="356">
        <f t="shared" si="2"/>
        <v>41340</v>
      </c>
      <c r="O18" s="357">
        <f t="shared" si="2"/>
        <v>12390</v>
      </c>
      <c r="P18" s="358">
        <f t="shared" si="2"/>
        <v>107780</v>
      </c>
      <c r="Q18" s="359">
        <f t="shared" si="0"/>
        <v>12836.628571428571</v>
      </c>
      <c r="R18" s="360">
        <f t="shared" si="0"/>
        <v>107793</v>
      </c>
      <c r="S18" s="361">
        <f>IF($G18&lt;&gt;"non-visibile",K18*12/5,"non-visibile")</f>
        <v>1071.9085714285716</v>
      </c>
      <c r="T18" s="362" t="s">
        <v>186</v>
      </c>
    </row>
    <row r="19" spans="5:20" ht="18.600000000000001" customHeight="1" thickBot="1" x14ac:dyDescent="0.3">
      <c r="G19" s="559" t="s">
        <v>170</v>
      </c>
      <c r="H19" s="560"/>
      <c r="I19" s="561" t="s">
        <v>214</v>
      </c>
      <c r="J19" s="560"/>
      <c r="K19" s="562" t="s">
        <v>215</v>
      </c>
      <c r="L19" s="563"/>
      <c r="M19" s="363" t="s">
        <v>224</v>
      </c>
      <c r="N19" s="364"/>
      <c r="O19" s="365"/>
      <c r="P19" s="365"/>
      <c r="Q19" s="366"/>
      <c r="R19" s="366"/>
      <c r="S19" s="366"/>
    </row>
    <row r="20" spans="5:20" ht="17.25" thickTop="1" x14ac:dyDescent="0.3">
      <c r="G20" s="367"/>
      <c r="H20" s="367"/>
      <c r="I20" s="368"/>
      <c r="J20" s="367"/>
      <c r="K20" s="365"/>
      <c r="L20" s="365"/>
      <c r="M20" s="369"/>
      <c r="N20" s="365"/>
      <c r="O20" s="365"/>
      <c r="P20" s="365"/>
    </row>
    <row r="21" spans="5:20" x14ac:dyDescent="0.25">
      <c r="F21" s="255"/>
      <c r="G21" s="255"/>
      <c r="H21" s="255"/>
      <c r="I21" s="255"/>
      <c r="J21" s="365"/>
      <c r="K21" s="365"/>
      <c r="L21" s="365"/>
      <c r="M21" s="365"/>
      <c r="N21" s="365"/>
      <c r="O21" s="365"/>
      <c r="P21" s="365"/>
    </row>
    <row r="22" spans="5:20" x14ac:dyDescent="0.25">
      <c r="E22" s="365"/>
      <c r="F22" s="365"/>
      <c r="I22" s="365"/>
      <c r="J22" s="370"/>
      <c r="K22" s="370"/>
      <c r="L22" s="370"/>
      <c r="M22" s="370"/>
      <c r="N22" s="370"/>
      <c r="O22" s="370"/>
      <c r="P22" s="370"/>
    </row>
    <row r="23" spans="5:20" x14ac:dyDescent="0.25">
      <c r="E23" s="365"/>
      <c r="F23" s="365"/>
      <c r="I23" s="365"/>
      <c r="J23" s="370"/>
      <c r="K23" s="370"/>
      <c r="L23" s="370"/>
      <c r="M23" s="370"/>
      <c r="N23" s="370"/>
      <c r="O23" s="370"/>
      <c r="P23" s="370"/>
    </row>
    <row r="24" spans="5:20" x14ac:dyDescent="0.25">
      <c r="F24" s="365"/>
      <c r="G24" s="365"/>
      <c r="H24" s="365"/>
      <c r="I24" s="365"/>
      <c r="J24" s="365"/>
      <c r="K24" s="365"/>
      <c r="L24" s="365"/>
      <c r="M24" s="365"/>
      <c r="N24" s="365"/>
      <c r="O24" s="365"/>
      <c r="P24" s="365"/>
    </row>
    <row r="25" spans="5:20" x14ac:dyDescent="0.25">
      <c r="F25" s="365"/>
      <c r="G25" s="365"/>
      <c r="H25" s="365"/>
      <c r="I25" s="365"/>
      <c r="J25" s="365"/>
      <c r="K25" s="365"/>
      <c r="L25" s="365"/>
      <c r="M25" s="365"/>
      <c r="N25" s="365"/>
      <c r="O25" s="365"/>
      <c r="P25" s="365"/>
    </row>
    <row r="26" spans="5:20" x14ac:dyDescent="0.25">
      <c r="F26" s="365"/>
      <c r="G26" s="365"/>
      <c r="H26" s="365"/>
      <c r="I26" s="365"/>
      <c r="J26" s="365"/>
      <c r="K26" s="365"/>
      <c r="L26" s="365"/>
      <c r="M26" s="365"/>
      <c r="N26" s="365"/>
      <c r="O26" s="365"/>
      <c r="P26" s="365"/>
    </row>
    <row r="27" spans="5:20" x14ac:dyDescent="0.25">
      <c r="F27" s="365"/>
      <c r="G27" s="365"/>
      <c r="H27" s="365"/>
      <c r="I27" s="365"/>
      <c r="J27" s="365"/>
      <c r="K27" s="365"/>
      <c r="L27" s="365"/>
      <c r="M27" s="365"/>
      <c r="N27" s="365"/>
      <c r="O27" s="365"/>
      <c r="P27" s="365"/>
    </row>
    <row r="28" spans="5:20" x14ac:dyDescent="0.25">
      <c r="F28" s="365"/>
      <c r="G28" s="365"/>
      <c r="H28" s="365"/>
      <c r="I28" s="365"/>
      <c r="J28" s="365"/>
      <c r="K28" s="365"/>
      <c r="L28" s="365"/>
      <c r="M28" s="365"/>
      <c r="N28" s="365"/>
      <c r="O28" s="365"/>
      <c r="P28" s="365"/>
    </row>
    <row r="29" spans="5:20" x14ac:dyDescent="0.25">
      <c r="F29" s="365"/>
      <c r="G29" s="365"/>
      <c r="H29" s="365"/>
      <c r="I29" s="365"/>
      <c r="J29" s="365"/>
      <c r="K29" s="365"/>
      <c r="L29" s="365"/>
      <c r="M29" s="365"/>
      <c r="N29" s="365"/>
      <c r="O29" s="365"/>
      <c r="P29" s="365"/>
    </row>
    <row r="40" spans="1:9" x14ac:dyDescent="0.25">
      <c r="A40" s="365"/>
      <c r="B40" s="365"/>
      <c r="C40" s="365"/>
      <c r="D40" s="365"/>
    </row>
    <row r="41" spans="1:9" x14ac:dyDescent="0.25">
      <c r="A41" s="371"/>
      <c r="B41" s="371"/>
      <c r="C41" s="371"/>
      <c r="D41" s="371"/>
    </row>
    <row r="42" spans="1:9" x14ac:dyDescent="0.25">
      <c r="A42" s="371"/>
      <c r="B42" s="371"/>
      <c r="C42" s="371"/>
      <c r="D42" s="371"/>
    </row>
    <row r="43" spans="1:9" x14ac:dyDescent="0.25">
      <c r="A43" s="370"/>
      <c r="B43" s="370"/>
      <c r="C43" s="370"/>
      <c r="D43" s="370"/>
      <c r="E43" s="365"/>
    </row>
    <row r="44" spans="1:9" x14ac:dyDescent="0.25">
      <c r="A44" s="370"/>
      <c r="B44" s="370"/>
      <c r="C44" s="370"/>
      <c r="D44" s="370"/>
      <c r="E44" s="370"/>
    </row>
    <row r="45" spans="1:9" x14ac:dyDescent="0.25">
      <c r="A45" s="365"/>
      <c r="B45" s="372"/>
      <c r="C45" s="372"/>
      <c r="D45" s="372"/>
      <c r="E45" s="371"/>
    </row>
    <row r="46" spans="1:9" x14ac:dyDescent="0.25">
      <c r="A46" s="365"/>
      <c r="B46" s="372"/>
      <c r="C46" s="372"/>
      <c r="D46" s="372"/>
      <c r="E46" s="371"/>
    </row>
    <row r="47" spans="1:9" ht="16.5" customHeight="1" x14ac:dyDescent="0.25">
      <c r="A47" s="365"/>
      <c r="B47" s="365"/>
      <c r="C47" s="365"/>
      <c r="D47" s="365"/>
      <c r="E47" s="371"/>
      <c r="F47" s="365"/>
      <c r="G47" s="365"/>
      <c r="H47" s="365"/>
      <c r="I47" s="365"/>
    </row>
    <row r="48" spans="1:9" x14ac:dyDescent="0.25">
      <c r="A48" s="365"/>
      <c r="B48" s="365"/>
      <c r="C48" s="365"/>
      <c r="D48" s="365"/>
      <c r="E48" s="371"/>
      <c r="F48" s="365"/>
      <c r="G48" s="365"/>
      <c r="H48" s="365"/>
      <c r="I48" s="365"/>
    </row>
    <row r="49" spans="1:9" x14ac:dyDescent="0.25">
      <c r="A49" s="365"/>
      <c r="B49" s="372"/>
      <c r="C49" s="372"/>
      <c r="D49" s="372"/>
      <c r="E49" s="371"/>
      <c r="F49" s="365"/>
      <c r="G49" s="365"/>
      <c r="H49" s="365"/>
      <c r="I49" s="365"/>
    </row>
    <row r="50" spans="1:9" x14ac:dyDescent="0.25">
      <c r="A50" s="365"/>
      <c r="B50" s="372"/>
      <c r="C50" s="372"/>
      <c r="D50" s="372"/>
      <c r="E50" s="371"/>
      <c r="F50" s="365"/>
      <c r="G50" s="365"/>
      <c r="H50" s="365"/>
      <c r="I50" s="365"/>
    </row>
    <row r="51" spans="1:9" x14ac:dyDescent="0.25">
      <c r="A51" s="365"/>
      <c r="B51" s="372"/>
      <c r="C51" s="372"/>
      <c r="D51" s="372"/>
      <c r="E51" s="371"/>
      <c r="F51" s="365"/>
      <c r="G51" s="365"/>
      <c r="H51" s="365"/>
      <c r="I51" s="365"/>
    </row>
    <row r="52" spans="1:9" x14ac:dyDescent="0.25">
      <c r="A52" s="365"/>
      <c r="B52" s="372"/>
      <c r="C52" s="372"/>
      <c r="D52" s="372"/>
      <c r="E52" s="371"/>
      <c r="F52" s="365"/>
      <c r="G52" s="365"/>
      <c r="H52" s="365"/>
      <c r="I52" s="365"/>
    </row>
    <row r="53" spans="1:9" x14ac:dyDescent="0.25">
      <c r="A53" s="365"/>
      <c r="B53" s="372"/>
      <c r="C53" s="372"/>
      <c r="D53" s="372"/>
      <c r="E53" s="371"/>
      <c r="F53" s="365"/>
      <c r="G53" s="365"/>
      <c r="H53" s="365"/>
      <c r="I53" s="365"/>
    </row>
    <row r="54" spans="1:9" x14ac:dyDescent="0.25">
      <c r="A54" s="365"/>
      <c r="B54" s="372"/>
      <c r="C54" s="372"/>
      <c r="D54" s="372"/>
      <c r="E54" s="371"/>
      <c r="F54" s="365"/>
      <c r="G54" s="365"/>
      <c r="H54" s="365"/>
      <c r="I54" s="365"/>
    </row>
    <row r="55" spans="1:9" x14ac:dyDescent="0.25">
      <c r="A55" s="365"/>
      <c r="B55" s="365"/>
      <c r="C55" s="365"/>
      <c r="D55" s="365"/>
      <c r="E55" s="371"/>
      <c r="F55" s="365"/>
      <c r="G55" s="365"/>
      <c r="H55" s="365"/>
      <c r="I55" s="365"/>
    </row>
    <row r="56" spans="1:9" x14ac:dyDescent="0.25">
      <c r="A56" s="365"/>
      <c r="B56" s="365"/>
      <c r="C56" s="365"/>
      <c r="D56" s="365"/>
      <c r="E56" s="370"/>
      <c r="F56" s="365"/>
      <c r="G56" s="365"/>
      <c r="H56" s="365"/>
      <c r="I56" s="365"/>
    </row>
    <row r="57" spans="1:9" x14ac:dyDescent="0.25">
      <c r="A57" s="371"/>
      <c r="B57" s="371"/>
      <c r="C57" s="371"/>
      <c r="D57" s="371"/>
      <c r="F57" s="365"/>
      <c r="G57" s="365"/>
      <c r="H57" s="365"/>
      <c r="I57" s="365"/>
    </row>
    <row r="58" spans="1:9" x14ac:dyDescent="0.25">
      <c r="F58" s="365"/>
      <c r="G58" s="365"/>
      <c r="H58" s="365"/>
      <c r="I58" s="365"/>
    </row>
    <row r="59" spans="1:9" x14ac:dyDescent="0.25">
      <c r="F59" s="365"/>
      <c r="G59" s="365"/>
      <c r="H59" s="365"/>
      <c r="I59" s="365"/>
    </row>
    <row r="60" spans="1:9" x14ac:dyDescent="0.25">
      <c r="H60" s="365"/>
      <c r="I60" s="365"/>
    </row>
    <row r="61" spans="1:9" x14ac:dyDescent="0.25">
      <c r="H61" s="365"/>
      <c r="I61" s="365"/>
    </row>
    <row r="62" spans="1:9" x14ac:dyDescent="0.25">
      <c r="F62" s="365"/>
      <c r="G62" s="365"/>
      <c r="H62" s="365"/>
      <c r="I62" s="365"/>
    </row>
  </sheetData>
  <mergeCells count="18">
    <mergeCell ref="K2:L2"/>
    <mergeCell ref="M2:P2"/>
    <mergeCell ref="K3:L3"/>
    <mergeCell ref="M3:N3"/>
    <mergeCell ref="O3:P3"/>
    <mergeCell ref="Q4:Q5"/>
    <mergeCell ref="R4:R5"/>
    <mergeCell ref="S4:S5"/>
    <mergeCell ref="G19:H19"/>
    <mergeCell ref="I19:J19"/>
    <mergeCell ref="K19:L19"/>
    <mergeCell ref="G4:H4"/>
    <mergeCell ref="I4:J4"/>
    <mergeCell ref="K4:L4"/>
    <mergeCell ref="M4:M5"/>
    <mergeCell ref="N4:N5"/>
    <mergeCell ref="O4:O5"/>
    <mergeCell ref="P4:P5"/>
  </mergeCells>
  <conditionalFormatting sqref="G6:S17">
    <cfRule type="expression" dxfId="35" priority="3">
      <formula>$G6="non-visibile"</formula>
    </cfRule>
  </conditionalFormatting>
  <conditionalFormatting sqref="J28:N28">
    <cfRule type="iconSet" priority="4">
      <iconSet iconSet="3Flags">
        <cfvo type="percent" val="0"/>
        <cfvo type="percent" val="33"/>
        <cfvo type="percent" val="67"/>
      </iconSet>
    </cfRule>
  </conditionalFormatting>
  <conditionalFormatting sqref="O6:O17">
    <cfRule type="expression" dxfId="32" priority="5">
      <formula>#REF!&gt;=$O6</formula>
    </cfRule>
    <cfRule type="expression" dxfId="31" priority="6">
      <formula>#REF!&lt;$O6</formula>
    </cfRule>
  </conditionalFormatting>
  <conditionalFormatting sqref="P6:P17">
    <cfRule type="expression" dxfId="30" priority="7">
      <formula>#REF!&gt;=$P6</formula>
    </cfRule>
    <cfRule type="expression" dxfId="29" priority="8">
      <formula>#REF!&lt;$P6</formula>
    </cfRule>
  </conditionalFormatting>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2" id="{5EC4DC35-23AA-4558-AA37-54631C0E7B99}">
            <xm:f>AND('Altre Tabelle di dettaglio'!$B$1&lt;&gt;"(All)",'Altre Tabelle di dettaglio'!$B$1&lt;&gt;"(Tutto)")</xm:f>
            <x14:dxf>
              <font>
                <color theme="4" tint="0.39994506668294322"/>
              </font>
              <fill>
                <patternFill>
                  <bgColor theme="4" tint="0.39994506668294322"/>
                </patternFill>
              </fill>
            </x14:dxf>
          </x14:cfRule>
          <xm:sqref>K6:L18 S6:S18</xm:sqref>
        </x14:conditionalFormatting>
        <x14:conditionalFormatting xmlns:xm="http://schemas.microsoft.com/office/excel/2006/main">
          <x14:cfRule type="expression" priority="1" id="{C22192A4-101D-47EA-AF35-E3B4F1DDF2DC}">
            <xm:f>OR('Altre Tabelle di dettaglio'!$B$1="(All)",'Altre Tabelle di dettaglio'!$B$1="(Tutto)")</xm:f>
            <x14:dxf>
              <font>
                <color theme="0"/>
              </font>
              <fill>
                <patternFill>
                  <bgColor theme="0"/>
                </patternFill>
              </fill>
            </x14:dxf>
          </x14:cfRule>
          <xm:sqref>M19</xm:sqref>
        </x14:conditionalFormatting>
        <x14:conditionalFormatting xmlns:xm="http://schemas.microsoft.com/office/excel/2006/main">
          <x14:cfRule type="iconSet" priority="9" id="{80D210CF-836E-4A10-B9B4-42152EE3A031}">
            <x14:iconSet custom="1">
              <x14:cfvo type="percent">
                <xm:f>0</xm:f>
              </x14:cfvo>
              <x14:cfvo type="num">
                <xm:f>0</xm:f>
              </x14:cfvo>
              <x14:cfvo type="num">
                <xm:f>0</xm:f>
              </x14:cfvo>
              <x14:cfIcon iconSet="3Flags" iconId="0"/>
              <x14:cfIcon iconSet="3Flags" iconId="1"/>
              <x14:cfIcon iconSet="3Flags" iconId="2"/>
            </x14:iconSet>
          </x14:cfRule>
          <xm:sqref>O19:P19</xm:sqref>
        </x14:conditionalFormatting>
      </x14:conditionalFormattings>
    </ex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F75BD-CACF-43AD-9D10-C2CC7CC9957F}">
  <sheetPr>
    <tabColor rgb="FF7030A0"/>
  </sheetPr>
  <dimension ref="A1:DZ51"/>
  <sheetViews>
    <sheetView zoomScale="70" zoomScaleNormal="70" workbookViewId="0">
      <pane ySplit="1" topLeftCell="A2" activePane="bottomLeft" state="frozen"/>
      <selection pane="bottomLeft" activeCell="A2" sqref="A2"/>
    </sheetView>
  </sheetViews>
  <sheetFormatPr defaultColWidth="9.140625" defaultRowHeight="15" x14ac:dyDescent="0.25"/>
  <cols>
    <col min="1" max="1" width="6.42578125" style="65" customWidth="1"/>
    <col min="2" max="2" width="8.7109375" style="65" customWidth="1"/>
    <col min="3" max="3" width="6" style="65" customWidth="1"/>
    <col min="4" max="4" width="5.42578125" style="65" customWidth="1"/>
    <col min="5" max="5" width="6.140625" style="65" customWidth="1"/>
    <col min="6" max="6" width="5" style="65" customWidth="1"/>
    <col min="7" max="7" width="16.140625" style="65" customWidth="1"/>
    <col min="8" max="8" width="12.42578125" style="65" customWidth="1"/>
    <col min="9" max="9" width="17.28515625" style="65" customWidth="1"/>
    <col min="10" max="10" width="2.5703125" style="65" customWidth="1"/>
    <col min="11" max="11" width="15.42578125" style="65" customWidth="1"/>
    <col min="12" max="16" width="11" style="65" bestFit="1" customWidth="1"/>
    <col min="17" max="18" width="11.85546875" style="65" bestFit="1" customWidth="1"/>
    <col min="19" max="19" width="11" style="65" bestFit="1" customWidth="1"/>
    <col min="20" max="22" width="11.85546875" style="65" bestFit="1" customWidth="1"/>
    <col min="23" max="23" width="11.7109375" style="65" customWidth="1"/>
    <col min="24" max="24" width="15.140625" style="65" customWidth="1"/>
    <col min="25" max="27" width="17.140625" style="65" bestFit="1" customWidth="1"/>
    <col min="28" max="28" width="18.140625" style="65" bestFit="1" customWidth="1"/>
    <col min="29" max="16384" width="9.140625" style="65"/>
  </cols>
  <sheetData>
    <row r="1" spans="1:78" s="373" customFormat="1" ht="59.25" customHeight="1" thickTop="1" thickBot="1" x14ac:dyDescent="0.3">
      <c r="A1" s="582" t="s">
        <v>225</v>
      </c>
      <c r="B1" s="583"/>
      <c r="C1" s="583"/>
      <c r="D1" s="583"/>
      <c r="E1" s="584"/>
    </row>
    <row r="2" spans="1:78" ht="15.75" thickTop="1" x14ac:dyDescent="0.25">
      <c r="BW2" s="374" t="s">
        <v>226</v>
      </c>
      <c r="BZ2" s="374" t="s">
        <v>227</v>
      </c>
    </row>
    <row r="4" spans="1:78" ht="15.75" thickBot="1" x14ac:dyDescent="0.3"/>
    <row r="5" spans="1:78" ht="47.25" thickTop="1" x14ac:dyDescent="0.7">
      <c r="C5" s="375"/>
      <c r="D5" s="375"/>
      <c r="E5" s="375"/>
      <c r="H5" s="585" t="str">
        <f>A1</f>
        <v>ACTUAL+COMMIT</v>
      </c>
      <c r="I5" s="586"/>
      <c r="L5" s="587" t="s">
        <v>228</v>
      </c>
      <c r="M5" s="588"/>
      <c r="N5" s="588"/>
      <c r="O5" s="588"/>
      <c r="P5" s="588"/>
      <c r="Q5" s="588"/>
      <c r="R5" s="588"/>
      <c r="S5" s="588"/>
      <c r="T5" s="588"/>
      <c r="U5" s="588"/>
      <c r="V5" s="588"/>
      <c r="W5" s="589"/>
      <c r="Y5" s="593" t="s">
        <v>229</v>
      </c>
      <c r="Z5" s="593"/>
      <c r="AA5" s="593"/>
      <c r="AB5" s="593"/>
    </row>
    <row r="6" spans="1:78" ht="47.25" thickBot="1" x14ac:dyDescent="0.75">
      <c r="B6" s="375"/>
      <c r="C6" s="375"/>
      <c r="D6" s="375"/>
      <c r="E6" s="375"/>
      <c r="H6" s="594" t="s">
        <v>230</v>
      </c>
      <c r="I6" s="595"/>
      <c r="L6" s="590"/>
      <c r="M6" s="591"/>
      <c r="N6" s="591"/>
      <c r="O6" s="591"/>
      <c r="P6" s="591"/>
      <c r="Q6" s="591"/>
      <c r="R6" s="591"/>
      <c r="S6" s="591"/>
      <c r="T6" s="591"/>
      <c r="U6" s="591"/>
      <c r="V6" s="591"/>
      <c r="W6" s="592"/>
      <c r="Y6" s="593"/>
      <c r="Z6" s="593"/>
      <c r="AA6" s="593"/>
      <c r="AB6" s="593"/>
    </row>
    <row r="7" spans="1:78" ht="24" thickTop="1" x14ac:dyDescent="0.25">
      <c r="H7" s="627">
        <f>AVANZAMENTO!M1</f>
        <v>45082</v>
      </c>
      <c r="I7" s="628"/>
      <c r="L7" s="629" t="s">
        <v>231</v>
      </c>
      <c r="M7" s="630"/>
      <c r="N7" s="631"/>
      <c r="O7" s="629" t="s">
        <v>232</v>
      </c>
      <c r="P7" s="630"/>
      <c r="Q7" s="631"/>
      <c r="R7" s="629" t="s">
        <v>233</v>
      </c>
      <c r="S7" s="630"/>
      <c r="T7" s="631"/>
      <c r="U7" s="632" t="s">
        <v>234</v>
      </c>
      <c r="V7" s="630"/>
      <c r="W7" s="631"/>
      <c r="Y7" s="607" t="s">
        <v>235</v>
      </c>
      <c r="Z7" s="608"/>
      <c r="AA7" s="608"/>
      <c r="AB7" s="609"/>
    </row>
    <row r="8" spans="1:78" ht="18.75" x14ac:dyDescent="0.25">
      <c r="H8" s="613" t="s">
        <v>236</v>
      </c>
      <c r="I8" s="615" t="s">
        <v>181</v>
      </c>
      <c r="L8" s="376">
        <v>44562</v>
      </c>
      <c r="M8" s="377">
        <v>44593</v>
      </c>
      <c r="N8" s="378">
        <v>44621</v>
      </c>
      <c r="O8" s="376">
        <v>44652</v>
      </c>
      <c r="P8" s="377">
        <v>44682</v>
      </c>
      <c r="Q8" s="378">
        <v>44713</v>
      </c>
      <c r="R8" s="376">
        <v>44743</v>
      </c>
      <c r="S8" s="377">
        <v>44774</v>
      </c>
      <c r="T8" s="378">
        <v>44805</v>
      </c>
      <c r="U8" s="379">
        <v>44835</v>
      </c>
      <c r="V8" s="377">
        <v>44866</v>
      </c>
      <c r="W8" s="378">
        <v>44896</v>
      </c>
      <c r="Y8" s="610"/>
      <c r="Z8" s="611"/>
      <c r="AA8" s="611"/>
      <c r="AB8" s="612"/>
    </row>
    <row r="9" spans="1:78" ht="30.75" thickBot="1" x14ac:dyDescent="0.3">
      <c r="G9" s="380" t="s">
        <v>179</v>
      </c>
      <c r="H9" s="614"/>
      <c r="I9" s="616"/>
      <c r="K9" s="381" t="s">
        <v>237</v>
      </c>
      <c r="L9" s="382" t="str">
        <f>IF(MONTH($H$7)&gt;MONTH(L$8),"SI","NO")</f>
        <v>SI</v>
      </c>
      <c r="M9" s="383" t="str">
        <f t="shared" ref="M9:W9" si="0">IF(MONTH($H$7)&gt;MONTH(M$8),"SI","NO")</f>
        <v>SI</v>
      </c>
      <c r="N9" s="384" t="str">
        <f t="shared" si="0"/>
        <v>SI</v>
      </c>
      <c r="O9" s="382" t="str">
        <f t="shared" si="0"/>
        <v>SI</v>
      </c>
      <c r="P9" s="383" t="str">
        <f t="shared" si="0"/>
        <v>SI</v>
      </c>
      <c r="Q9" s="384" t="str">
        <f t="shared" si="0"/>
        <v>NO</v>
      </c>
      <c r="R9" s="382" t="str">
        <f t="shared" si="0"/>
        <v>NO</v>
      </c>
      <c r="S9" s="383" t="str">
        <f t="shared" si="0"/>
        <v>NO</v>
      </c>
      <c r="T9" s="384" t="str">
        <f t="shared" si="0"/>
        <v>NO</v>
      </c>
      <c r="U9" s="385" t="str">
        <f t="shared" si="0"/>
        <v>NO</v>
      </c>
      <c r="V9" s="383" t="str">
        <f t="shared" si="0"/>
        <v>NO</v>
      </c>
      <c r="W9" s="384" t="str">
        <f t="shared" si="0"/>
        <v>NO</v>
      </c>
      <c r="Y9" s="386" t="s">
        <v>231</v>
      </c>
      <c r="Z9" s="387" t="s">
        <v>232</v>
      </c>
      <c r="AA9" s="388" t="s">
        <v>233</v>
      </c>
      <c r="AB9" s="389" t="s">
        <v>234</v>
      </c>
    </row>
    <row r="10" spans="1:78" ht="18.75" x14ac:dyDescent="0.25">
      <c r="G10" s="390" t="s">
        <v>266</v>
      </c>
      <c r="H10" s="391">
        <f>IFERROR(IF($A$1="ACTUAL",'CONSUMI SPACCHETTATI'!F16,IF($A$1="COMMIT",'CONSUMI SPACCHETTATI'!H16,'CONSUMI SPACCHETTATI'!F16+'CONSUMI SPACCHETTATI'!H16)),"non-visibile")</f>
        <v>0</v>
      </c>
      <c r="I10" s="392">
        <f>IFERROR(IF($A$1="ACTUAL",'CONSUMI SPACCHETTATI'!G16,IF($A$1="COMMIT",'CONSUMI SPACCHETTATI'!I16,'CONSUMI SPACCHETTATI'!G16+'CONSUMI SPACCHETTATI'!I16)),"non-visibile")</f>
        <v>0</v>
      </c>
      <c r="K10" s="393" t="s">
        <v>266</v>
      </c>
      <c r="L10" s="394" cm="1">
        <f t="array" ref="L10">SUMPRODUCT('2023 sintesi '!L$19:L$213*('2023 sintesi '!$I$19:$I$213='PREVISIONE SU QUARTER'!$G10),'2023 sintesi '!$B$19:$B$213*('2023 sintesi '!$K$19:$K$213="ORE"))</f>
        <v>0</v>
      </c>
      <c r="M10" s="395" cm="1">
        <f t="array" ref="M10">SUMPRODUCT('2023 sintesi '!M$19:M$213*('2023 sintesi '!$I$19:$I$213='PREVISIONE SU QUARTER'!$G10),'2023 sintesi '!$B$19:$B$213*('2023 sintesi '!$K$19:$K$213="ORE"))</f>
        <v>0</v>
      </c>
      <c r="N10" s="396" cm="1">
        <f t="array" ref="N10">SUMPRODUCT('2023 sintesi '!N$19:N$213*('2023 sintesi '!$I$19:$I$213='PREVISIONE SU QUARTER'!$G10),'2023 sintesi '!$B$19:$B$213*('2023 sintesi '!$K$19:$K$213="ORE"))</f>
        <v>0</v>
      </c>
      <c r="O10" s="394" cm="1">
        <f t="array" ref="O10">SUMPRODUCT('2023 sintesi '!O$19:O$213*('2023 sintesi '!$I$19:$I$213='PREVISIONE SU QUARTER'!$G10),'2023 sintesi '!$B$19:$B$213*('2023 sintesi '!$K$19:$K$213="ORE"))</f>
        <v>0</v>
      </c>
      <c r="P10" s="395" cm="1">
        <f t="array" ref="P10">SUMPRODUCT('2023 sintesi '!P$19:P$213*('2023 sintesi '!$I$19:$I$213='PREVISIONE SU QUARTER'!$G10),'2023 sintesi '!$B$19:$B$213*('2023 sintesi '!$K$19:$K$213="ORE"))</f>
        <v>0</v>
      </c>
      <c r="Q10" s="396" cm="1">
        <f t="array" ref="Q10">SUMPRODUCT('2023 sintesi '!Q$19:Q$213*('2023 sintesi '!$I$19:$I$213='PREVISIONE SU QUARTER'!$G10),'2023 sintesi '!$B$19:$B$213*('2023 sintesi '!$K$19:$K$213="ORE"))</f>
        <v>0</v>
      </c>
      <c r="R10" s="394" cm="1">
        <f t="array" ref="R10">SUMPRODUCT('2023 sintesi '!R$19:R$213*('2023 sintesi '!$I$19:$I$213='PREVISIONE SU QUARTER'!$G10),'2023 sintesi '!$B$19:$B$213*('2023 sintesi '!$K$19:$K$213="ORE"))</f>
        <v>0</v>
      </c>
      <c r="S10" s="395" cm="1">
        <f t="array" ref="S10">SUMPRODUCT('2023 sintesi '!S$19:S$213*('2023 sintesi '!$I$19:$I$213='PREVISIONE SU QUARTER'!$G10),'2023 sintesi '!$B$19:$B$213*('2023 sintesi '!$K$19:$K$213="ORE"))</f>
        <v>0</v>
      </c>
      <c r="T10" s="396" cm="1">
        <f t="array" ref="T10">SUMPRODUCT('2023 sintesi '!T$19:T$213*('2023 sintesi '!$I$19:$I$213='PREVISIONE SU QUARTER'!$G10),'2023 sintesi '!$B$19:$B$213*('2023 sintesi '!$K$19:$K$213="ORE"))</f>
        <v>0</v>
      </c>
      <c r="U10" s="397" cm="1">
        <f t="array" ref="U10">SUMPRODUCT('2023 sintesi '!U$19:U$213*('2023 sintesi '!$I$19:$I$213='PREVISIONE SU QUARTER'!$G10),'2023 sintesi '!$B$19:$B$213*('2023 sintesi '!$K$19:$K$213="ORE"))</f>
        <v>0</v>
      </c>
      <c r="V10" s="395" cm="1">
        <f t="array" ref="V10">SUMPRODUCT('2023 sintesi '!V$19:V$213*('2023 sintesi '!$I$19:$I$213='PREVISIONE SU QUARTER'!$G10),'2023 sintesi '!$B$19:$B$213*('2023 sintesi '!$K$19:$K$213="ORE"))</f>
        <v>0</v>
      </c>
      <c r="W10" s="396" cm="1">
        <f t="array" ref="W10">SUMPRODUCT('2023 sintesi '!W$19:W$213*('2023 sintesi '!$I$19:$I$213='PREVISIONE SU QUARTER'!$G10),'2023 sintesi '!$B$19:$B$213*('2023 sintesi '!$K$19:$K$213="ORE"))</f>
        <v>0</v>
      </c>
      <c r="X10" s="398" t="s">
        <v>266</v>
      </c>
      <c r="Y10" s="399">
        <v>0</v>
      </c>
      <c r="Z10" s="400">
        <v>0</v>
      </c>
      <c r="AA10" s="401" cm="1">
        <f t="array" ref="AA10">IF(MONTH($H$7)&lt;MONTH($R$8),Z10+SUM(R10:T10),I10+SUMPRODUCT($R10:$T10*($R$9:$T$9="NO")))</f>
        <v>0</v>
      </c>
      <c r="AB10" s="402" cm="1">
        <f t="array" ref="AB10">IF(MONTH($H$7)&lt;MONTH($U$8),AA10+SUM(U10:W10),I10+SUMPRODUCT($U10:$W10*($U$9:$W$9="NO")))</f>
        <v>0</v>
      </c>
    </row>
    <row r="11" spans="1:78" ht="18.75" x14ac:dyDescent="0.25">
      <c r="G11" s="403" t="s">
        <v>267</v>
      </c>
      <c r="H11" s="391">
        <f>IFERROR(IF($A$1="ACTUAL",'CONSUMI SPACCHETTATI'!F17,IF($A$1="COMMIT",'CONSUMI SPACCHETTATI'!H17,'CONSUMI SPACCHETTATI'!F17+'CONSUMI SPACCHETTATI'!H17)),"non-visibile")</f>
        <v>0</v>
      </c>
      <c r="I11" s="392">
        <f>IFERROR(IF($A$1="ACTUAL",'CONSUMI SPACCHETTATI'!G17,IF($A$1="COMMIT",'CONSUMI SPACCHETTATI'!I17,'CONSUMI SPACCHETTATI'!G17+'CONSUMI SPACCHETTATI'!I17)),"non-visibile")</f>
        <v>0</v>
      </c>
      <c r="K11" s="404" t="s">
        <v>267</v>
      </c>
      <c r="L11" s="394" cm="1">
        <f t="array" ref="L11">SUMPRODUCT('2023 sintesi '!L$19:L$213*('2023 sintesi '!$I$19:$I$213='PREVISIONE SU QUARTER'!$G11),'2023 sintesi '!$B$19:$B$213*('2023 sintesi '!$K$19:$K$213="ORE"))</f>
        <v>0</v>
      </c>
      <c r="M11" s="395" cm="1">
        <f t="array" ref="M11">SUMPRODUCT('2023 sintesi '!M$19:M$213*('2023 sintesi '!$I$19:$I$213='PREVISIONE SU QUARTER'!$G11),'2023 sintesi '!$B$19:$B$213*('2023 sintesi '!$K$19:$K$213="ORE"))</f>
        <v>0</v>
      </c>
      <c r="N11" s="396" cm="1">
        <f t="array" ref="N11">SUMPRODUCT('2023 sintesi '!N$19:N$213*('2023 sintesi '!$I$19:$I$213='PREVISIONE SU QUARTER'!$G11),'2023 sintesi '!$B$19:$B$213*('2023 sintesi '!$K$19:$K$213="ORE"))</f>
        <v>0</v>
      </c>
      <c r="O11" s="394" cm="1">
        <f t="array" ref="O11">SUMPRODUCT('2023 sintesi '!O$19:O$213*('2023 sintesi '!$I$19:$I$213='PREVISIONE SU QUARTER'!$G11),'2023 sintesi '!$B$19:$B$213*('2023 sintesi '!$K$19:$K$213="ORE"))</f>
        <v>0</v>
      </c>
      <c r="P11" s="395" cm="1">
        <f t="array" ref="P11">SUMPRODUCT('2023 sintesi '!P$19:P$213*('2023 sintesi '!$I$19:$I$213='PREVISIONE SU QUARTER'!$G11),'2023 sintesi '!$B$19:$B$213*('2023 sintesi '!$K$19:$K$213="ORE"))</f>
        <v>0</v>
      </c>
      <c r="Q11" s="396" cm="1">
        <f t="array" ref="Q11">SUMPRODUCT('2023 sintesi '!Q$19:Q$213*('2023 sintesi '!$I$19:$I$213='PREVISIONE SU QUARTER'!$G11),'2023 sintesi '!$B$19:$B$213*('2023 sintesi '!$K$19:$K$213="ORE"))</f>
        <v>0</v>
      </c>
      <c r="R11" s="394" cm="1">
        <f t="array" ref="R11">SUMPRODUCT('2023 sintesi '!R$19:R$213*('2023 sintesi '!$I$19:$I$213='PREVISIONE SU QUARTER'!$G11),'2023 sintesi '!$B$19:$B$213*('2023 sintesi '!$K$19:$K$213="ORE"))</f>
        <v>0</v>
      </c>
      <c r="S11" s="395" cm="1">
        <f t="array" ref="S11">SUMPRODUCT('2023 sintesi '!S$19:S$213*('2023 sintesi '!$I$19:$I$213='PREVISIONE SU QUARTER'!$G11),'2023 sintesi '!$B$19:$B$213*('2023 sintesi '!$K$19:$K$213="ORE"))</f>
        <v>0</v>
      </c>
      <c r="T11" s="396" cm="1">
        <f t="array" ref="T11">SUMPRODUCT('2023 sintesi '!T$19:T$213*('2023 sintesi '!$I$19:$I$213='PREVISIONE SU QUARTER'!$G11),'2023 sintesi '!$B$19:$B$213*('2023 sintesi '!$K$19:$K$213="ORE"))</f>
        <v>0</v>
      </c>
      <c r="U11" s="397" cm="1">
        <f t="array" ref="U11">SUMPRODUCT('2023 sintesi '!U$19:U$213*('2023 sintesi '!$I$19:$I$213='PREVISIONE SU QUARTER'!$G11),'2023 sintesi '!$B$19:$B$213*('2023 sintesi '!$K$19:$K$213="ORE"))</f>
        <v>0</v>
      </c>
      <c r="V11" s="395" cm="1">
        <f t="array" ref="V11">SUMPRODUCT('2023 sintesi '!V$19:V$213*('2023 sintesi '!$I$19:$I$213='PREVISIONE SU QUARTER'!$G11),'2023 sintesi '!$B$19:$B$213*('2023 sintesi '!$K$19:$K$213="ORE"))</f>
        <v>0</v>
      </c>
      <c r="W11" s="396" cm="1">
        <f t="array" ref="W11">SUMPRODUCT('2023 sintesi '!W$19:W$213*('2023 sintesi '!$I$19:$I$213='PREVISIONE SU QUARTER'!$G11),'2023 sintesi '!$B$19:$B$213*('2023 sintesi '!$K$19:$K$213="ORE"))</f>
        <v>0</v>
      </c>
      <c r="X11" s="405" t="s">
        <v>267</v>
      </c>
      <c r="Y11" s="399">
        <v>0</v>
      </c>
      <c r="Z11" s="400">
        <v>0</v>
      </c>
      <c r="AA11" s="401" cm="1">
        <f t="array" ref="AA11">IF(MONTH($H$7)&lt;MONTH($R$8),Z11+SUM(R11:T11),I11+SUMPRODUCT($R11:$T11*($R$9:$T$9="NO")))</f>
        <v>0</v>
      </c>
      <c r="AB11" s="402" cm="1">
        <f t="array" ref="AB11">IF(MONTH($H$7)&lt;MONTH($U$8),AA11+SUM(U11:W11),I11+SUMPRODUCT($U11:$W11*($U$9:$W$9="NO")))</f>
        <v>0</v>
      </c>
    </row>
    <row r="12" spans="1:78" ht="18.75" x14ac:dyDescent="0.25">
      <c r="G12" s="403" t="s">
        <v>268</v>
      </c>
      <c r="H12" s="391">
        <f>IFERROR(IF($A$1="ACTUAL",'CONSUMI SPACCHETTATI'!F18,IF($A$1="COMMIT",'CONSUMI SPACCHETTATI'!H18,'CONSUMI SPACCHETTATI'!F18+'CONSUMI SPACCHETTATI'!H18)),"non-visibile")</f>
        <v>0</v>
      </c>
      <c r="I12" s="392">
        <f>IFERROR(IF($A$1="ACTUAL",'CONSUMI SPACCHETTATI'!G18,IF($A$1="COMMIT",'CONSUMI SPACCHETTATI'!I18,'CONSUMI SPACCHETTATI'!G18+'CONSUMI SPACCHETTATI'!I18)),"non-visibile")</f>
        <v>0</v>
      </c>
      <c r="K12" s="404" t="s">
        <v>268</v>
      </c>
      <c r="L12" s="394" cm="1">
        <f t="array" ref="L12">SUMPRODUCT('2023 sintesi '!L$19:L$213*('2023 sintesi '!$I$19:$I$213='PREVISIONE SU QUARTER'!$G12),'2023 sintesi '!$B$19:$B$213*('2023 sintesi '!$K$19:$K$213="ORE"))</f>
        <v>0</v>
      </c>
      <c r="M12" s="395" cm="1">
        <f t="array" ref="M12">SUMPRODUCT('2023 sintesi '!M$19:M$213*('2023 sintesi '!$I$19:$I$213='PREVISIONE SU QUARTER'!$G12),'2023 sintesi '!$B$19:$B$213*('2023 sintesi '!$K$19:$K$213="ORE"))</f>
        <v>0</v>
      </c>
      <c r="N12" s="396" cm="1">
        <f t="array" ref="N12">SUMPRODUCT('2023 sintesi '!N$19:N$213*('2023 sintesi '!$I$19:$I$213='PREVISIONE SU QUARTER'!$G12),'2023 sintesi '!$B$19:$B$213*('2023 sintesi '!$K$19:$K$213="ORE"))</f>
        <v>0</v>
      </c>
      <c r="O12" s="394" cm="1">
        <f t="array" ref="O12">SUMPRODUCT('2023 sintesi '!O$19:O$213*('2023 sintesi '!$I$19:$I$213='PREVISIONE SU QUARTER'!$G12),'2023 sintesi '!$B$19:$B$213*('2023 sintesi '!$K$19:$K$213="ORE"))</f>
        <v>0</v>
      </c>
      <c r="P12" s="395" cm="1">
        <f t="array" ref="P12">SUMPRODUCT('2023 sintesi '!P$19:P$213*('2023 sintesi '!$I$19:$I$213='PREVISIONE SU QUARTER'!$G12),'2023 sintesi '!$B$19:$B$213*('2023 sintesi '!$K$19:$K$213="ORE"))</f>
        <v>0</v>
      </c>
      <c r="Q12" s="396" cm="1">
        <f t="array" ref="Q12">SUMPRODUCT('2023 sintesi '!Q$19:Q$213*('2023 sintesi '!$I$19:$I$213='PREVISIONE SU QUARTER'!$G12),'2023 sintesi '!$B$19:$B$213*('2023 sintesi '!$K$19:$K$213="ORE"))</f>
        <v>0</v>
      </c>
      <c r="R12" s="394" cm="1">
        <f t="array" ref="R12">SUMPRODUCT('2023 sintesi '!R$19:R$213*('2023 sintesi '!$I$19:$I$213='PREVISIONE SU QUARTER'!$G12),'2023 sintesi '!$B$19:$B$213*('2023 sintesi '!$K$19:$K$213="ORE"))</f>
        <v>0</v>
      </c>
      <c r="S12" s="395" cm="1">
        <f t="array" ref="S12">SUMPRODUCT('2023 sintesi '!S$19:S$213*('2023 sintesi '!$I$19:$I$213='PREVISIONE SU QUARTER'!$G12),'2023 sintesi '!$B$19:$B$213*('2023 sintesi '!$K$19:$K$213="ORE"))</f>
        <v>0</v>
      </c>
      <c r="T12" s="396" cm="1">
        <f t="array" ref="T12">SUMPRODUCT('2023 sintesi '!T$19:T$213*('2023 sintesi '!$I$19:$I$213='PREVISIONE SU QUARTER'!$G12),'2023 sintesi '!$B$19:$B$213*('2023 sintesi '!$K$19:$K$213="ORE"))</f>
        <v>0</v>
      </c>
      <c r="U12" s="397" cm="1">
        <f t="array" ref="U12">SUMPRODUCT('2023 sintesi '!U$19:U$213*('2023 sintesi '!$I$19:$I$213='PREVISIONE SU QUARTER'!$G12),'2023 sintesi '!$B$19:$B$213*('2023 sintesi '!$K$19:$K$213="ORE"))</f>
        <v>0</v>
      </c>
      <c r="V12" s="395" cm="1">
        <f t="array" ref="V12">SUMPRODUCT('2023 sintesi '!V$19:V$213*('2023 sintesi '!$I$19:$I$213='PREVISIONE SU QUARTER'!$G12),'2023 sintesi '!$B$19:$B$213*('2023 sintesi '!$K$19:$K$213="ORE"))</f>
        <v>0</v>
      </c>
      <c r="W12" s="396" cm="1">
        <f t="array" ref="W12">SUMPRODUCT('2023 sintesi '!W$19:W$213*('2023 sintesi '!$I$19:$I$213='PREVISIONE SU QUARTER'!$G12),'2023 sintesi '!$B$19:$B$213*('2023 sintesi '!$K$19:$K$213="ORE"))</f>
        <v>0</v>
      </c>
      <c r="X12" s="405" t="s">
        <v>268</v>
      </c>
      <c r="Y12" s="399">
        <v>0</v>
      </c>
      <c r="Z12" s="400">
        <v>0</v>
      </c>
      <c r="AA12" s="401" cm="1">
        <f t="array" ref="AA12">IF(MONTH($H$7)&lt;MONTH($R$8),Z12+SUM(R12:T12),I12+SUMPRODUCT($R12:$T12*($R$9:$T$9="NO")))</f>
        <v>0</v>
      </c>
      <c r="AB12" s="402" cm="1">
        <f t="array" ref="AB12">IF(MONTH($H$7)&lt;MONTH($U$8),AA12+SUM(U12:W12),I12+SUMPRODUCT($U12:$W12*($U$9:$W$9="NO")))</f>
        <v>0</v>
      </c>
    </row>
    <row r="13" spans="1:78" ht="18.75" x14ac:dyDescent="0.25">
      <c r="G13" s="403" t="s">
        <v>269</v>
      </c>
      <c r="H13" s="391">
        <f>IFERROR(IF($A$1="ACTUAL",'CONSUMI SPACCHETTATI'!F19,IF($A$1="COMMIT",'CONSUMI SPACCHETTATI'!H19,'CONSUMI SPACCHETTATI'!F19+'CONSUMI SPACCHETTATI'!H19)),"non-visibile")</f>
        <v>0</v>
      </c>
      <c r="I13" s="392">
        <f>IFERROR(IF($A$1="ACTUAL",'CONSUMI SPACCHETTATI'!G19,IF($A$1="COMMIT",'CONSUMI SPACCHETTATI'!I19,'CONSUMI SPACCHETTATI'!G19+'CONSUMI SPACCHETTATI'!I19)),"non-visibile")</f>
        <v>0</v>
      </c>
      <c r="K13" s="404" t="s">
        <v>269</v>
      </c>
      <c r="L13" s="394" cm="1">
        <f t="array" ref="L13">SUMPRODUCT('2023 sintesi '!L$19:L$213*('2023 sintesi '!$I$19:$I$213='PREVISIONE SU QUARTER'!$G13),'2023 sintesi '!$B$19:$B$213*('2023 sintesi '!$K$19:$K$213="ORE"))</f>
        <v>0</v>
      </c>
      <c r="M13" s="395" cm="1">
        <f t="array" ref="M13">SUMPRODUCT('2023 sintesi '!M$19:M$213*('2023 sintesi '!$I$19:$I$213='PREVISIONE SU QUARTER'!$G13),'2023 sintesi '!$B$19:$B$213*('2023 sintesi '!$K$19:$K$213="ORE"))</f>
        <v>0</v>
      </c>
      <c r="N13" s="396" cm="1">
        <f t="array" ref="N13">SUMPRODUCT('2023 sintesi '!N$19:N$213*('2023 sintesi '!$I$19:$I$213='PREVISIONE SU QUARTER'!$G13),'2023 sintesi '!$B$19:$B$213*('2023 sintesi '!$K$19:$K$213="ORE"))</f>
        <v>0</v>
      </c>
      <c r="O13" s="394" cm="1">
        <f t="array" ref="O13">SUMPRODUCT('2023 sintesi '!O$19:O$213*('2023 sintesi '!$I$19:$I$213='PREVISIONE SU QUARTER'!$G13),'2023 sintesi '!$B$19:$B$213*('2023 sintesi '!$K$19:$K$213="ORE"))</f>
        <v>0</v>
      </c>
      <c r="P13" s="395" cm="1">
        <f t="array" ref="P13">SUMPRODUCT('2023 sintesi '!P$19:P$213*('2023 sintesi '!$I$19:$I$213='PREVISIONE SU QUARTER'!$G13),'2023 sintesi '!$B$19:$B$213*('2023 sintesi '!$K$19:$K$213="ORE"))</f>
        <v>0</v>
      </c>
      <c r="Q13" s="396" cm="1">
        <f t="array" ref="Q13">SUMPRODUCT('2023 sintesi '!Q$19:Q$213*('2023 sintesi '!$I$19:$I$213='PREVISIONE SU QUARTER'!$G13),'2023 sintesi '!$B$19:$B$213*('2023 sintesi '!$K$19:$K$213="ORE"))</f>
        <v>0</v>
      </c>
      <c r="R13" s="394" cm="1">
        <f t="array" ref="R13">SUMPRODUCT('2023 sintesi '!R$19:R$213*('2023 sintesi '!$I$19:$I$213='PREVISIONE SU QUARTER'!$G13),'2023 sintesi '!$B$19:$B$213*('2023 sintesi '!$K$19:$K$213="ORE"))</f>
        <v>0</v>
      </c>
      <c r="S13" s="395" cm="1">
        <f t="array" ref="S13">SUMPRODUCT('2023 sintesi '!S$19:S$213*('2023 sintesi '!$I$19:$I$213='PREVISIONE SU QUARTER'!$G13),'2023 sintesi '!$B$19:$B$213*('2023 sintesi '!$K$19:$K$213="ORE"))</f>
        <v>0</v>
      </c>
      <c r="T13" s="396" cm="1">
        <f t="array" ref="T13">SUMPRODUCT('2023 sintesi '!T$19:T$213*('2023 sintesi '!$I$19:$I$213='PREVISIONE SU QUARTER'!$G13),'2023 sintesi '!$B$19:$B$213*('2023 sintesi '!$K$19:$K$213="ORE"))</f>
        <v>0</v>
      </c>
      <c r="U13" s="397" cm="1">
        <f t="array" ref="U13">SUMPRODUCT('2023 sintesi '!U$19:U$213*('2023 sintesi '!$I$19:$I$213='PREVISIONE SU QUARTER'!$G13),'2023 sintesi '!$B$19:$B$213*('2023 sintesi '!$K$19:$K$213="ORE"))</f>
        <v>0</v>
      </c>
      <c r="V13" s="395" cm="1">
        <f t="array" ref="V13">SUMPRODUCT('2023 sintesi '!V$19:V$213*('2023 sintesi '!$I$19:$I$213='PREVISIONE SU QUARTER'!$G13),'2023 sintesi '!$B$19:$B$213*('2023 sintesi '!$K$19:$K$213="ORE"))</f>
        <v>0</v>
      </c>
      <c r="W13" s="396" cm="1">
        <f t="array" ref="W13">SUMPRODUCT('2023 sintesi '!W$19:W$213*('2023 sintesi '!$I$19:$I$213='PREVISIONE SU QUARTER'!$G13),'2023 sintesi '!$B$19:$B$213*('2023 sintesi '!$K$19:$K$213="ORE"))</f>
        <v>0</v>
      </c>
      <c r="X13" s="405" t="s">
        <v>269</v>
      </c>
      <c r="Y13" s="399">
        <v>0</v>
      </c>
      <c r="Z13" s="400">
        <v>0</v>
      </c>
      <c r="AA13" s="401" cm="1">
        <f t="array" ref="AA13">IF(MONTH($H$7)&lt;MONTH($R$8),Z13+SUM(R13:T13),I13+SUMPRODUCT($R13:$T13*($R$9:$T$9="NO")))</f>
        <v>0</v>
      </c>
      <c r="AB13" s="402" cm="1">
        <f t="array" ref="AB13">IF(MONTH($H$7)&lt;MONTH($U$8),AA13+SUM(U13:W13),I13+SUMPRODUCT($U13:$W13*($U$9:$W$9="NO")))</f>
        <v>0</v>
      </c>
    </row>
    <row r="14" spans="1:78" ht="18.75" x14ac:dyDescent="0.25">
      <c r="G14" s="403" t="s">
        <v>270</v>
      </c>
      <c r="H14" s="391">
        <f>IFERROR(IF($A$1="ACTUAL",'CONSUMI SPACCHETTATI'!F20,IF($A$1="COMMIT",'CONSUMI SPACCHETTATI'!H20,'CONSUMI SPACCHETTATI'!F20+'CONSUMI SPACCHETTATI'!H20)),"non-visibile")</f>
        <v>0</v>
      </c>
      <c r="I14" s="392">
        <f>IFERROR(IF($A$1="ACTUAL",'CONSUMI SPACCHETTATI'!G20,IF($A$1="COMMIT",'CONSUMI SPACCHETTATI'!I20,'CONSUMI SPACCHETTATI'!G20+'CONSUMI SPACCHETTATI'!I20)),"non-visibile")</f>
        <v>0</v>
      </c>
      <c r="K14" s="404" t="s">
        <v>270</v>
      </c>
      <c r="L14" s="394" cm="1">
        <f t="array" ref="L14">SUMPRODUCT('2023 sintesi '!L$19:L$213*('2023 sintesi '!$I$19:$I$213='PREVISIONE SU QUARTER'!$G14),'2023 sintesi '!$B$19:$B$213*('2023 sintesi '!$K$19:$K$213="ORE"))</f>
        <v>0</v>
      </c>
      <c r="M14" s="395" cm="1">
        <f t="array" ref="M14">SUMPRODUCT('2023 sintesi '!M$19:M$213*('2023 sintesi '!$I$19:$I$213='PREVISIONE SU QUARTER'!$G14),'2023 sintesi '!$B$19:$B$213*('2023 sintesi '!$K$19:$K$213="ORE"))</f>
        <v>0</v>
      </c>
      <c r="N14" s="396" cm="1">
        <f t="array" ref="N14">SUMPRODUCT('2023 sintesi '!N$19:N$213*('2023 sintesi '!$I$19:$I$213='PREVISIONE SU QUARTER'!$G14),'2023 sintesi '!$B$19:$B$213*('2023 sintesi '!$K$19:$K$213="ORE"))</f>
        <v>0</v>
      </c>
      <c r="O14" s="394" cm="1">
        <f t="array" ref="O14">SUMPRODUCT('2023 sintesi '!O$19:O$213*('2023 sintesi '!$I$19:$I$213='PREVISIONE SU QUARTER'!$G14),'2023 sintesi '!$B$19:$B$213*('2023 sintesi '!$K$19:$K$213="ORE"))</f>
        <v>0</v>
      </c>
      <c r="P14" s="395" cm="1">
        <f t="array" ref="P14">SUMPRODUCT('2023 sintesi '!P$19:P$213*('2023 sintesi '!$I$19:$I$213='PREVISIONE SU QUARTER'!$G14),'2023 sintesi '!$B$19:$B$213*('2023 sintesi '!$K$19:$K$213="ORE"))</f>
        <v>0</v>
      </c>
      <c r="Q14" s="396" cm="1">
        <f t="array" ref="Q14">SUMPRODUCT('2023 sintesi '!Q$19:Q$213*('2023 sintesi '!$I$19:$I$213='PREVISIONE SU QUARTER'!$G14),'2023 sintesi '!$B$19:$B$213*('2023 sintesi '!$K$19:$K$213="ORE"))</f>
        <v>0</v>
      </c>
      <c r="R14" s="394" cm="1">
        <f t="array" ref="R14">SUMPRODUCT('2023 sintesi '!R$19:R$213*('2023 sintesi '!$I$19:$I$213='PREVISIONE SU QUARTER'!$G14),'2023 sintesi '!$B$19:$B$213*('2023 sintesi '!$K$19:$K$213="ORE"))</f>
        <v>0</v>
      </c>
      <c r="S14" s="395" cm="1">
        <f t="array" ref="S14">SUMPRODUCT('2023 sintesi '!S$19:S$213*('2023 sintesi '!$I$19:$I$213='PREVISIONE SU QUARTER'!$G14),'2023 sintesi '!$B$19:$B$213*('2023 sintesi '!$K$19:$K$213="ORE"))</f>
        <v>0</v>
      </c>
      <c r="T14" s="396" cm="1">
        <f t="array" ref="T14">SUMPRODUCT('2023 sintesi '!T$19:T$213*('2023 sintesi '!$I$19:$I$213='PREVISIONE SU QUARTER'!$G14),'2023 sintesi '!$B$19:$B$213*('2023 sintesi '!$K$19:$K$213="ORE"))</f>
        <v>0</v>
      </c>
      <c r="U14" s="397" cm="1">
        <f t="array" ref="U14">SUMPRODUCT('2023 sintesi '!U$19:U$213*('2023 sintesi '!$I$19:$I$213='PREVISIONE SU QUARTER'!$G14),'2023 sintesi '!$B$19:$B$213*('2023 sintesi '!$K$19:$K$213="ORE"))</f>
        <v>0</v>
      </c>
      <c r="V14" s="395" cm="1">
        <f t="array" ref="V14">SUMPRODUCT('2023 sintesi '!V$19:V$213*('2023 sintesi '!$I$19:$I$213='PREVISIONE SU QUARTER'!$G14),'2023 sintesi '!$B$19:$B$213*('2023 sintesi '!$K$19:$K$213="ORE"))</f>
        <v>0</v>
      </c>
      <c r="W14" s="396" cm="1">
        <f t="array" ref="W14">SUMPRODUCT('2023 sintesi '!W$19:W$213*('2023 sintesi '!$I$19:$I$213='PREVISIONE SU QUARTER'!$G14),'2023 sintesi '!$B$19:$B$213*('2023 sintesi '!$K$19:$K$213="ORE"))</f>
        <v>0</v>
      </c>
      <c r="X14" s="405" t="s">
        <v>270</v>
      </c>
      <c r="Y14" s="399">
        <v>0</v>
      </c>
      <c r="Z14" s="400">
        <v>0</v>
      </c>
      <c r="AA14" s="401" cm="1">
        <f t="array" ref="AA14">IF(MONTH($H$7)&lt;MONTH($R$8),Z14+SUM(R14:T14),I14+SUMPRODUCT($R14:$T14*($R$9:$T$9="NO")))</f>
        <v>0</v>
      </c>
      <c r="AB14" s="402" cm="1">
        <f t="array" ref="AB14">IF(MONTH($H$7)&lt;MONTH($U$8),AA14+SUM(U14:W14),I14+SUMPRODUCT($U14:$W14*($U$9:$W$9="NO")))</f>
        <v>0</v>
      </c>
    </row>
    <row r="15" spans="1:78" ht="18.75" x14ac:dyDescent="0.25">
      <c r="G15" s="403" t="s">
        <v>271</v>
      </c>
      <c r="H15" s="391">
        <f>IFERROR(IF($A$1="ACTUAL",'CONSUMI SPACCHETTATI'!F21,IF($A$1="COMMIT",'CONSUMI SPACCHETTATI'!H21,'CONSUMI SPACCHETTATI'!F21+'CONSUMI SPACCHETTATI'!H21)),"non-visibile")</f>
        <v>0</v>
      </c>
      <c r="I15" s="392">
        <f>IFERROR(IF($A$1="ACTUAL",'CONSUMI SPACCHETTATI'!G21,IF($A$1="COMMIT",'CONSUMI SPACCHETTATI'!I21,'CONSUMI SPACCHETTATI'!G21+'CONSUMI SPACCHETTATI'!I21)),"non-visibile")</f>
        <v>0</v>
      </c>
      <c r="K15" s="404" t="s">
        <v>271</v>
      </c>
      <c r="L15" s="394" cm="1">
        <f t="array" ref="L15">SUMPRODUCT('2023 sintesi '!L$19:L$213*('2023 sintesi '!$I$19:$I$213='PREVISIONE SU QUARTER'!$G15),'2023 sintesi '!$B$19:$B$213*('2023 sintesi '!$K$19:$K$213="ORE"))</f>
        <v>0</v>
      </c>
      <c r="M15" s="395" cm="1">
        <f t="array" ref="M15">SUMPRODUCT('2023 sintesi '!M$19:M$213*('2023 sintesi '!$I$19:$I$213='PREVISIONE SU QUARTER'!$G15),'2023 sintesi '!$B$19:$B$213*('2023 sintesi '!$K$19:$K$213="ORE"))</f>
        <v>0</v>
      </c>
      <c r="N15" s="396" cm="1">
        <f t="array" ref="N15">SUMPRODUCT('2023 sintesi '!N$19:N$213*('2023 sintesi '!$I$19:$I$213='PREVISIONE SU QUARTER'!$G15),'2023 sintesi '!$B$19:$B$213*('2023 sintesi '!$K$19:$K$213="ORE"))</f>
        <v>0</v>
      </c>
      <c r="O15" s="394" cm="1">
        <f t="array" ref="O15">SUMPRODUCT('2023 sintesi '!O$19:O$213*('2023 sintesi '!$I$19:$I$213='PREVISIONE SU QUARTER'!$G15),'2023 sintesi '!$B$19:$B$213*('2023 sintesi '!$K$19:$K$213="ORE"))</f>
        <v>0</v>
      </c>
      <c r="P15" s="395" cm="1">
        <f t="array" ref="P15">SUMPRODUCT('2023 sintesi '!P$19:P$213*('2023 sintesi '!$I$19:$I$213='PREVISIONE SU QUARTER'!$G15),'2023 sintesi '!$B$19:$B$213*('2023 sintesi '!$K$19:$K$213="ORE"))</f>
        <v>0</v>
      </c>
      <c r="Q15" s="396" cm="1">
        <f t="array" ref="Q15">SUMPRODUCT('2023 sintesi '!Q$19:Q$213*('2023 sintesi '!$I$19:$I$213='PREVISIONE SU QUARTER'!$G15),'2023 sintesi '!$B$19:$B$213*('2023 sintesi '!$K$19:$K$213="ORE"))</f>
        <v>0</v>
      </c>
      <c r="R15" s="394" cm="1">
        <f t="array" ref="R15">SUMPRODUCT('2023 sintesi '!R$19:R$213*('2023 sintesi '!$I$19:$I$213='PREVISIONE SU QUARTER'!$G15),'2023 sintesi '!$B$19:$B$213*('2023 sintesi '!$K$19:$K$213="ORE"))</f>
        <v>0</v>
      </c>
      <c r="S15" s="395" cm="1">
        <f t="array" ref="S15">SUMPRODUCT('2023 sintesi '!S$19:S$213*('2023 sintesi '!$I$19:$I$213='PREVISIONE SU QUARTER'!$G15),'2023 sintesi '!$B$19:$B$213*('2023 sintesi '!$K$19:$K$213="ORE"))</f>
        <v>0</v>
      </c>
      <c r="T15" s="396" cm="1">
        <f t="array" ref="T15">SUMPRODUCT('2023 sintesi '!T$19:T$213*('2023 sintesi '!$I$19:$I$213='PREVISIONE SU QUARTER'!$G15),'2023 sintesi '!$B$19:$B$213*('2023 sintesi '!$K$19:$K$213="ORE"))</f>
        <v>0</v>
      </c>
      <c r="U15" s="397" cm="1">
        <f t="array" ref="U15">SUMPRODUCT('2023 sintesi '!U$19:U$213*('2023 sintesi '!$I$19:$I$213='PREVISIONE SU QUARTER'!$G15),'2023 sintesi '!$B$19:$B$213*('2023 sintesi '!$K$19:$K$213="ORE"))</f>
        <v>0</v>
      </c>
      <c r="V15" s="395" cm="1">
        <f t="array" ref="V15">SUMPRODUCT('2023 sintesi '!V$19:V$213*('2023 sintesi '!$I$19:$I$213='PREVISIONE SU QUARTER'!$G15),'2023 sintesi '!$B$19:$B$213*('2023 sintesi '!$K$19:$K$213="ORE"))</f>
        <v>0</v>
      </c>
      <c r="W15" s="396" cm="1">
        <f t="array" ref="W15">SUMPRODUCT('2023 sintesi '!W$19:W$213*('2023 sintesi '!$I$19:$I$213='PREVISIONE SU QUARTER'!$G15),'2023 sintesi '!$B$19:$B$213*('2023 sintesi '!$K$19:$K$213="ORE"))</f>
        <v>0</v>
      </c>
      <c r="X15" s="405" t="s">
        <v>271</v>
      </c>
      <c r="Y15" s="399">
        <v>0</v>
      </c>
      <c r="Z15" s="400">
        <v>0</v>
      </c>
      <c r="AA15" s="401" cm="1">
        <f t="array" ref="AA15">IF(MONTH($H$7)&lt;MONTH($R$8),Z15+SUM(R15:T15),I15+SUMPRODUCT($R15:$T15*($R$9:$T$9="NO")))</f>
        <v>0</v>
      </c>
      <c r="AB15" s="402" cm="1">
        <f t="array" ref="AB15">IF(MONTH($H$7)&lt;MONTH($U$8),AA15+SUM(U15:W15),I15+SUMPRODUCT($U15:$W15*($U$9:$W$9="NO")))</f>
        <v>0</v>
      </c>
    </row>
    <row r="16" spans="1:78" ht="18.75" x14ac:dyDescent="0.25">
      <c r="G16" s="403" t="s">
        <v>272</v>
      </c>
      <c r="H16" s="391">
        <f>IFERROR(IF($A$1="ACTUAL",'CONSUMI SPACCHETTATI'!F22,IF($A$1="COMMIT",'CONSUMI SPACCHETTATI'!H22,'CONSUMI SPACCHETTATI'!F22+'CONSUMI SPACCHETTATI'!H22)),"non-visibile")</f>
        <v>0</v>
      </c>
      <c r="I16" s="392">
        <f>IFERROR(IF($A$1="ACTUAL",'CONSUMI SPACCHETTATI'!G22,IF($A$1="COMMIT",'CONSUMI SPACCHETTATI'!I22,'CONSUMI SPACCHETTATI'!G22+'CONSUMI SPACCHETTATI'!I22)),"non-visibile")</f>
        <v>0</v>
      </c>
      <c r="K16" s="404" t="s">
        <v>272</v>
      </c>
      <c r="L16" s="394" cm="1">
        <f t="array" ref="L16">SUMPRODUCT('2023 sintesi '!L$19:L$213*('2023 sintesi '!$I$19:$I$213='PREVISIONE SU QUARTER'!$G16),'2023 sintesi '!$B$19:$B$213*('2023 sintesi '!$K$19:$K$213="ORE"))</f>
        <v>0</v>
      </c>
      <c r="M16" s="395" cm="1">
        <f t="array" ref="M16">SUMPRODUCT('2023 sintesi '!M$19:M$213*('2023 sintesi '!$I$19:$I$213='PREVISIONE SU QUARTER'!$G16),'2023 sintesi '!$B$19:$B$213*('2023 sintesi '!$K$19:$K$213="ORE"))</f>
        <v>0</v>
      </c>
      <c r="N16" s="396" cm="1">
        <f t="array" ref="N16">SUMPRODUCT('2023 sintesi '!N$19:N$213*('2023 sintesi '!$I$19:$I$213='PREVISIONE SU QUARTER'!$G16),'2023 sintesi '!$B$19:$B$213*('2023 sintesi '!$K$19:$K$213="ORE"))</f>
        <v>0</v>
      </c>
      <c r="O16" s="394" cm="1">
        <f t="array" ref="O16">SUMPRODUCT('2023 sintesi '!O$19:O$213*('2023 sintesi '!$I$19:$I$213='PREVISIONE SU QUARTER'!$G16),'2023 sintesi '!$B$19:$B$213*('2023 sintesi '!$K$19:$K$213="ORE"))</f>
        <v>0</v>
      </c>
      <c r="P16" s="395" cm="1">
        <f t="array" ref="P16">SUMPRODUCT('2023 sintesi '!P$19:P$213*('2023 sintesi '!$I$19:$I$213='PREVISIONE SU QUARTER'!$G16),'2023 sintesi '!$B$19:$B$213*('2023 sintesi '!$K$19:$K$213="ORE"))</f>
        <v>0</v>
      </c>
      <c r="Q16" s="396" cm="1">
        <f t="array" ref="Q16">SUMPRODUCT('2023 sintesi '!Q$19:Q$213*('2023 sintesi '!$I$19:$I$213='PREVISIONE SU QUARTER'!$G16),'2023 sintesi '!$B$19:$B$213*('2023 sintesi '!$K$19:$K$213="ORE"))</f>
        <v>0</v>
      </c>
      <c r="R16" s="394" cm="1">
        <f t="array" ref="R16">SUMPRODUCT('2023 sintesi '!R$19:R$213*('2023 sintesi '!$I$19:$I$213='PREVISIONE SU QUARTER'!$G16),'2023 sintesi '!$B$19:$B$213*('2023 sintesi '!$K$19:$K$213="ORE"))</f>
        <v>0</v>
      </c>
      <c r="S16" s="395" cm="1">
        <f t="array" ref="S16">SUMPRODUCT('2023 sintesi '!S$19:S$213*('2023 sintesi '!$I$19:$I$213='PREVISIONE SU QUARTER'!$G16),'2023 sintesi '!$B$19:$B$213*('2023 sintesi '!$K$19:$K$213="ORE"))</f>
        <v>0</v>
      </c>
      <c r="T16" s="396" cm="1">
        <f t="array" ref="T16">SUMPRODUCT('2023 sintesi '!T$19:T$213*('2023 sintesi '!$I$19:$I$213='PREVISIONE SU QUARTER'!$G16),'2023 sintesi '!$B$19:$B$213*('2023 sintesi '!$K$19:$K$213="ORE"))</f>
        <v>0</v>
      </c>
      <c r="U16" s="397" cm="1">
        <f t="array" ref="U16">SUMPRODUCT('2023 sintesi '!U$19:U$213*('2023 sintesi '!$I$19:$I$213='PREVISIONE SU QUARTER'!$G16),'2023 sintesi '!$B$19:$B$213*('2023 sintesi '!$K$19:$K$213="ORE"))</f>
        <v>0</v>
      </c>
      <c r="V16" s="395" cm="1">
        <f t="array" ref="V16">SUMPRODUCT('2023 sintesi '!V$19:V$213*('2023 sintesi '!$I$19:$I$213='PREVISIONE SU QUARTER'!$G16),'2023 sintesi '!$B$19:$B$213*('2023 sintesi '!$K$19:$K$213="ORE"))</f>
        <v>0</v>
      </c>
      <c r="W16" s="396" cm="1">
        <f t="array" ref="W16">SUMPRODUCT('2023 sintesi '!W$19:W$213*('2023 sintesi '!$I$19:$I$213='PREVISIONE SU QUARTER'!$G16),'2023 sintesi '!$B$19:$B$213*('2023 sintesi '!$K$19:$K$213="ORE"))</f>
        <v>0</v>
      </c>
      <c r="X16" s="405" t="s">
        <v>272</v>
      </c>
      <c r="Y16" s="399">
        <v>0</v>
      </c>
      <c r="Z16" s="400">
        <v>0</v>
      </c>
      <c r="AA16" s="401" cm="1">
        <f t="array" ref="AA16">IF(MONTH($H$7)&lt;MONTH($R$8),Z16+SUM(R16:T16),I16+SUMPRODUCT($R16:$T16*($R$9:$T$9="NO")))</f>
        <v>0</v>
      </c>
      <c r="AB16" s="402" cm="1">
        <f t="array" ref="AB16">IF(MONTH($H$7)&lt;MONTH($U$8),AA16+SUM(U16:W16),I16+SUMPRODUCT($U16:$W16*($U$9:$W$9="NO")))</f>
        <v>0</v>
      </c>
    </row>
    <row r="17" spans="7:130" ht="18.75" x14ac:dyDescent="0.25">
      <c r="G17" s="403" t="s">
        <v>273</v>
      </c>
      <c r="H17" s="391">
        <f>IFERROR(IF($A$1="ACTUAL",'CONSUMI SPACCHETTATI'!F23,IF($A$1="COMMIT",'CONSUMI SPACCHETTATI'!H23,'CONSUMI SPACCHETTATI'!F23+'CONSUMI SPACCHETTATI'!H23)),"non-visibile")</f>
        <v>446.62857142857143</v>
      </c>
      <c r="I17" s="392">
        <f>IFERROR(IF($A$1="ACTUAL",'CONSUMI SPACCHETTATI'!G23,IF($A$1="COMMIT",'CONSUMI SPACCHETTATI'!I23,'CONSUMI SPACCHETTATI'!G23+'CONSUMI SPACCHETTATI'!I23)),"non-visibile")</f>
        <v>802</v>
      </c>
      <c r="K17" s="404" t="s">
        <v>273</v>
      </c>
      <c r="L17" s="394" cm="1">
        <f t="array" ref="L17">SUMPRODUCT('2023 sintesi '!L$19:L$213*('2023 sintesi '!$I$19:$I$213='PREVISIONE SU QUARTER'!$G17),'2023 sintesi '!$B$19:$B$213*('2023 sintesi '!$K$19:$K$213="ORE"))</f>
        <v>1014.5</v>
      </c>
      <c r="M17" s="395" cm="1">
        <f t="array" ref="M17">SUMPRODUCT('2023 sintesi '!M$19:M$213*('2023 sintesi '!$I$19:$I$213='PREVISIONE SU QUARTER'!$G17),'2023 sintesi '!$B$19:$B$213*('2023 sintesi '!$K$19:$K$213="ORE"))</f>
        <v>1014.5</v>
      </c>
      <c r="N17" s="396" cm="1">
        <f t="array" ref="N17">SUMPRODUCT('2023 sintesi '!N$19:N$213*('2023 sintesi '!$I$19:$I$213='PREVISIONE SU QUARTER'!$G17),'2023 sintesi '!$B$19:$B$213*('2023 sintesi '!$K$19:$K$213="ORE"))</f>
        <v>1014.5</v>
      </c>
      <c r="O17" s="394" cm="1">
        <f t="array" ref="O17">SUMPRODUCT('2023 sintesi '!O$19:O$213*('2023 sintesi '!$I$19:$I$213='PREVISIONE SU QUARTER'!$G17),'2023 sintesi '!$B$19:$B$213*('2023 sintesi '!$K$19:$K$213="ORE"))</f>
        <v>1014.5</v>
      </c>
      <c r="P17" s="395" cm="1">
        <f t="array" ref="P17">SUMPRODUCT('2023 sintesi '!P$19:P$213*('2023 sintesi '!$I$19:$I$213='PREVISIONE SU QUARTER'!$G17),'2023 sintesi '!$B$19:$B$213*('2023 sintesi '!$K$19:$K$213="ORE"))</f>
        <v>1014.5</v>
      </c>
      <c r="Q17" s="396" cm="1">
        <f t="array" ref="Q17">SUMPRODUCT('2023 sintesi '!Q$19:Q$213*('2023 sintesi '!$I$19:$I$213='PREVISIONE SU QUARTER'!$G17),'2023 sintesi '!$B$19:$B$213*('2023 sintesi '!$K$19:$K$213="ORE"))</f>
        <v>1014.5</v>
      </c>
      <c r="R17" s="394" cm="1">
        <f t="array" ref="R17">SUMPRODUCT('2023 sintesi '!R$19:R$213*('2023 sintesi '!$I$19:$I$213='PREVISIONE SU QUARTER'!$G17),'2023 sintesi '!$B$19:$B$213*('2023 sintesi '!$K$19:$K$213="ORE"))</f>
        <v>21625.75</v>
      </c>
      <c r="S17" s="395" cm="1">
        <f t="array" ref="S17">SUMPRODUCT('2023 sintesi '!S$19:S$213*('2023 sintesi '!$I$19:$I$213='PREVISIONE SU QUARTER'!$G17),'2023 sintesi '!$B$19:$B$213*('2023 sintesi '!$K$19:$K$213="ORE"))</f>
        <v>1625.75</v>
      </c>
      <c r="T17" s="396" cm="1">
        <f t="array" ref="T17">SUMPRODUCT('2023 sintesi '!T$19:T$213*('2023 sintesi '!$I$19:$I$213='PREVISIONE SU QUARTER'!$G17),'2023 sintesi '!$B$19:$B$213*('2023 sintesi '!$K$19:$K$213="ORE"))</f>
        <v>1625.75</v>
      </c>
      <c r="U17" s="397" cm="1">
        <f t="array" ref="U17">SUMPRODUCT('2023 sintesi '!U$19:U$213*('2023 sintesi '!$I$19:$I$213='PREVISIONE SU QUARTER'!$G17),'2023 sintesi '!$B$19:$B$213*('2023 sintesi '!$K$19:$K$213="ORE"))</f>
        <v>1625.75</v>
      </c>
      <c r="V17" s="395" cm="1">
        <f t="array" ref="V17">SUMPRODUCT('2023 sintesi '!V$19:V$213*('2023 sintesi '!$I$19:$I$213='PREVISIONE SU QUARTER'!$G17),'2023 sintesi '!$B$19:$B$213*('2023 sintesi '!$K$19:$K$213="ORE"))</f>
        <v>1625.75</v>
      </c>
      <c r="W17" s="396" cm="1">
        <f t="array" ref="W17">SUMPRODUCT('2023 sintesi '!W$19:W$213*('2023 sintesi '!$I$19:$I$213='PREVISIONE SU QUARTER'!$G17),'2023 sintesi '!$B$19:$B$213*('2023 sintesi '!$K$19:$K$213="ORE"))</f>
        <v>21625.75</v>
      </c>
      <c r="X17" s="405" t="s">
        <v>273</v>
      </c>
      <c r="Y17" s="399">
        <v>802</v>
      </c>
      <c r="Z17" s="400">
        <v>1442</v>
      </c>
      <c r="AA17" s="401" cm="1">
        <f t="array" ref="AA17">IF(MONTH($H$7)&lt;MONTH($R$8),Z17+SUM(R17:T17),I17+SUMPRODUCT($R17:$T17*($R$9:$T$9="NO")))</f>
        <v>26319.25</v>
      </c>
      <c r="AB17" s="402" cm="1">
        <f t="array" ref="AB17">IF(MONTH($H$7)&lt;MONTH($U$8),AA17+SUM(U17:W17),I17+SUMPRODUCT($U17:$W17*($U$9:$W$9="NO")))</f>
        <v>51196.5</v>
      </c>
    </row>
    <row r="18" spans="7:130" ht="18.75" x14ac:dyDescent="0.25">
      <c r="G18" s="403" t="s">
        <v>274</v>
      </c>
      <c r="H18" s="391">
        <f>IFERROR(IF($A$1="ACTUAL",'CONSUMI SPACCHETTATI'!F24,IF($A$1="COMMIT",'CONSUMI SPACCHETTATI'!H24,'CONSUMI SPACCHETTATI'!F24+'CONSUMI SPACCHETTATI'!H24)),"non-visibile")</f>
        <v>0</v>
      </c>
      <c r="I18" s="392">
        <f>IFERROR(IF($A$1="ACTUAL",'CONSUMI SPACCHETTATI'!G24,IF($A$1="COMMIT",'CONSUMI SPACCHETTATI'!I24,'CONSUMI SPACCHETTATI'!G24+'CONSUMI SPACCHETTATI'!I24)),"non-visibile")</f>
        <v>0</v>
      </c>
      <c r="K18" s="404" t="s">
        <v>274</v>
      </c>
      <c r="L18" s="394" cm="1">
        <f t="array" ref="L18">SUMPRODUCT('2023 sintesi '!L$19:L$213*('2023 sintesi '!$I$19:$I$213='PREVISIONE SU QUARTER'!$G18),'2023 sintesi '!$B$19:$B$213*('2023 sintesi '!$K$19:$K$213="ORE"))</f>
        <v>0</v>
      </c>
      <c r="M18" s="395" cm="1">
        <f t="array" ref="M18">SUMPRODUCT('2023 sintesi '!M$19:M$213*('2023 sintesi '!$I$19:$I$213='PREVISIONE SU QUARTER'!$G18),'2023 sintesi '!$B$19:$B$213*('2023 sintesi '!$K$19:$K$213="ORE"))</f>
        <v>0</v>
      </c>
      <c r="N18" s="396" cm="1">
        <f t="array" ref="N18">SUMPRODUCT('2023 sintesi '!N$19:N$213*('2023 sintesi '!$I$19:$I$213='PREVISIONE SU QUARTER'!$G18),'2023 sintesi '!$B$19:$B$213*('2023 sintesi '!$K$19:$K$213="ORE"))</f>
        <v>0</v>
      </c>
      <c r="O18" s="394" cm="1">
        <f t="array" ref="O18">SUMPRODUCT('2023 sintesi '!O$19:O$213*('2023 sintesi '!$I$19:$I$213='PREVISIONE SU QUARTER'!$G18),'2023 sintesi '!$B$19:$B$213*('2023 sintesi '!$K$19:$K$213="ORE"))</f>
        <v>0</v>
      </c>
      <c r="P18" s="395" cm="1">
        <f t="array" ref="P18">SUMPRODUCT('2023 sintesi '!P$19:P$213*('2023 sintesi '!$I$19:$I$213='PREVISIONE SU QUARTER'!$G18),'2023 sintesi '!$B$19:$B$213*('2023 sintesi '!$K$19:$K$213="ORE"))</f>
        <v>0</v>
      </c>
      <c r="Q18" s="396" cm="1">
        <f t="array" ref="Q18">SUMPRODUCT('2023 sintesi '!Q$19:Q$213*('2023 sintesi '!$I$19:$I$213='PREVISIONE SU QUARTER'!$G18),'2023 sintesi '!$B$19:$B$213*('2023 sintesi '!$K$19:$K$213="ORE"))</f>
        <v>0</v>
      </c>
      <c r="R18" s="394" cm="1">
        <f t="array" ref="R18">SUMPRODUCT('2023 sintesi '!R$19:R$213*('2023 sintesi '!$I$19:$I$213='PREVISIONE SU QUARTER'!$G18),'2023 sintesi '!$B$19:$B$213*('2023 sintesi '!$K$19:$K$213="ORE"))</f>
        <v>0</v>
      </c>
      <c r="S18" s="395" cm="1">
        <f t="array" ref="S18">SUMPRODUCT('2023 sintesi '!S$19:S$213*('2023 sintesi '!$I$19:$I$213='PREVISIONE SU QUARTER'!$G18),'2023 sintesi '!$B$19:$B$213*('2023 sintesi '!$K$19:$K$213="ORE"))</f>
        <v>0</v>
      </c>
      <c r="T18" s="396" cm="1">
        <f t="array" ref="T18">SUMPRODUCT('2023 sintesi '!T$19:T$213*('2023 sintesi '!$I$19:$I$213='PREVISIONE SU QUARTER'!$G18),'2023 sintesi '!$B$19:$B$213*('2023 sintesi '!$K$19:$K$213="ORE"))</f>
        <v>0</v>
      </c>
      <c r="U18" s="397" cm="1">
        <f t="array" ref="U18">SUMPRODUCT('2023 sintesi '!U$19:U$213*('2023 sintesi '!$I$19:$I$213='PREVISIONE SU QUARTER'!$G18),'2023 sintesi '!$B$19:$B$213*('2023 sintesi '!$K$19:$K$213="ORE"))</f>
        <v>0</v>
      </c>
      <c r="V18" s="395" cm="1">
        <f t="array" ref="V18">SUMPRODUCT('2023 sintesi '!V$19:V$213*('2023 sintesi '!$I$19:$I$213='PREVISIONE SU QUARTER'!$G18),'2023 sintesi '!$B$19:$B$213*('2023 sintesi '!$K$19:$K$213="ORE"))</f>
        <v>0</v>
      </c>
      <c r="W18" s="396" cm="1">
        <f t="array" ref="W18">SUMPRODUCT('2023 sintesi '!W$19:W$213*('2023 sintesi '!$I$19:$I$213='PREVISIONE SU QUARTER'!$G18),'2023 sintesi '!$B$19:$B$213*('2023 sintesi '!$K$19:$K$213="ORE"))</f>
        <v>0</v>
      </c>
      <c r="X18" s="405" t="s">
        <v>274</v>
      </c>
      <c r="Y18" s="399">
        <v>0</v>
      </c>
      <c r="Z18" s="400">
        <v>0</v>
      </c>
      <c r="AA18" s="401" cm="1">
        <f t="array" ref="AA18">IF(MONTH($H$7)&lt;MONTH($R$8),Z18+SUM(R18:T18),I18+SUMPRODUCT($R18:$T18*($R$9:$T$9="NO")))</f>
        <v>0</v>
      </c>
      <c r="AB18" s="402" cm="1">
        <f t="array" ref="AB18">IF(MONTH($H$7)&lt;MONTH($U$8),AA18+SUM(U18:W18),I18+SUMPRODUCT($U18:$W18*($U$9:$W$9="NO")))</f>
        <v>0</v>
      </c>
    </row>
    <row r="19" spans="7:130" ht="18.75" x14ac:dyDescent="0.25">
      <c r="G19" s="403" t="s">
        <v>275</v>
      </c>
      <c r="H19" s="391">
        <f>IFERROR(IF($A$1="ACTUAL",'CONSUMI SPACCHETTATI'!F25,IF($A$1="COMMIT",'CONSUMI SPACCHETTATI'!H25,'CONSUMI SPACCHETTATI'!F25+'CONSUMI SPACCHETTATI'!H25)),"non-visibile")</f>
        <v>0</v>
      </c>
      <c r="I19" s="392">
        <f>IFERROR(IF($A$1="ACTUAL",'CONSUMI SPACCHETTATI'!G25,IF($A$1="COMMIT",'CONSUMI SPACCHETTATI'!I25,'CONSUMI SPACCHETTATI'!G25+'CONSUMI SPACCHETTATI'!I25)),"non-visibile")</f>
        <v>0</v>
      </c>
      <c r="K19" s="404" t="s">
        <v>275</v>
      </c>
      <c r="L19" s="394" cm="1">
        <f t="array" ref="L19">SUMPRODUCT('2023 sintesi '!L$19:L$213*('2023 sintesi '!$I$19:$I$213='PREVISIONE SU QUARTER'!$G19),'2023 sintesi '!$B$19:$B$213*('2023 sintesi '!$K$19:$K$213="ORE"))</f>
        <v>0</v>
      </c>
      <c r="M19" s="395" cm="1">
        <f t="array" ref="M19">SUMPRODUCT('2023 sintesi '!M$19:M$213*('2023 sintesi '!$I$19:$I$213='PREVISIONE SU QUARTER'!$G19),'2023 sintesi '!$B$19:$B$213*('2023 sintesi '!$K$19:$K$213="ORE"))</f>
        <v>0</v>
      </c>
      <c r="N19" s="396" cm="1">
        <f t="array" ref="N19">SUMPRODUCT('2023 sintesi '!N$19:N$213*('2023 sintesi '!$I$19:$I$213='PREVISIONE SU QUARTER'!$G19),'2023 sintesi '!$B$19:$B$213*('2023 sintesi '!$K$19:$K$213="ORE"))</f>
        <v>0</v>
      </c>
      <c r="O19" s="394" cm="1">
        <f t="array" ref="O19">SUMPRODUCT('2023 sintesi '!O$19:O$213*('2023 sintesi '!$I$19:$I$213='PREVISIONE SU QUARTER'!$G19),'2023 sintesi '!$B$19:$B$213*('2023 sintesi '!$K$19:$K$213="ORE"))</f>
        <v>0</v>
      </c>
      <c r="P19" s="395" cm="1">
        <f t="array" ref="P19">SUMPRODUCT('2023 sintesi '!P$19:P$213*('2023 sintesi '!$I$19:$I$213='PREVISIONE SU QUARTER'!$G19),'2023 sintesi '!$B$19:$B$213*('2023 sintesi '!$K$19:$K$213="ORE"))</f>
        <v>0</v>
      </c>
      <c r="Q19" s="396" cm="1">
        <f t="array" ref="Q19">SUMPRODUCT('2023 sintesi '!Q$19:Q$213*('2023 sintesi '!$I$19:$I$213='PREVISIONE SU QUARTER'!$G19),'2023 sintesi '!$B$19:$B$213*('2023 sintesi '!$K$19:$K$213="ORE"))</f>
        <v>0</v>
      </c>
      <c r="R19" s="394" cm="1">
        <f t="array" ref="R19">SUMPRODUCT('2023 sintesi '!R$19:R$213*('2023 sintesi '!$I$19:$I$213='PREVISIONE SU QUARTER'!$G19),'2023 sintesi '!$B$19:$B$213*('2023 sintesi '!$K$19:$K$213="ORE"))</f>
        <v>0</v>
      </c>
      <c r="S19" s="395" cm="1">
        <f t="array" ref="S19">SUMPRODUCT('2023 sintesi '!S$19:S$213*('2023 sintesi '!$I$19:$I$213='PREVISIONE SU QUARTER'!$G19),'2023 sintesi '!$B$19:$B$213*('2023 sintesi '!$K$19:$K$213="ORE"))</f>
        <v>0</v>
      </c>
      <c r="T19" s="396" cm="1">
        <f t="array" ref="T19">SUMPRODUCT('2023 sintesi '!T$19:T$213*('2023 sintesi '!$I$19:$I$213='PREVISIONE SU QUARTER'!$G19),'2023 sintesi '!$B$19:$B$213*('2023 sintesi '!$K$19:$K$213="ORE"))</f>
        <v>0</v>
      </c>
      <c r="U19" s="397" cm="1">
        <f t="array" ref="U19">SUMPRODUCT('2023 sintesi '!U$19:U$213*('2023 sintesi '!$I$19:$I$213='PREVISIONE SU QUARTER'!$G19),'2023 sintesi '!$B$19:$B$213*('2023 sintesi '!$K$19:$K$213="ORE"))</f>
        <v>0</v>
      </c>
      <c r="V19" s="395" cm="1">
        <f t="array" ref="V19">SUMPRODUCT('2023 sintesi '!V$19:V$213*('2023 sintesi '!$I$19:$I$213='PREVISIONE SU QUARTER'!$G19),'2023 sintesi '!$B$19:$B$213*('2023 sintesi '!$K$19:$K$213="ORE"))</f>
        <v>0</v>
      </c>
      <c r="W19" s="396" cm="1">
        <f t="array" ref="W19">SUMPRODUCT('2023 sintesi '!W$19:W$213*('2023 sintesi '!$I$19:$I$213='PREVISIONE SU QUARTER'!$G19),'2023 sintesi '!$B$19:$B$213*('2023 sintesi '!$K$19:$K$213="ORE"))</f>
        <v>0</v>
      </c>
      <c r="X19" s="405" t="s">
        <v>275</v>
      </c>
      <c r="Y19" s="399">
        <v>0</v>
      </c>
      <c r="Z19" s="400">
        <v>0</v>
      </c>
      <c r="AA19" s="401" cm="1">
        <f t="array" ref="AA19">IF(MONTH($H$7)&lt;MONTH($R$8),Z19+SUM(R19:T19),I19+SUMPRODUCT($R19:$T19*($R$9:$T$9="NO")))</f>
        <v>0</v>
      </c>
      <c r="AB19" s="402" cm="1">
        <f t="array" ref="AB19">IF(MONTH($H$7)&lt;MONTH($U$8),AA19+SUM(U19:W19),I19+SUMPRODUCT($U19:$W19*($U$9:$W$9="NO")))</f>
        <v>0</v>
      </c>
    </row>
    <row r="20" spans="7:130" ht="18.75" x14ac:dyDescent="0.25">
      <c r="G20" s="403" t="s">
        <v>276</v>
      </c>
      <c r="H20" s="391">
        <f>IFERROR(IF($A$1="ACTUAL",'CONSUMI SPACCHETTATI'!F26,IF($A$1="COMMIT",'CONSUMI SPACCHETTATI'!H26,'CONSUMI SPACCHETTATI'!F26+'CONSUMI SPACCHETTATI'!H26)),"non-visibile")</f>
        <v>0</v>
      </c>
      <c r="I20" s="392">
        <f>IFERROR(IF($A$1="ACTUAL",'CONSUMI SPACCHETTATI'!G26,IF($A$1="COMMIT",'CONSUMI SPACCHETTATI'!I26,'CONSUMI SPACCHETTATI'!G26+'CONSUMI SPACCHETTATI'!I26)),"non-visibile")</f>
        <v>0</v>
      </c>
      <c r="K20" s="404" t="s">
        <v>276</v>
      </c>
      <c r="L20" s="394" cm="1">
        <f t="array" ref="L20">SUMPRODUCT('2023 sintesi '!L$19:L$213*('2023 sintesi '!$I$19:$I$213='PREVISIONE SU QUARTER'!$G20),'2023 sintesi '!$B$19:$B$213*('2023 sintesi '!$K$19:$K$213="ORE"))</f>
        <v>0</v>
      </c>
      <c r="M20" s="395" cm="1">
        <f t="array" ref="M20">SUMPRODUCT('2023 sintesi '!M$19:M$213*('2023 sintesi '!$I$19:$I$213='PREVISIONE SU QUARTER'!$G20),'2023 sintesi '!$B$19:$B$213*('2023 sintesi '!$K$19:$K$213="ORE"))</f>
        <v>0</v>
      </c>
      <c r="N20" s="396" cm="1">
        <f t="array" ref="N20">SUMPRODUCT('2023 sintesi '!N$19:N$213*('2023 sintesi '!$I$19:$I$213='PREVISIONE SU QUARTER'!$G20),'2023 sintesi '!$B$19:$B$213*('2023 sintesi '!$K$19:$K$213="ORE"))</f>
        <v>0</v>
      </c>
      <c r="O20" s="394" cm="1">
        <f t="array" ref="O20">SUMPRODUCT('2023 sintesi '!O$19:O$213*('2023 sintesi '!$I$19:$I$213='PREVISIONE SU QUARTER'!$G20),'2023 sintesi '!$B$19:$B$213*('2023 sintesi '!$K$19:$K$213="ORE"))</f>
        <v>0</v>
      </c>
      <c r="P20" s="395" cm="1">
        <f t="array" ref="P20">SUMPRODUCT('2023 sintesi '!P$19:P$213*('2023 sintesi '!$I$19:$I$213='PREVISIONE SU QUARTER'!$G20),'2023 sintesi '!$B$19:$B$213*('2023 sintesi '!$K$19:$K$213="ORE"))</f>
        <v>0</v>
      </c>
      <c r="Q20" s="396" cm="1">
        <f t="array" ref="Q20">SUMPRODUCT('2023 sintesi '!Q$19:Q$213*('2023 sintesi '!$I$19:$I$213='PREVISIONE SU QUARTER'!$G20),'2023 sintesi '!$B$19:$B$213*('2023 sintesi '!$K$19:$K$213="ORE"))</f>
        <v>0</v>
      </c>
      <c r="R20" s="394" cm="1">
        <f t="array" ref="R20">SUMPRODUCT('2023 sintesi '!R$19:R$213*('2023 sintesi '!$I$19:$I$213='PREVISIONE SU QUARTER'!$G20),'2023 sintesi '!$B$19:$B$213*('2023 sintesi '!$K$19:$K$213="ORE"))</f>
        <v>0</v>
      </c>
      <c r="S20" s="395" cm="1">
        <f t="array" ref="S20">SUMPRODUCT('2023 sintesi '!S$19:S$213*('2023 sintesi '!$I$19:$I$213='PREVISIONE SU QUARTER'!$G20),'2023 sintesi '!$B$19:$B$213*('2023 sintesi '!$K$19:$K$213="ORE"))</f>
        <v>0</v>
      </c>
      <c r="T20" s="396" cm="1">
        <f t="array" ref="T20">SUMPRODUCT('2023 sintesi '!T$19:T$213*('2023 sintesi '!$I$19:$I$213='PREVISIONE SU QUARTER'!$G20),'2023 sintesi '!$B$19:$B$213*('2023 sintesi '!$K$19:$K$213="ORE"))</f>
        <v>0</v>
      </c>
      <c r="U20" s="397" cm="1">
        <f t="array" ref="U20">SUMPRODUCT('2023 sintesi '!U$19:U$213*('2023 sintesi '!$I$19:$I$213='PREVISIONE SU QUARTER'!$G20),'2023 sintesi '!$B$19:$B$213*('2023 sintesi '!$K$19:$K$213="ORE"))</f>
        <v>0</v>
      </c>
      <c r="V20" s="395" cm="1">
        <f t="array" ref="V20">SUMPRODUCT('2023 sintesi '!V$19:V$213*('2023 sintesi '!$I$19:$I$213='PREVISIONE SU QUARTER'!$G20),'2023 sintesi '!$B$19:$B$213*('2023 sintesi '!$K$19:$K$213="ORE"))</f>
        <v>0</v>
      </c>
      <c r="W20" s="396" cm="1">
        <f t="array" ref="W20">SUMPRODUCT('2023 sintesi '!W$19:W$213*('2023 sintesi '!$I$19:$I$213='PREVISIONE SU QUARTER'!$G20),'2023 sintesi '!$B$19:$B$213*('2023 sintesi '!$K$19:$K$213="ORE"))</f>
        <v>0</v>
      </c>
      <c r="X20" s="405" t="s">
        <v>276</v>
      </c>
      <c r="Y20" s="399">
        <v>0</v>
      </c>
      <c r="Z20" s="400">
        <v>0</v>
      </c>
      <c r="AA20" s="401" cm="1">
        <f t="array" ref="AA20">IF(MONTH($H$7)&lt;MONTH($R$8),Z20+SUM(R20:T20),I20+SUMPRODUCT($R20:$T20*($R$9:$T$9="NO")))</f>
        <v>0</v>
      </c>
      <c r="AB20" s="402" cm="1">
        <f t="array" ref="AB20">IF(MONTH($H$7)&lt;MONTH($U$8),AA20+SUM(U20:W20),I20+SUMPRODUCT($U20:$W20*($U$9:$W$9="NO")))</f>
        <v>0</v>
      </c>
    </row>
    <row r="21" spans="7:130" ht="19.5" thickBot="1" x14ac:dyDescent="0.3">
      <c r="G21" s="406" t="s">
        <v>277</v>
      </c>
      <c r="H21" s="391">
        <f>IFERROR(IF($A$1="ACTUAL",'CONSUMI SPACCHETTATI'!F27,IF($A$1="COMMIT",'CONSUMI SPACCHETTATI'!H27,'CONSUMI SPACCHETTATI'!F27+'CONSUMI SPACCHETTATI'!H27)),"non-visibile")</f>
        <v>0</v>
      </c>
      <c r="I21" s="392">
        <f>IFERROR(IF($A$1="ACTUAL",'CONSUMI SPACCHETTATI'!G27,IF($A$1="COMMIT",'CONSUMI SPACCHETTATI'!I27,'CONSUMI SPACCHETTATI'!G27+'CONSUMI SPACCHETTATI'!I27)),"non-visibile")</f>
        <v>0</v>
      </c>
      <c r="K21" s="407" t="s">
        <v>277</v>
      </c>
      <c r="L21" s="408" cm="1">
        <f t="array" ref="L21">SUMPRODUCT('2023 sintesi '!L$19:L$213*('2023 sintesi '!$I$19:$I$213='PREVISIONE SU QUARTER'!$G21),'2023 sintesi '!$B$19:$B$213*('2023 sintesi '!$K$19:$K$213="ORE"))</f>
        <v>0</v>
      </c>
      <c r="M21" s="409" cm="1">
        <f t="array" ref="M21">SUMPRODUCT('2023 sintesi '!M$19:M$213*('2023 sintesi '!$I$19:$I$213='PREVISIONE SU QUARTER'!$G21),'2023 sintesi '!$B$19:$B$213*('2023 sintesi '!$K$19:$K$213="ORE"))</f>
        <v>0</v>
      </c>
      <c r="N21" s="410" cm="1">
        <f t="array" ref="N21">SUMPRODUCT('2023 sintesi '!N$19:N$213*('2023 sintesi '!$I$19:$I$213='PREVISIONE SU QUARTER'!$G21),'2023 sintesi '!$B$19:$B$213*('2023 sintesi '!$K$19:$K$213="ORE"))</f>
        <v>0</v>
      </c>
      <c r="O21" s="408" cm="1">
        <f t="array" ref="O21">SUMPRODUCT('2023 sintesi '!O$19:O$213*('2023 sintesi '!$I$19:$I$213='PREVISIONE SU QUARTER'!$G21),'2023 sintesi '!$B$19:$B$213*('2023 sintesi '!$K$19:$K$213="ORE"))</f>
        <v>0</v>
      </c>
      <c r="P21" s="409" cm="1">
        <f t="array" ref="P21">SUMPRODUCT('2023 sintesi '!P$19:P$213*('2023 sintesi '!$I$19:$I$213='PREVISIONE SU QUARTER'!$G21),'2023 sintesi '!$B$19:$B$213*('2023 sintesi '!$K$19:$K$213="ORE"))</f>
        <v>0</v>
      </c>
      <c r="Q21" s="410" cm="1">
        <f t="array" ref="Q21">SUMPRODUCT('2023 sintesi '!Q$19:Q$213*('2023 sintesi '!$I$19:$I$213='PREVISIONE SU QUARTER'!$G21),'2023 sintesi '!$B$19:$B$213*('2023 sintesi '!$K$19:$K$213="ORE"))</f>
        <v>0</v>
      </c>
      <c r="R21" s="408" cm="1">
        <f t="array" ref="R21">SUMPRODUCT('2023 sintesi '!R$19:R$213*('2023 sintesi '!$I$19:$I$213='PREVISIONE SU QUARTER'!$G21),'2023 sintesi '!$B$19:$B$213*('2023 sintesi '!$K$19:$K$213="ORE"))</f>
        <v>0</v>
      </c>
      <c r="S21" s="409" cm="1">
        <f t="array" ref="S21">SUMPRODUCT('2023 sintesi '!S$19:S$213*('2023 sintesi '!$I$19:$I$213='PREVISIONE SU QUARTER'!$G21),'2023 sintesi '!$B$19:$B$213*('2023 sintesi '!$K$19:$K$213="ORE"))</f>
        <v>0</v>
      </c>
      <c r="T21" s="410" cm="1">
        <f t="array" ref="T21">SUMPRODUCT('2023 sintesi '!T$19:T$213*('2023 sintesi '!$I$19:$I$213='PREVISIONE SU QUARTER'!$G21),'2023 sintesi '!$B$19:$B$213*('2023 sintesi '!$K$19:$K$213="ORE"))</f>
        <v>0</v>
      </c>
      <c r="U21" s="411" cm="1">
        <f t="array" ref="U21">SUMPRODUCT('2023 sintesi '!U$19:U$213*('2023 sintesi '!$I$19:$I$213='PREVISIONE SU QUARTER'!$G21),'2023 sintesi '!$B$19:$B$213*('2023 sintesi '!$K$19:$K$213="ORE"))</f>
        <v>0</v>
      </c>
      <c r="V21" s="409" cm="1">
        <f t="array" ref="V21">SUMPRODUCT('2023 sintesi '!V$19:V$213*('2023 sintesi '!$I$19:$I$213='PREVISIONE SU QUARTER'!$G21),'2023 sintesi '!$B$19:$B$213*('2023 sintesi '!$K$19:$K$213="ORE"))</f>
        <v>0</v>
      </c>
      <c r="W21" s="410" cm="1">
        <f t="array" ref="W21">SUMPRODUCT('2023 sintesi '!W$19:W$213*('2023 sintesi '!$I$19:$I$213='PREVISIONE SU QUARTER'!$G21),'2023 sintesi '!$B$19:$B$213*('2023 sintesi '!$K$19:$K$213="ORE"))</f>
        <v>0</v>
      </c>
      <c r="X21" s="412" t="s">
        <v>277</v>
      </c>
      <c r="Y21" s="399">
        <v>0</v>
      </c>
      <c r="Z21" s="400">
        <v>0</v>
      </c>
      <c r="AA21" s="401" cm="1">
        <f t="array" ref="AA21">IF(MONTH($H$7)&lt;MONTH($R$8),Z21+SUM(R21:T21),I21+SUMPRODUCT($R21:$T21*($R$9:$T$9="NO")))</f>
        <v>0</v>
      </c>
      <c r="AB21" s="402" cm="1">
        <f t="array" ref="AB21">IF(MONTH($H$7)&lt;MONTH($U$8),AA21+SUM(U21:W21),I21+SUMPRODUCT($U21:$W21*($U$9:$W$9="NO")))</f>
        <v>0</v>
      </c>
    </row>
    <row r="22" spans="7:130" ht="33" thickTop="1" thickBot="1" x14ac:dyDescent="0.3">
      <c r="G22" s="413" t="s">
        <v>238</v>
      </c>
      <c r="H22" s="414">
        <f>SUM($H$10:$H$21)</f>
        <v>446.62857142857143</v>
      </c>
      <c r="I22" s="415">
        <f>SUM($I$10:$I$21)</f>
        <v>802</v>
      </c>
      <c r="X22" s="416" t="s">
        <v>239</v>
      </c>
      <c r="Y22" s="417">
        <f>SUM(Y10:Y21)</f>
        <v>802</v>
      </c>
      <c r="Z22" s="417">
        <f>SUM(Z10:Z21)</f>
        <v>1442</v>
      </c>
      <c r="AA22" s="419">
        <f t="shared" ref="AA22:AB22" si="1">SUM(AA10:AA21)</f>
        <v>26319.25</v>
      </c>
      <c r="AB22" s="420">
        <f t="shared" si="1"/>
        <v>51196.5</v>
      </c>
    </row>
    <row r="23" spans="7:130" ht="30.75" thickBot="1" x14ac:dyDescent="0.3">
      <c r="Y23" s="421" t="s">
        <v>240</v>
      </c>
      <c r="Z23" s="422" t="s">
        <v>241</v>
      </c>
      <c r="AA23" s="423" t="s">
        <v>242</v>
      </c>
      <c r="AB23" s="424" t="s">
        <v>243</v>
      </c>
    </row>
    <row r="24" spans="7:130" ht="15.75" thickTop="1" x14ac:dyDescent="0.25"/>
    <row r="31" spans="7:130" ht="15.75" thickBot="1" x14ac:dyDescent="0.3"/>
    <row r="32" spans="7:130" ht="24" thickTop="1" x14ac:dyDescent="0.25">
      <c r="H32" s="617" t="str">
        <f>A1</f>
        <v>ACTUAL+COMMIT</v>
      </c>
      <c r="I32" s="618"/>
      <c r="L32" s="619" t="s">
        <v>244</v>
      </c>
      <c r="M32" s="620"/>
      <c r="N32" s="620"/>
      <c r="O32" s="620"/>
      <c r="P32" s="620"/>
      <c r="Q32" s="620"/>
      <c r="R32" s="620"/>
      <c r="S32" s="620"/>
      <c r="T32" s="620"/>
      <c r="U32" s="620"/>
      <c r="V32" s="620"/>
      <c r="W32" s="621"/>
      <c r="Y32" s="593" t="s">
        <v>229</v>
      </c>
      <c r="Z32" s="593"/>
      <c r="AA32" s="593"/>
      <c r="AB32" s="593"/>
      <c r="DZ32" s="374" t="s">
        <v>226</v>
      </c>
    </row>
    <row r="33" spans="7:28" ht="16.5" thickBot="1" x14ac:dyDescent="0.3">
      <c r="H33" s="625" t="s">
        <v>230</v>
      </c>
      <c r="I33" s="626"/>
      <c r="L33" s="622"/>
      <c r="M33" s="623"/>
      <c r="N33" s="623"/>
      <c r="O33" s="623"/>
      <c r="P33" s="623"/>
      <c r="Q33" s="623"/>
      <c r="R33" s="623"/>
      <c r="S33" s="623"/>
      <c r="T33" s="623"/>
      <c r="U33" s="623"/>
      <c r="V33" s="623"/>
      <c r="W33" s="624"/>
      <c r="Y33" s="593"/>
      <c r="Z33" s="593"/>
      <c r="AA33" s="593"/>
      <c r="AB33" s="593"/>
    </row>
    <row r="34" spans="7:28" ht="24" thickTop="1" x14ac:dyDescent="0.25">
      <c r="H34" s="635">
        <f>AVANZAMENTO!M1</f>
        <v>45082</v>
      </c>
      <c r="I34" s="636"/>
      <c r="L34" s="596" t="s">
        <v>231</v>
      </c>
      <c r="M34" s="597"/>
      <c r="N34" s="598"/>
      <c r="O34" s="596" t="s">
        <v>232</v>
      </c>
      <c r="P34" s="597"/>
      <c r="Q34" s="598"/>
      <c r="R34" s="596" t="s">
        <v>233</v>
      </c>
      <c r="S34" s="597"/>
      <c r="T34" s="598"/>
      <c r="U34" s="596" t="s">
        <v>234</v>
      </c>
      <c r="V34" s="597"/>
      <c r="W34" s="598"/>
      <c r="Y34" s="599" t="s">
        <v>245</v>
      </c>
      <c r="Z34" s="600"/>
      <c r="AA34" s="600"/>
      <c r="AB34" s="601"/>
    </row>
    <row r="35" spans="7:28" ht="18.75" x14ac:dyDescent="0.25">
      <c r="H35" s="605" t="s">
        <v>182</v>
      </c>
      <c r="I35" s="606"/>
      <c r="L35" s="425">
        <v>44562</v>
      </c>
      <c r="M35" s="426">
        <v>44593</v>
      </c>
      <c r="N35" s="427">
        <v>44621</v>
      </c>
      <c r="O35" s="425">
        <v>44652</v>
      </c>
      <c r="P35" s="426">
        <v>44682</v>
      </c>
      <c r="Q35" s="427">
        <v>44713</v>
      </c>
      <c r="R35" s="425">
        <v>44743</v>
      </c>
      <c r="S35" s="426">
        <v>44774</v>
      </c>
      <c r="T35" s="427">
        <v>44805</v>
      </c>
      <c r="U35" s="425">
        <v>44835</v>
      </c>
      <c r="V35" s="426">
        <v>44866</v>
      </c>
      <c r="W35" s="427">
        <v>44896</v>
      </c>
      <c r="Y35" s="602"/>
      <c r="Z35" s="603"/>
      <c r="AA35" s="603"/>
      <c r="AB35" s="604"/>
    </row>
    <row r="36" spans="7:28" ht="30.75" thickBot="1" x14ac:dyDescent="0.3">
      <c r="G36" s="380" t="s">
        <v>179</v>
      </c>
      <c r="H36" s="605"/>
      <c r="I36" s="606"/>
      <c r="K36" s="428" t="s">
        <v>246</v>
      </c>
      <c r="L36" s="429" t="str">
        <f>IF(MONTH($H$34)&gt;MONTH(L35),"SI","NO")</f>
        <v>SI</v>
      </c>
      <c r="M36" s="430" t="str">
        <f t="shared" ref="M36:W36" si="2">IF(MONTH($H$34)&gt;MONTH(M35),"SI","NO")</f>
        <v>SI</v>
      </c>
      <c r="N36" s="431" t="str">
        <f t="shared" si="2"/>
        <v>SI</v>
      </c>
      <c r="O36" s="429" t="str">
        <f t="shared" si="2"/>
        <v>SI</v>
      </c>
      <c r="P36" s="430" t="str">
        <f t="shared" si="2"/>
        <v>SI</v>
      </c>
      <c r="Q36" s="431" t="str">
        <f t="shared" si="2"/>
        <v>NO</v>
      </c>
      <c r="R36" s="429" t="str">
        <f t="shared" si="2"/>
        <v>NO</v>
      </c>
      <c r="S36" s="430" t="str">
        <f t="shared" si="2"/>
        <v>NO</v>
      </c>
      <c r="T36" s="431" t="str">
        <f t="shared" si="2"/>
        <v>NO</v>
      </c>
      <c r="U36" s="429" t="str">
        <f t="shared" si="2"/>
        <v>NO</v>
      </c>
      <c r="V36" s="430" t="str">
        <f t="shared" si="2"/>
        <v>NO</v>
      </c>
      <c r="W36" s="431" t="str">
        <f t="shared" si="2"/>
        <v>NO</v>
      </c>
      <c r="Y36" s="386" t="s">
        <v>231</v>
      </c>
      <c r="Z36" s="387" t="s">
        <v>232</v>
      </c>
      <c r="AA36" s="432" t="s">
        <v>233</v>
      </c>
      <c r="AB36" s="389" t="s">
        <v>234</v>
      </c>
    </row>
    <row r="37" spans="7:28" ht="18.75" x14ac:dyDescent="0.25">
      <c r="G37" s="433" t="s">
        <v>266</v>
      </c>
      <c r="H37" s="633">
        <f>IFERROR(IF($A$1="ACTUAL",'CONSUMI SPACCHETTATI'!J16,IF($A$1="COMMIT",'CONSUMI SPACCHETTATI'!K16,'CONSUMI SPACCHETTATI'!J16+'CONSUMI SPACCHETTATI'!K16)),"non-visibile")</f>
        <v>0</v>
      </c>
      <c r="I37" s="634"/>
      <c r="K37" s="434" t="s">
        <v>266</v>
      </c>
      <c r="L37" s="435" cm="1">
        <f t="array" ref="L37">SUMPRODUCT('2023 sintesi '!L$19:L$213*('2023 sintesi '!$I$19:$I$213='PREVISIONE SU QUARTER'!$G37),1*('2023 sintesi '!$K$19:$K$213="LUMP SUM"))</f>
        <v>0</v>
      </c>
      <c r="M37" s="436" cm="1">
        <f t="array" ref="M37">SUMPRODUCT('2023 sintesi '!M$19:M$213*('2023 sintesi '!$I$19:$I$213='PREVISIONE SU QUARTER'!$G37),1*('2023 sintesi '!$K$19:$K$213="LUMP SUM"))</f>
        <v>0</v>
      </c>
      <c r="N37" s="437" cm="1">
        <f t="array" ref="N37">SUMPRODUCT('2023 sintesi '!N$19:N$213*('2023 sintesi '!$I$19:$I$213='PREVISIONE SU QUARTER'!$G37),1*('2023 sintesi '!$K$19:$K$213="LUMP SUM"))</f>
        <v>0</v>
      </c>
      <c r="O37" s="435" cm="1">
        <f t="array" ref="O37">SUMPRODUCT('2023 sintesi '!O$19:O$213*('2023 sintesi '!$I$19:$I$213='PREVISIONE SU QUARTER'!$G37),1*('2023 sintesi '!$K$19:$K$213="LUMP SUM"))</f>
        <v>0</v>
      </c>
      <c r="P37" s="436" cm="1">
        <f t="array" ref="P37">SUMPRODUCT('2023 sintesi '!P$19:P$213*('2023 sintesi '!$I$19:$I$213='PREVISIONE SU QUARTER'!$G37),1*('2023 sintesi '!$K$19:$K$213="LUMP SUM"))</f>
        <v>0</v>
      </c>
      <c r="Q37" s="437" cm="1">
        <f t="array" ref="Q37">SUMPRODUCT('2023 sintesi '!Q$19:Q$213*('2023 sintesi '!$I$19:$I$213='PREVISIONE SU QUARTER'!$G37),1*('2023 sintesi '!$K$19:$K$213="LUMP SUM"))</f>
        <v>0</v>
      </c>
      <c r="R37" s="435" cm="1">
        <f t="array" ref="R37">SUMPRODUCT('2023 sintesi '!R$19:R$213*('2023 sintesi '!$I$19:$I$213='PREVISIONE SU QUARTER'!$G37),1*('2023 sintesi '!$K$19:$K$213="LUMP SUM"))</f>
        <v>0</v>
      </c>
      <c r="S37" s="436" cm="1">
        <f t="array" ref="S37">SUMPRODUCT('2023 sintesi '!S$19:S$213*('2023 sintesi '!$I$19:$I$213='PREVISIONE SU QUARTER'!$G37),1*('2023 sintesi '!$K$19:$K$213="LUMP SUM"))</f>
        <v>0</v>
      </c>
      <c r="T37" s="437" cm="1">
        <f t="array" ref="T37">SUMPRODUCT('2023 sintesi '!T$19:T$213*('2023 sintesi '!$I$19:$I$213='PREVISIONE SU QUARTER'!$G37),1*('2023 sintesi '!$K$19:$K$213="LUMP SUM"))</f>
        <v>0</v>
      </c>
      <c r="U37" s="435" cm="1">
        <f t="array" ref="U37">SUMPRODUCT('2023 sintesi '!U$19:U$213*('2023 sintesi '!$I$19:$I$213='PREVISIONE SU QUARTER'!$G37),1*('2023 sintesi '!$K$19:$K$213="LUMP SUM"))</f>
        <v>0</v>
      </c>
      <c r="V37" s="436" cm="1">
        <f t="array" ref="V37">SUMPRODUCT('2023 sintesi '!V$19:V$213*('2023 sintesi '!$I$19:$I$213='PREVISIONE SU QUARTER'!$G37),1*('2023 sintesi '!$K$19:$K$213="LUMP SUM"))</f>
        <v>0</v>
      </c>
      <c r="W37" s="437" cm="1">
        <f t="array" ref="W37">SUMPRODUCT('2023 sintesi '!W$19:W$213*('2023 sintesi '!$I$19:$I$213='PREVISIONE SU QUARTER'!$G37),1*('2023 sintesi '!$K$19:$K$213="LUMP SUM"))</f>
        <v>0</v>
      </c>
      <c r="X37" s="438" t="s">
        <v>266</v>
      </c>
      <c r="Y37" s="399">
        <v>0</v>
      </c>
      <c r="Z37" s="400">
        <v>0</v>
      </c>
      <c r="AA37" s="401" cm="1">
        <f t="array" ref="AA37">IF(MONTH($H$34)&lt;MONTH($R$35),Z37+SUM(R37:T37),IF(H37&gt;SUMPRODUCT($L37:$T37*($L$36:$T$36="SI")),H37 + SUMPRODUCT($L37:$T37*($L$36:$T$36="NO")),SUM(L37:T37)))</f>
        <v>0</v>
      </c>
      <c r="AB37" s="402" cm="1">
        <f t="array" ref="AB37">IF(MONTH($H$34)&lt;MONTH($U$35),AA37+SUM(U37:W37),IF(H37&gt;SUMPRODUCT($L37:$W37*($L$36:$W$36="SI")),H37 + SUMPRODUCT($L37:$W37*($L$36:$W$36="NO")),SUM(L37:W37)))</f>
        <v>0</v>
      </c>
    </row>
    <row r="38" spans="7:28" ht="18.75" x14ac:dyDescent="0.25">
      <c r="G38" s="439" t="s">
        <v>267</v>
      </c>
      <c r="H38" s="633">
        <f>IFERROR(IF($A$1="ACTUAL",'CONSUMI SPACCHETTATI'!J17,IF($A$1="COMMIT",'CONSUMI SPACCHETTATI'!K17,'CONSUMI SPACCHETTATI'!J17+'CONSUMI SPACCHETTATI'!K17)),"non-visibile")</f>
        <v>0</v>
      </c>
      <c r="I38" s="634"/>
      <c r="K38" s="434" t="s">
        <v>267</v>
      </c>
      <c r="L38" s="435" cm="1">
        <f t="array" ref="L38">SUMPRODUCT('2023 sintesi '!L$19:L$213*('2023 sintesi '!$I$19:$I$213='PREVISIONE SU QUARTER'!$G38),1*('2023 sintesi '!$K$19:$K$213="LUMP SUM"))</f>
        <v>0</v>
      </c>
      <c r="M38" s="436" cm="1">
        <f t="array" ref="M38">SUMPRODUCT('2023 sintesi '!M$19:M$213*('2023 sintesi '!$I$19:$I$213='PREVISIONE SU QUARTER'!$G38),1*('2023 sintesi '!$K$19:$K$213="LUMP SUM"))</f>
        <v>0</v>
      </c>
      <c r="N38" s="437" cm="1">
        <f t="array" ref="N38">SUMPRODUCT('2023 sintesi '!N$19:N$213*('2023 sintesi '!$I$19:$I$213='PREVISIONE SU QUARTER'!$G38),1*('2023 sintesi '!$K$19:$K$213="LUMP SUM"))</f>
        <v>0</v>
      </c>
      <c r="O38" s="435" cm="1">
        <f t="array" ref="O38">SUMPRODUCT('2023 sintesi '!O$19:O$213*('2023 sintesi '!$I$19:$I$213='PREVISIONE SU QUARTER'!$G38),1*('2023 sintesi '!$K$19:$K$213="LUMP SUM"))</f>
        <v>0</v>
      </c>
      <c r="P38" s="436" cm="1">
        <f t="array" ref="P38">SUMPRODUCT('2023 sintesi '!P$19:P$213*('2023 sintesi '!$I$19:$I$213='PREVISIONE SU QUARTER'!$G38),1*('2023 sintesi '!$K$19:$K$213="LUMP SUM"))</f>
        <v>0</v>
      </c>
      <c r="Q38" s="437" cm="1">
        <f t="array" ref="Q38">SUMPRODUCT('2023 sintesi '!Q$19:Q$213*('2023 sintesi '!$I$19:$I$213='PREVISIONE SU QUARTER'!$G38),1*('2023 sintesi '!$K$19:$K$213="LUMP SUM"))</f>
        <v>0</v>
      </c>
      <c r="R38" s="435" cm="1">
        <f t="array" ref="R38">SUMPRODUCT('2023 sintesi '!R$19:R$213*('2023 sintesi '!$I$19:$I$213='PREVISIONE SU QUARTER'!$G38),1*('2023 sintesi '!$K$19:$K$213="LUMP SUM"))</f>
        <v>0</v>
      </c>
      <c r="S38" s="436" cm="1">
        <f t="array" ref="S38">SUMPRODUCT('2023 sintesi '!S$19:S$213*('2023 sintesi '!$I$19:$I$213='PREVISIONE SU QUARTER'!$G38),1*('2023 sintesi '!$K$19:$K$213="LUMP SUM"))</f>
        <v>0</v>
      </c>
      <c r="T38" s="437" cm="1">
        <f t="array" ref="T38">SUMPRODUCT('2023 sintesi '!T$19:T$213*('2023 sintesi '!$I$19:$I$213='PREVISIONE SU QUARTER'!$G38),1*('2023 sintesi '!$K$19:$K$213="LUMP SUM"))</f>
        <v>0</v>
      </c>
      <c r="U38" s="435" cm="1">
        <f t="array" ref="U38">SUMPRODUCT('2023 sintesi '!U$19:U$213*('2023 sintesi '!$I$19:$I$213='PREVISIONE SU QUARTER'!$G38),1*('2023 sintesi '!$K$19:$K$213="LUMP SUM"))</f>
        <v>0</v>
      </c>
      <c r="V38" s="436" cm="1">
        <f t="array" ref="V38">SUMPRODUCT('2023 sintesi '!V$19:V$213*('2023 sintesi '!$I$19:$I$213='PREVISIONE SU QUARTER'!$G38),1*('2023 sintesi '!$K$19:$K$213="LUMP SUM"))</f>
        <v>0</v>
      </c>
      <c r="W38" s="437" cm="1">
        <f t="array" ref="W38">SUMPRODUCT('2023 sintesi '!W$19:W$213*('2023 sintesi '!$I$19:$I$213='PREVISIONE SU QUARTER'!$G38),1*('2023 sintesi '!$K$19:$K$213="LUMP SUM"))</f>
        <v>0</v>
      </c>
      <c r="X38" s="440" t="s">
        <v>267</v>
      </c>
      <c r="Y38" s="399">
        <v>0</v>
      </c>
      <c r="Z38" s="400">
        <v>0</v>
      </c>
      <c r="AA38" s="401" cm="1">
        <f t="array" ref="AA38">IF(MONTH($H$34)&lt;MONTH($R$35),Z38+SUM(R38:T38),IF(H38&gt;SUMPRODUCT($L38:$T38*($L$36:$T$36="SI")),H38 + SUMPRODUCT($L38:$T38*($L$36:$T$36="NO")),SUM(L38:T38)))</f>
        <v>0</v>
      </c>
      <c r="AB38" s="402" cm="1">
        <f t="array" ref="AB38">IF(MONTH($H$34)&lt;MONTH($U$35),AA38+SUM(U38:W38),IF(H38&gt;SUMPRODUCT($L38:$W38*($L$36:$W$36="SI")),H38 + SUMPRODUCT($L38:$W38*($L$36:$W$36="NO")),SUM(L38:W38)))</f>
        <v>0</v>
      </c>
    </row>
    <row r="39" spans="7:28" ht="18.75" x14ac:dyDescent="0.25">
      <c r="G39" s="439" t="s">
        <v>268</v>
      </c>
      <c r="H39" s="633">
        <f>IFERROR(IF($A$1="ACTUAL",'CONSUMI SPACCHETTATI'!J18,IF($A$1="COMMIT",'CONSUMI SPACCHETTATI'!K18,'CONSUMI SPACCHETTATI'!J18+'CONSUMI SPACCHETTATI'!K18)),"non-visibile")</f>
        <v>0</v>
      </c>
      <c r="I39" s="634"/>
      <c r="K39" s="434" t="s">
        <v>268</v>
      </c>
      <c r="L39" s="435" cm="1">
        <f t="array" ref="L39">SUMPRODUCT('2023 sintesi '!L$19:L$213*('2023 sintesi '!$I$19:$I$213='PREVISIONE SU QUARTER'!$G39),1*('2023 sintesi '!$K$19:$K$213="LUMP SUM"))</f>
        <v>0</v>
      </c>
      <c r="M39" s="436" cm="1">
        <f t="array" ref="M39">SUMPRODUCT('2023 sintesi '!M$19:M$213*('2023 sintesi '!$I$19:$I$213='PREVISIONE SU QUARTER'!$G39),1*('2023 sintesi '!$K$19:$K$213="LUMP SUM"))</f>
        <v>0</v>
      </c>
      <c r="N39" s="437" cm="1">
        <f t="array" ref="N39">SUMPRODUCT('2023 sintesi '!N$19:N$213*('2023 sintesi '!$I$19:$I$213='PREVISIONE SU QUARTER'!$G39),1*('2023 sintesi '!$K$19:$K$213="LUMP SUM"))</f>
        <v>0</v>
      </c>
      <c r="O39" s="435" cm="1">
        <f t="array" ref="O39">SUMPRODUCT('2023 sintesi '!O$19:O$213*('2023 sintesi '!$I$19:$I$213='PREVISIONE SU QUARTER'!$G39),1*('2023 sintesi '!$K$19:$K$213="LUMP SUM"))</f>
        <v>0</v>
      </c>
      <c r="P39" s="436" cm="1">
        <f t="array" ref="P39">SUMPRODUCT('2023 sintesi '!P$19:P$213*('2023 sintesi '!$I$19:$I$213='PREVISIONE SU QUARTER'!$G39),1*('2023 sintesi '!$K$19:$K$213="LUMP SUM"))</f>
        <v>0</v>
      </c>
      <c r="Q39" s="437" cm="1">
        <f t="array" ref="Q39">SUMPRODUCT('2023 sintesi '!Q$19:Q$213*('2023 sintesi '!$I$19:$I$213='PREVISIONE SU QUARTER'!$G39),1*('2023 sintesi '!$K$19:$K$213="LUMP SUM"))</f>
        <v>0</v>
      </c>
      <c r="R39" s="435" cm="1">
        <f t="array" ref="R39">SUMPRODUCT('2023 sintesi '!R$19:R$213*('2023 sintesi '!$I$19:$I$213='PREVISIONE SU QUARTER'!$G39),1*('2023 sintesi '!$K$19:$K$213="LUMP SUM"))</f>
        <v>0</v>
      </c>
      <c r="S39" s="436" cm="1">
        <f t="array" ref="S39">SUMPRODUCT('2023 sintesi '!S$19:S$213*('2023 sintesi '!$I$19:$I$213='PREVISIONE SU QUARTER'!$G39),1*('2023 sintesi '!$K$19:$K$213="LUMP SUM"))</f>
        <v>0</v>
      </c>
      <c r="T39" s="437" cm="1">
        <f t="array" ref="T39">SUMPRODUCT('2023 sintesi '!T$19:T$213*('2023 sintesi '!$I$19:$I$213='PREVISIONE SU QUARTER'!$G39),1*('2023 sintesi '!$K$19:$K$213="LUMP SUM"))</f>
        <v>0</v>
      </c>
      <c r="U39" s="435" cm="1">
        <f t="array" ref="U39">SUMPRODUCT('2023 sintesi '!U$19:U$213*('2023 sintesi '!$I$19:$I$213='PREVISIONE SU QUARTER'!$G39),1*('2023 sintesi '!$K$19:$K$213="LUMP SUM"))</f>
        <v>0</v>
      </c>
      <c r="V39" s="436" cm="1">
        <f t="array" ref="V39">SUMPRODUCT('2023 sintesi '!V$19:V$213*('2023 sintesi '!$I$19:$I$213='PREVISIONE SU QUARTER'!$G39),1*('2023 sintesi '!$K$19:$K$213="LUMP SUM"))</f>
        <v>0</v>
      </c>
      <c r="W39" s="437" cm="1">
        <f t="array" ref="W39">SUMPRODUCT('2023 sintesi '!W$19:W$213*('2023 sintesi '!$I$19:$I$213='PREVISIONE SU QUARTER'!$G39),1*('2023 sintesi '!$K$19:$K$213="LUMP SUM"))</f>
        <v>0</v>
      </c>
      <c r="X39" s="440" t="s">
        <v>268</v>
      </c>
      <c r="Y39" s="399">
        <v>0</v>
      </c>
      <c r="Z39" s="400">
        <v>0</v>
      </c>
      <c r="AA39" s="401" cm="1">
        <f t="array" ref="AA39">IF(MONTH($H$34)&lt;MONTH($R$35),Z39+SUM(R39:T39),IF(H39&gt;SUMPRODUCT($L39:$T39*($L$36:$T$36="SI")),H39 + SUMPRODUCT($L39:$T39*($L$36:$T$36="NO")),SUM(L39:T39)))</f>
        <v>0</v>
      </c>
      <c r="AB39" s="402" cm="1">
        <f t="array" ref="AB39">IF(MONTH($H$34)&lt;MONTH($U$35),AA39+SUM(U39:W39),IF(H39&gt;SUMPRODUCT($L39:$W39*($L$36:$W$36="SI")),H39 + SUMPRODUCT($L39:$W39*($L$36:$W$36="NO")),SUM(L39:W39)))</f>
        <v>0</v>
      </c>
    </row>
    <row r="40" spans="7:28" ht="18.75" x14ac:dyDescent="0.25">
      <c r="G40" s="439" t="s">
        <v>269</v>
      </c>
      <c r="H40" s="633">
        <f>IFERROR(IF($A$1="ACTUAL",'CONSUMI SPACCHETTATI'!J19,IF($A$1="COMMIT",'CONSUMI SPACCHETTATI'!K19,'CONSUMI SPACCHETTATI'!J19+'CONSUMI SPACCHETTATI'!K19)),"non-visibile")</f>
        <v>0</v>
      </c>
      <c r="I40" s="634"/>
      <c r="K40" s="434" t="s">
        <v>269</v>
      </c>
      <c r="L40" s="435" cm="1">
        <f t="array" ref="L40">SUMPRODUCT('2023 sintesi '!L$19:L$213*('2023 sintesi '!$I$19:$I$213='PREVISIONE SU QUARTER'!$G40),1*('2023 sintesi '!$K$19:$K$213="LUMP SUM"))</f>
        <v>0</v>
      </c>
      <c r="M40" s="436" cm="1">
        <f t="array" ref="M40">SUMPRODUCT('2023 sintesi '!M$19:M$213*('2023 sintesi '!$I$19:$I$213='PREVISIONE SU QUARTER'!$G40),1*('2023 sintesi '!$K$19:$K$213="LUMP SUM"))</f>
        <v>0</v>
      </c>
      <c r="N40" s="437" cm="1">
        <f t="array" ref="N40">SUMPRODUCT('2023 sintesi '!N$19:N$213*('2023 sintesi '!$I$19:$I$213='PREVISIONE SU QUARTER'!$G40),1*('2023 sintesi '!$K$19:$K$213="LUMP SUM"))</f>
        <v>0</v>
      </c>
      <c r="O40" s="435" cm="1">
        <f t="array" ref="O40">SUMPRODUCT('2023 sintesi '!O$19:O$213*('2023 sintesi '!$I$19:$I$213='PREVISIONE SU QUARTER'!$G40),1*('2023 sintesi '!$K$19:$K$213="LUMP SUM"))</f>
        <v>0</v>
      </c>
      <c r="P40" s="436" cm="1">
        <f t="array" ref="P40">SUMPRODUCT('2023 sintesi '!P$19:P$213*('2023 sintesi '!$I$19:$I$213='PREVISIONE SU QUARTER'!$G40),1*('2023 sintesi '!$K$19:$K$213="LUMP SUM"))</f>
        <v>0</v>
      </c>
      <c r="Q40" s="437" cm="1">
        <f t="array" ref="Q40">SUMPRODUCT('2023 sintesi '!Q$19:Q$213*('2023 sintesi '!$I$19:$I$213='PREVISIONE SU QUARTER'!$G40),1*('2023 sintesi '!$K$19:$K$213="LUMP SUM"))</f>
        <v>0</v>
      </c>
      <c r="R40" s="435" cm="1">
        <f t="array" ref="R40">SUMPRODUCT('2023 sintesi '!R$19:R$213*('2023 sintesi '!$I$19:$I$213='PREVISIONE SU QUARTER'!$G40),1*('2023 sintesi '!$K$19:$K$213="LUMP SUM"))</f>
        <v>0</v>
      </c>
      <c r="S40" s="436" cm="1">
        <f t="array" ref="S40">SUMPRODUCT('2023 sintesi '!S$19:S$213*('2023 sintesi '!$I$19:$I$213='PREVISIONE SU QUARTER'!$G40),1*('2023 sintesi '!$K$19:$K$213="LUMP SUM"))</f>
        <v>0</v>
      </c>
      <c r="T40" s="437" cm="1">
        <f t="array" ref="T40">SUMPRODUCT('2023 sintesi '!T$19:T$213*('2023 sintesi '!$I$19:$I$213='PREVISIONE SU QUARTER'!$G40),1*('2023 sintesi '!$K$19:$K$213="LUMP SUM"))</f>
        <v>0</v>
      </c>
      <c r="U40" s="435" cm="1">
        <f t="array" ref="U40">SUMPRODUCT('2023 sintesi '!U$19:U$213*('2023 sintesi '!$I$19:$I$213='PREVISIONE SU QUARTER'!$G40),1*('2023 sintesi '!$K$19:$K$213="LUMP SUM"))</f>
        <v>0</v>
      </c>
      <c r="V40" s="436" cm="1">
        <f t="array" ref="V40">SUMPRODUCT('2023 sintesi '!V$19:V$213*('2023 sintesi '!$I$19:$I$213='PREVISIONE SU QUARTER'!$G40),1*('2023 sintesi '!$K$19:$K$213="LUMP SUM"))</f>
        <v>0</v>
      </c>
      <c r="W40" s="437" cm="1">
        <f t="array" ref="W40">SUMPRODUCT('2023 sintesi '!W$19:W$213*('2023 sintesi '!$I$19:$I$213='PREVISIONE SU QUARTER'!$G40),1*('2023 sintesi '!$K$19:$K$213="LUMP SUM"))</f>
        <v>0</v>
      </c>
      <c r="X40" s="440" t="s">
        <v>269</v>
      </c>
      <c r="Y40" s="399">
        <v>0</v>
      </c>
      <c r="Z40" s="400">
        <v>0</v>
      </c>
      <c r="AA40" s="401" cm="1">
        <f t="array" ref="AA40">IF(MONTH($H$34)&lt;MONTH($R$35),Z40+SUM(R40:T40),IF(H40&gt;SUMPRODUCT($L40:$T40*($L$36:$T$36="SI")),H40 + SUMPRODUCT($L40:$T40*($L$36:$T$36="NO")),SUM(L40:T40)))</f>
        <v>0</v>
      </c>
      <c r="AB40" s="402" cm="1">
        <f t="array" ref="AB40">IF(MONTH($H$34)&lt;MONTH($U$35),AA40+SUM(U40:W40),IF(H40&gt;SUMPRODUCT($L40:$W40*($L$36:$W$36="SI")),H40 + SUMPRODUCT($L40:$W40*($L$36:$W$36="NO")),SUM(L40:W40)))</f>
        <v>0</v>
      </c>
    </row>
    <row r="41" spans="7:28" ht="18.75" x14ac:dyDescent="0.25">
      <c r="G41" s="439" t="s">
        <v>270</v>
      </c>
      <c r="H41" s="633">
        <f>IFERROR(IF($A$1="ACTUAL",'CONSUMI SPACCHETTATI'!J20,IF($A$1="COMMIT",'CONSUMI SPACCHETTATI'!K20,'CONSUMI SPACCHETTATI'!J20+'CONSUMI SPACCHETTATI'!K20)),"non-visibile")</f>
        <v>0</v>
      </c>
      <c r="I41" s="634"/>
      <c r="K41" s="434" t="s">
        <v>270</v>
      </c>
      <c r="L41" s="435" cm="1">
        <f t="array" ref="L41">SUMPRODUCT('2023 sintesi '!L$19:L$213*('2023 sintesi '!$I$19:$I$213='PREVISIONE SU QUARTER'!$G41),1*('2023 sintesi '!$K$19:$K$213="LUMP SUM"))</f>
        <v>0</v>
      </c>
      <c r="M41" s="436" cm="1">
        <f t="array" ref="M41">SUMPRODUCT('2023 sintesi '!M$19:M$213*('2023 sintesi '!$I$19:$I$213='PREVISIONE SU QUARTER'!$G41),1*('2023 sintesi '!$K$19:$K$213="LUMP SUM"))</f>
        <v>0</v>
      </c>
      <c r="N41" s="437" cm="1">
        <f t="array" ref="N41">SUMPRODUCT('2023 sintesi '!N$19:N$213*('2023 sintesi '!$I$19:$I$213='PREVISIONE SU QUARTER'!$G41),1*('2023 sintesi '!$K$19:$K$213="LUMP SUM"))</f>
        <v>0</v>
      </c>
      <c r="O41" s="435" cm="1">
        <f t="array" ref="O41">SUMPRODUCT('2023 sintesi '!O$19:O$213*('2023 sintesi '!$I$19:$I$213='PREVISIONE SU QUARTER'!$G41),1*('2023 sintesi '!$K$19:$K$213="LUMP SUM"))</f>
        <v>0</v>
      </c>
      <c r="P41" s="436" cm="1">
        <f t="array" ref="P41">SUMPRODUCT('2023 sintesi '!P$19:P$213*('2023 sintesi '!$I$19:$I$213='PREVISIONE SU QUARTER'!$G41),1*('2023 sintesi '!$K$19:$K$213="LUMP SUM"))</f>
        <v>0</v>
      </c>
      <c r="Q41" s="437" cm="1">
        <f t="array" ref="Q41">SUMPRODUCT('2023 sintesi '!Q$19:Q$213*('2023 sintesi '!$I$19:$I$213='PREVISIONE SU QUARTER'!$G41),1*('2023 sintesi '!$K$19:$K$213="LUMP SUM"))</f>
        <v>0</v>
      </c>
      <c r="R41" s="435" cm="1">
        <f t="array" ref="R41">SUMPRODUCT('2023 sintesi '!R$19:R$213*('2023 sintesi '!$I$19:$I$213='PREVISIONE SU QUARTER'!$G41),1*('2023 sintesi '!$K$19:$K$213="LUMP SUM"))</f>
        <v>0</v>
      </c>
      <c r="S41" s="436" cm="1">
        <f t="array" ref="S41">SUMPRODUCT('2023 sintesi '!S$19:S$213*('2023 sintesi '!$I$19:$I$213='PREVISIONE SU QUARTER'!$G41),1*('2023 sintesi '!$K$19:$K$213="LUMP SUM"))</f>
        <v>0</v>
      </c>
      <c r="T41" s="437" cm="1">
        <f t="array" ref="T41">SUMPRODUCT('2023 sintesi '!T$19:T$213*('2023 sintesi '!$I$19:$I$213='PREVISIONE SU QUARTER'!$G41),1*('2023 sintesi '!$K$19:$K$213="LUMP SUM"))</f>
        <v>0</v>
      </c>
      <c r="U41" s="435" cm="1">
        <f t="array" ref="U41">SUMPRODUCT('2023 sintesi '!U$19:U$213*('2023 sintesi '!$I$19:$I$213='PREVISIONE SU QUARTER'!$G41),1*('2023 sintesi '!$K$19:$K$213="LUMP SUM"))</f>
        <v>0</v>
      </c>
      <c r="V41" s="436" cm="1">
        <f t="array" ref="V41">SUMPRODUCT('2023 sintesi '!V$19:V$213*('2023 sintesi '!$I$19:$I$213='PREVISIONE SU QUARTER'!$G41),1*('2023 sintesi '!$K$19:$K$213="LUMP SUM"))</f>
        <v>0</v>
      </c>
      <c r="W41" s="437" cm="1">
        <f t="array" ref="W41">SUMPRODUCT('2023 sintesi '!W$19:W$213*('2023 sintesi '!$I$19:$I$213='PREVISIONE SU QUARTER'!$G41),1*('2023 sintesi '!$K$19:$K$213="LUMP SUM"))</f>
        <v>0</v>
      </c>
      <c r="X41" s="440" t="s">
        <v>270</v>
      </c>
      <c r="Y41" s="399">
        <v>0</v>
      </c>
      <c r="Z41" s="400">
        <v>0</v>
      </c>
      <c r="AA41" s="401" cm="1">
        <f t="array" ref="AA41">IF(MONTH($H$34)&lt;MONTH($R$35),Z41+SUM(R41:T41),IF(H41&gt;SUMPRODUCT($L41:$T41*($L$36:$T$36="SI")),H41 + SUMPRODUCT($L41:$T41*($L$36:$T$36="NO")),SUM(L41:T41)))</f>
        <v>0</v>
      </c>
      <c r="AB41" s="402" cm="1">
        <f t="array" ref="AB41">IF(MONTH($H$34)&lt;MONTH($U$35),AA41+SUM(U41:W41),IF(H41&gt;SUMPRODUCT($L41:$W41*($L$36:$W$36="SI")),H41 + SUMPRODUCT($L41:$W41*($L$36:$W$36="NO")),SUM(L41:W41)))</f>
        <v>0</v>
      </c>
    </row>
    <row r="42" spans="7:28" ht="18.75" x14ac:dyDescent="0.25">
      <c r="G42" s="439" t="s">
        <v>271</v>
      </c>
      <c r="H42" s="633">
        <f>IFERROR(IF($A$1="ACTUAL",'CONSUMI SPACCHETTATI'!J21,IF($A$1="COMMIT",'CONSUMI SPACCHETTATI'!K21,'CONSUMI SPACCHETTATI'!J21+'CONSUMI SPACCHETTATI'!K21)),"non-visibile")</f>
        <v>0</v>
      </c>
      <c r="I42" s="634"/>
      <c r="K42" s="434" t="s">
        <v>271</v>
      </c>
      <c r="L42" s="435" cm="1">
        <f t="array" ref="L42">SUMPRODUCT('2023 sintesi '!L$19:L$213*('2023 sintesi '!$I$19:$I$213='PREVISIONE SU QUARTER'!$G42),1*('2023 sintesi '!$K$19:$K$213="LUMP SUM"))</f>
        <v>0</v>
      </c>
      <c r="M42" s="436" cm="1">
        <f t="array" ref="M42">SUMPRODUCT('2023 sintesi '!M$19:M$213*('2023 sintesi '!$I$19:$I$213='PREVISIONE SU QUARTER'!$G42),1*('2023 sintesi '!$K$19:$K$213="LUMP SUM"))</f>
        <v>0</v>
      </c>
      <c r="N42" s="437" cm="1">
        <f t="array" ref="N42">SUMPRODUCT('2023 sintesi '!N$19:N$213*('2023 sintesi '!$I$19:$I$213='PREVISIONE SU QUARTER'!$G42),1*('2023 sintesi '!$K$19:$K$213="LUMP SUM"))</f>
        <v>0</v>
      </c>
      <c r="O42" s="435" cm="1">
        <f t="array" ref="O42">SUMPRODUCT('2023 sintesi '!O$19:O$213*('2023 sintesi '!$I$19:$I$213='PREVISIONE SU QUARTER'!$G42),1*('2023 sintesi '!$K$19:$K$213="LUMP SUM"))</f>
        <v>0</v>
      </c>
      <c r="P42" s="436" cm="1">
        <f t="array" ref="P42">SUMPRODUCT('2023 sintesi '!P$19:P$213*('2023 sintesi '!$I$19:$I$213='PREVISIONE SU QUARTER'!$G42),1*('2023 sintesi '!$K$19:$K$213="LUMP SUM"))</f>
        <v>0</v>
      </c>
      <c r="Q42" s="437" cm="1">
        <f t="array" ref="Q42">SUMPRODUCT('2023 sintesi '!Q$19:Q$213*('2023 sintesi '!$I$19:$I$213='PREVISIONE SU QUARTER'!$G42),1*('2023 sintesi '!$K$19:$K$213="LUMP SUM"))</f>
        <v>0</v>
      </c>
      <c r="R42" s="435" cm="1">
        <f t="array" ref="R42">SUMPRODUCT('2023 sintesi '!R$19:R$213*('2023 sintesi '!$I$19:$I$213='PREVISIONE SU QUARTER'!$G42),1*('2023 sintesi '!$K$19:$K$213="LUMP SUM"))</f>
        <v>0</v>
      </c>
      <c r="S42" s="436" cm="1">
        <f t="array" ref="S42">SUMPRODUCT('2023 sintesi '!S$19:S$213*('2023 sintesi '!$I$19:$I$213='PREVISIONE SU QUARTER'!$G42),1*('2023 sintesi '!$K$19:$K$213="LUMP SUM"))</f>
        <v>0</v>
      </c>
      <c r="T42" s="437" cm="1">
        <f t="array" ref="T42">SUMPRODUCT('2023 sintesi '!T$19:T$213*('2023 sintesi '!$I$19:$I$213='PREVISIONE SU QUARTER'!$G42),1*('2023 sintesi '!$K$19:$K$213="LUMP SUM"))</f>
        <v>0</v>
      </c>
      <c r="U42" s="435" cm="1">
        <f t="array" ref="U42">SUMPRODUCT('2023 sintesi '!U$19:U$213*('2023 sintesi '!$I$19:$I$213='PREVISIONE SU QUARTER'!$G42),1*('2023 sintesi '!$K$19:$K$213="LUMP SUM"))</f>
        <v>0</v>
      </c>
      <c r="V42" s="436" cm="1">
        <f t="array" ref="V42">SUMPRODUCT('2023 sintesi '!V$19:V$213*('2023 sintesi '!$I$19:$I$213='PREVISIONE SU QUARTER'!$G42),1*('2023 sintesi '!$K$19:$K$213="LUMP SUM"))</f>
        <v>0</v>
      </c>
      <c r="W42" s="437" cm="1">
        <f t="array" ref="W42">SUMPRODUCT('2023 sintesi '!W$19:W$213*('2023 sintesi '!$I$19:$I$213='PREVISIONE SU QUARTER'!$G42),1*('2023 sintesi '!$K$19:$K$213="LUMP SUM"))</f>
        <v>0</v>
      </c>
      <c r="X42" s="440" t="s">
        <v>271</v>
      </c>
      <c r="Y42" s="399">
        <v>0</v>
      </c>
      <c r="Z42" s="400">
        <v>0</v>
      </c>
      <c r="AA42" s="401" cm="1">
        <f t="array" ref="AA42">IF(MONTH($H$34)&lt;MONTH($R$35),Z42+SUM(R42:T42),IF(H42&gt;SUMPRODUCT($L42:$T42*($L$36:$T$36="SI")),H42 + SUMPRODUCT($L42:$T42*($L$36:$T$36="NO")),SUM(L42:T42)))</f>
        <v>0</v>
      </c>
      <c r="AB42" s="402" cm="1">
        <f t="array" ref="AB42">IF(MONTH($H$34)&lt;MONTH($U$35),AA42+SUM(U42:W42),IF(H42&gt;SUMPRODUCT($L42:$W42*($L$36:$W$36="SI")),H42 + SUMPRODUCT($L42:$W42*($L$36:$W$36="NO")),SUM(L42:W42)))</f>
        <v>0</v>
      </c>
    </row>
    <row r="43" spans="7:28" ht="18.75" x14ac:dyDescent="0.25">
      <c r="G43" s="439" t="s">
        <v>272</v>
      </c>
      <c r="H43" s="633">
        <f>IFERROR(IF($A$1="ACTUAL",'CONSUMI SPACCHETTATI'!J22,IF($A$1="COMMIT",'CONSUMI SPACCHETTATI'!K22,'CONSUMI SPACCHETTATI'!J22+'CONSUMI SPACCHETTATI'!K22)),"non-visibile")</f>
        <v>0</v>
      </c>
      <c r="I43" s="634"/>
      <c r="K43" s="434" t="s">
        <v>272</v>
      </c>
      <c r="L43" s="435" cm="1">
        <f t="array" ref="L43">SUMPRODUCT('2023 sintesi '!L$19:L$213*('2023 sintesi '!$I$19:$I$213='PREVISIONE SU QUARTER'!$G43),1*('2023 sintesi '!$K$19:$K$213="LUMP SUM"))</f>
        <v>0</v>
      </c>
      <c r="M43" s="436" cm="1">
        <f t="array" ref="M43">SUMPRODUCT('2023 sintesi '!M$19:M$213*('2023 sintesi '!$I$19:$I$213='PREVISIONE SU QUARTER'!$G43),1*('2023 sintesi '!$K$19:$K$213="LUMP SUM"))</f>
        <v>0</v>
      </c>
      <c r="N43" s="437" cm="1">
        <f t="array" ref="N43">SUMPRODUCT('2023 sintesi '!N$19:N$213*('2023 sintesi '!$I$19:$I$213='PREVISIONE SU QUARTER'!$G43),1*('2023 sintesi '!$K$19:$K$213="LUMP SUM"))</f>
        <v>0</v>
      </c>
      <c r="O43" s="435" cm="1">
        <f t="array" ref="O43">SUMPRODUCT('2023 sintesi '!O$19:O$213*('2023 sintesi '!$I$19:$I$213='PREVISIONE SU QUARTER'!$G43),1*('2023 sintesi '!$K$19:$K$213="LUMP SUM"))</f>
        <v>0</v>
      </c>
      <c r="P43" s="436" cm="1">
        <f t="array" ref="P43">SUMPRODUCT('2023 sintesi '!P$19:P$213*('2023 sintesi '!$I$19:$I$213='PREVISIONE SU QUARTER'!$G43),1*('2023 sintesi '!$K$19:$K$213="LUMP SUM"))</f>
        <v>0</v>
      </c>
      <c r="Q43" s="437" cm="1">
        <f t="array" ref="Q43">SUMPRODUCT('2023 sintesi '!Q$19:Q$213*('2023 sintesi '!$I$19:$I$213='PREVISIONE SU QUARTER'!$G43),1*('2023 sintesi '!$K$19:$K$213="LUMP SUM"))</f>
        <v>0</v>
      </c>
      <c r="R43" s="435" cm="1">
        <f t="array" ref="R43">SUMPRODUCT('2023 sintesi '!R$19:R$213*('2023 sintesi '!$I$19:$I$213='PREVISIONE SU QUARTER'!$G43),1*('2023 sintesi '!$K$19:$K$213="LUMP SUM"))</f>
        <v>0</v>
      </c>
      <c r="S43" s="436" cm="1">
        <f t="array" ref="S43">SUMPRODUCT('2023 sintesi '!S$19:S$213*('2023 sintesi '!$I$19:$I$213='PREVISIONE SU QUARTER'!$G43),1*('2023 sintesi '!$K$19:$K$213="LUMP SUM"))</f>
        <v>0</v>
      </c>
      <c r="T43" s="437" cm="1">
        <f t="array" ref="T43">SUMPRODUCT('2023 sintesi '!T$19:T$213*('2023 sintesi '!$I$19:$I$213='PREVISIONE SU QUARTER'!$G43),1*('2023 sintesi '!$K$19:$K$213="LUMP SUM"))</f>
        <v>0</v>
      </c>
      <c r="U43" s="435" cm="1">
        <f t="array" ref="U43">SUMPRODUCT('2023 sintesi '!U$19:U$213*('2023 sintesi '!$I$19:$I$213='PREVISIONE SU QUARTER'!$G43),1*('2023 sintesi '!$K$19:$K$213="LUMP SUM"))</f>
        <v>0</v>
      </c>
      <c r="V43" s="436" cm="1">
        <f t="array" ref="V43">SUMPRODUCT('2023 sintesi '!V$19:V$213*('2023 sintesi '!$I$19:$I$213='PREVISIONE SU QUARTER'!$G43),1*('2023 sintesi '!$K$19:$K$213="LUMP SUM"))</f>
        <v>0</v>
      </c>
      <c r="W43" s="437" cm="1">
        <f t="array" ref="W43">SUMPRODUCT('2023 sintesi '!W$19:W$213*('2023 sintesi '!$I$19:$I$213='PREVISIONE SU QUARTER'!$G43),1*('2023 sintesi '!$K$19:$K$213="LUMP SUM"))</f>
        <v>0</v>
      </c>
      <c r="X43" s="440" t="s">
        <v>272</v>
      </c>
      <c r="Y43" s="399">
        <v>0</v>
      </c>
      <c r="Z43" s="400">
        <v>0</v>
      </c>
      <c r="AA43" s="401" cm="1">
        <f t="array" ref="AA43">IF(MONTH($H$34)&lt;MONTH($R$35),Z43+SUM(R43:T43),IF(H43&gt;SUMPRODUCT($L43:$T43*($L$36:$T$36="SI")),H43 + SUMPRODUCT($L43:$T43*($L$36:$T$36="NO")),SUM(L43:T43)))</f>
        <v>0</v>
      </c>
      <c r="AB43" s="402" cm="1">
        <f t="array" ref="AB43">IF(MONTH($H$34)&lt;MONTH($U$35),AA43+SUM(U43:W43),IF(H43&gt;SUMPRODUCT($L43:$W43*($L$36:$W$36="SI")),H43 + SUMPRODUCT($L43:$W43*($L$36:$W$36="NO")),SUM(L43:W43)))</f>
        <v>0</v>
      </c>
    </row>
    <row r="44" spans="7:28" ht="18.75" x14ac:dyDescent="0.25">
      <c r="G44" s="439" t="s">
        <v>273</v>
      </c>
      <c r="H44" s="633">
        <f>IFERROR(IF($A$1="ACTUAL",'CONSUMI SPACCHETTATI'!J23,IF($A$1="COMMIT",'CONSUMI SPACCHETTATI'!K23,'CONSUMI SPACCHETTATI'!J23+'CONSUMI SPACCHETTATI'!K23)),"non-visibile")</f>
        <v>13</v>
      </c>
      <c r="I44" s="634"/>
      <c r="K44" s="434" t="s">
        <v>273</v>
      </c>
      <c r="L44" s="435" cm="1">
        <f t="array" ref="L44">SUMPRODUCT('2023 sintesi '!L$19:L$213*('2023 sintesi '!$I$19:$I$213='PREVISIONE SU QUARTER'!$G44),1*('2023 sintesi '!$K$19:$K$213="LUMP SUM"))</f>
        <v>5312</v>
      </c>
      <c r="M44" s="436" cm="1">
        <f t="array" ref="M44">SUMPRODUCT('2023 sintesi '!M$19:M$213*('2023 sintesi '!$I$19:$I$213='PREVISIONE SU QUARTER'!$G44),1*('2023 sintesi '!$K$19:$K$213="LUMP SUM"))</f>
        <v>2872</v>
      </c>
      <c r="N44" s="437" cm="1">
        <f t="array" ref="N44">SUMPRODUCT('2023 sintesi '!N$19:N$213*('2023 sintesi '!$I$19:$I$213='PREVISIONE SU QUARTER'!$G44),1*('2023 sintesi '!$K$19:$K$213="LUMP SUM"))</f>
        <v>3092</v>
      </c>
      <c r="O44" s="435" cm="1">
        <f t="array" ref="O44">SUMPRODUCT('2023 sintesi '!O$19:O$213*('2023 sintesi '!$I$19:$I$213='PREVISIONE SU QUARTER'!$G44),1*('2023 sintesi '!$K$19:$K$213="LUMP SUM"))</f>
        <v>832</v>
      </c>
      <c r="P44" s="436" cm="1">
        <f t="array" ref="P44">SUMPRODUCT('2023 sintesi '!P$19:P$213*('2023 sintesi '!$I$19:$I$213='PREVISIONE SU QUARTER'!$G44),1*('2023 sintesi '!$K$19:$K$213="LUMP SUM"))</f>
        <v>29232</v>
      </c>
      <c r="Q44" s="437" cm="1">
        <f t="array" ref="Q44">SUMPRODUCT('2023 sintesi '!Q$19:Q$213*('2023 sintesi '!$I$19:$I$213='PREVISIONE SU QUARTER'!$G44),1*('2023 sintesi '!$K$19:$K$213="LUMP SUM"))</f>
        <v>45580</v>
      </c>
      <c r="R44" s="435" cm="1">
        <f t="array" ref="R44">SUMPRODUCT('2023 sintesi '!R$19:R$213*('2023 sintesi '!$I$19:$I$213='PREVISIONE SU QUARTER'!$G44),1*('2023 sintesi '!$K$19:$K$213="LUMP SUM"))</f>
        <v>16620</v>
      </c>
      <c r="S44" s="436" cm="1">
        <f t="array" ref="S44">SUMPRODUCT('2023 sintesi '!S$19:S$213*('2023 sintesi '!$I$19:$I$213='PREVISIONE SU QUARTER'!$G44),1*('2023 sintesi '!$K$19:$K$213="LUMP SUM"))</f>
        <v>1560</v>
      </c>
      <c r="T44" s="437" cm="1">
        <f t="array" ref="T44">SUMPRODUCT('2023 sintesi '!T$19:T$213*('2023 sintesi '!$I$19:$I$213='PREVISIONE SU QUARTER'!$G44),1*('2023 sintesi '!$K$19:$K$213="LUMP SUM"))</f>
        <v>6920</v>
      </c>
      <c r="U44" s="435" cm="1">
        <f t="array" ref="U44">SUMPRODUCT('2023 sintesi '!U$19:U$213*('2023 sintesi '!$I$19:$I$213='PREVISIONE SU QUARTER'!$G44),1*('2023 sintesi '!$K$19:$K$213="LUMP SUM"))</f>
        <v>25480</v>
      </c>
      <c r="V44" s="436" cm="1">
        <f t="array" ref="V44">SUMPRODUCT('2023 sintesi '!V$19:V$213*('2023 sintesi '!$I$19:$I$213='PREVISIONE SU QUARTER'!$G44),1*('2023 sintesi '!$K$19:$K$213="LUMP SUM"))</f>
        <v>6260</v>
      </c>
      <c r="W44" s="437" cm="1">
        <f t="array" ref="W44">SUMPRODUCT('2023 sintesi '!W$19:W$213*('2023 sintesi '!$I$19:$I$213='PREVISIONE SU QUARTER'!$G44),1*('2023 sintesi '!$K$19:$K$213="LUMP SUM"))</f>
        <v>5360</v>
      </c>
      <c r="X44" s="440" t="s">
        <v>273</v>
      </c>
      <c r="Y44" s="399">
        <v>11276</v>
      </c>
      <c r="Z44" s="400">
        <v>86920</v>
      </c>
      <c r="AA44" s="401" cm="1">
        <f t="array" ref="AA44">IF(MONTH($H$34)&lt;MONTH($R$35),Z44+SUM(R44:T44),IF(H44&gt;SUMPRODUCT($L44:$T44*($L$36:$T$36="SI")),H44 + SUMPRODUCT($L44:$T44*($L$36:$T$36="NO")),SUM(L44:T44)))</f>
        <v>112020</v>
      </c>
      <c r="AB44" s="402" cm="1">
        <f t="array" ref="AB44">IF(MONTH($H$34)&lt;MONTH($U$35),AA44+SUM(U44:W44),IF(H44&gt;SUMPRODUCT($L44:$W44*($L$36:$W$36="SI")),H44 + SUMPRODUCT($L44:$W44*($L$36:$W$36="NO")),SUM(L44:W44)))</f>
        <v>149120</v>
      </c>
    </row>
    <row r="45" spans="7:28" ht="18.75" x14ac:dyDescent="0.25">
      <c r="G45" s="439" t="s">
        <v>274</v>
      </c>
      <c r="H45" s="633">
        <f>IFERROR(IF($A$1="ACTUAL",'CONSUMI SPACCHETTATI'!J24,IF($A$1="COMMIT",'CONSUMI SPACCHETTATI'!K24,'CONSUMI SPACCHETTATI'!J24+'CONSUMI SPACCHETTATI'!K24)),"non-visibile")</f>
        <v>0</v>
      </c>
      <c r="I45" s="634"/>
      <c r="K45" s="434" t="s">
        <v>274</v>
      </c>
      <c r="L45" s="435" cm="1">
        <f t="array" ref="L45">SUMPRODUCT('2023 sintesi '!L$19:L$213*('2023 sintesi '!$I$19:$I$213='PREVISIONE SU QUARTER'!$G45),1*('2023 sintesi '!$K$19:$K$213="LUMP SUM"))</f>
        <v>0</v>
      </c>
      <c r="M45" s="436" cm="1">
        <f t="array" ref="M45">SUMPRODUCT('2023 sintesi '!M$19:M$213*('2023 sintesi '!$I$19:$I$213='PREVISIONE SU QUARTER'!$G45),1*('2023 sintesi '!$K$19:$K$213="LUMP SUM"))</f>
        <v>0</v>
      </c>
      <c r="N45" s="437" cm="1">
        <f t="array" ref="N45">SUMPRODUCT('2023 sintesi '!N$19:N$213*('2023 sintesi '!$I$19:$I$213='PREVISIONE SU QUARTER'!$G45),1*('2023 sintesi '!$K$19:$K$213="LUMP SUM"))</f>
        <v>0</v>
      </c>
      <c r="O45" s="435" cm="1">
        <f t="array" ref="O45">SUMPRODUCT('2023 sintesi '!O$19:O$213*('2023 sintesi '!$I$19:$I$213='PREVISIONE SU QUARTER'!$G45),1*('2023 sintesi '!$K$19:$K$213="LUMP SUM"))</f>
        <v>0</v>
      </c>
      <c r="P45" s="436" cm="1">
        <f t="array" ref="P45">SUMPRODUCT('2023 sintesi '!P$19:P$213*('2023 sintesi '!$I$19:$I$213='PREVISIONE SU QUARTER'!$G45),1*('2023 sintesi '!$K$19:$K$213="LUMP SUM"))</f>
        <v>0</v>
      </c>
      <c r="Q45" s="437" cm="1">
        <f t="array" ref="Q45">SUMPRODUCT('2023 sintesi '!Q$19:Q$213*('2023 sintesi '!$I$19:$I$213='PREVISIONE SU QUARTER'!$G45),1*('2023 sintesi '!$K$19:$K$213="LUMP SUM"))</f>
        <v>0</v>
      </c>
      <c r="R45" s="435" cm="1">
        <f t="array" ref="R45">SUMPRODUCT('2023 sintesi '!R$19:R$213*('2023 sintesi '!$I$19:$I$213='PREVISIONE SU QUARTER'!$G45),1*('2023 sintesi '!$K$19:$K$213="LUMP SUM"))</f>
        <v>0</v>
      </c>
      <c r="S45" s="436" cm="1">
        <f t="array" ref="S45">SUMPRODUCT('2023 sintesi '!S$19:S$213*('2023 sintesi '!$I$19:$I$213='PREVISIONE SU QUARTER'!$G45),1*('2023 sintesi '!$K$19:$K$213="LUMP SUM"))</f>
        <v>0</v>
      </c>
      <c r="T45" s="437" cm="1">
        <f t="array" ref="T45">SUMPRODUCT('2023 sintesi '!T$19:T$213*('2023 sintesi '!$I$19:$I$213='PREVISIONE SU QUARTER'!$G45),1*('2023 sintesi '!$K$19:$K$213="LUMP SUM"))</f>
        <v>0</v>
      </c>
      <c r="U45" s="435" cm="1">
        <f t="array" ref="U45">SUMPRODUCT('2023 sintesi '!U$19:U$213*('2023 sintesi '!$I$19:$I$213='PREVISIONE SU QUARTER'!$G45),1*('2023 sintesi '!$K$19:$K$213="LUMP SUM"))</f>
        <v>0</v>
      </c>
      <c r="V45" s="436" cm="1">
        <f t="array" ref="V45">SUMPRODUCT('2023 sintesi '!V$19:V$213*('2023 sintesi '!$I$19:$I$213='PREVISIONE SU QUARTER'!$G45),1*('2023 sintesi '!$K$19:$K$213="LUMP SUM"))</f>
        <v>0</v>
      </c>
      <c r="W45" s="437" cm="1">
        <f t="array" ref="W45">SUMPRODUCT('2023 sintesi '!W$19:W$213*('2023 sintesi '!$I$19:$I$213='PREVISIONE SU QUARTER'!$G45),1*('2023 sintesi '!$K$19:$K$213="LUMP SUM"))</f>
        <v>0</v>
      </c>
      <c r="X45" s="440" t="s">
        <v>274</v>
      </c>
      <c r="Y45" s="399">
        <v>0</v>
      </c>
      <c r="Z45" s="400">
        <v>0</v>
      </c>
      <c r="AA45" s="401" cm="1">
        <f t="array" ref="AA45">IF(MONTH($H$34)&lt;MONTH($R$35),Z45+SUM(R45:T45),IF(H45&gt;SUMPRODUCT($L45:$T45*($L$36:$T$36="SI")),H45 + SUMPRODUCT($L45:$T45*($L$36:$T$36="NO")),SUM(L45:T45)))</f>
        <v>0</v>
      </c>
      <c r="AB45" s="402" cm="1">
        <f t="array" ref="AB45">IF(MONTH($H$34)&lt;MONTH($U$35),AA45+SUM(U45:W45),IF(H45&gt;SUMPRODUCT($L45:$W45*($L$36:$W$36="SI")),H45 + SUMPRODUCT($L45:$W45*($L$36:$W$36="NO")),SUM(L45:W45)))</f>
        <v>0</v>
      </c>
    </row>
    <row r="46" spans="7:28" ht="18.75" x14ac:dyDescent="0.25">
      <c r="G46" s="439" t="s">
        <v>275</v>
      </c>
      <c r="H46" s="633">
        <f>IFERROR(IF($A$1="ACTUAL",'CONSUMI SPACCHETTATI'!J25,IF($A$1="COMMIT",'CONSUMI SPACCHETTATI'!K25,'CONSUMI SPACCHETTATI'!J25+'CONSUMI SPACCHETTATI'!K25)),"non-visibile")</f>
        <v>0</v>
      </c>
      <c r="I46" s="634"/>
      <c r="K46" s="434" t="s">
        <v>275</v>
      </c>
      <c r="L46" s="435" cm="1">
        <f t="array" ref="L46">SUMPRODUCT('2023 sintesi '!L$19:L$213*('2023 sintesi '!$I$19:$I$213='PREVISIONE SU QUARTER'!$G46),1*('2023 sintesi '!$K$19:$K$213="LUMP SUM"))</f>
        <v>0</v>
      </c>
      <c r="M46" s="436" cm="1">
        <f t="array" ref="M46">SUMPRODUCT('2023 sintesi '!M$19:M$213*('2023 sintesi '!$I$19:$I$213='PREVISIONE SU QUARTER'!$G46),1*('2023 sintesi '!$K$19:$K$213="LUMP SUM"))</f>
        <v>0</v>
      </c>
      <c r="N46" s="437" cm="1">
        <f t="array" ref="N46">SUMPRODUCT('2023 sintesi '!N$19:N$213*('2023 sintesi '!$I$19:$I$213='PREVISIONE SU QUARTER'!$G46),1*('2023 sintesi '!$K$19:$K$213="LUMP SUM"))</f>
        <v>0</v>
      </c>
      <c r="O46" s="435" cm="1">
        <f t="array" ref="O46">SUMPRODUCT('2023 sintesi '!O$19:O$213*('2023 sintesi '!$I$19:$I$213='PREVISIONE SU QUARTER'!$G46),1*('2023 sintesi '!$K$19:$K$213="LUMP SUM"))</f>
        <v>0</v>
      </c>
      <c r="P46" s="436" cm="1">
        <f t="array" ref="P46">SUMPRODUCT('2023 sintesi '!P$19:P$213*('2023 sintesi '!$I$19:$I$213='PREVISIONE SU QUARTER'!$G46),1*('2023 sintesi '!$K$19:$K$213="LUMP SUM"))</f>
        <v>0</v>
      </c>
      <c r="Q46" s="437" cm="1">
        <f t="array" ref="Q46">SUMPRODUCT('2023 sintesi '!Q$19:Q$213*('2023 sintesi '!$I$19:$I$213='PREVISIONE SU QUARTER'!$G46),1*('2023 sintesi '!$K$19:$K$213="LUMP SUM"))</f>
        <v>0</v>
      </c>
      <c r="R46" s="435" cm="1">
        <f t="array" ref="R46">SUMPRODUCT('2023 sintesi '!R$19:R$213*('2023 sintesi '!$I$19:$I$213='PREVISIONE SU QUARTER'!$G46),1*('2023 sintesi '!$K$19:$K$213="LUMP SUM"))</f>
        <v>0</v>
      </c>
      <c r="S46" s="436" cm="1">
        <f t="array" ref="S46">SUMPRODUCT('2023 sintesi '!S$19:S$213*('2023 sintesi '!$I$19:$I$213='PREVISIONE SU QUARTER'!$G46),1*('2023 sintesi '!$K$19:$K$213="LUMP SUM"))</f>
        <v>0</v>
      </c>
      <c r="T46" s="437" cm="1">
        <f t="array" ref="T46">SUMPRODUCT('2023 sintesi '!T$19:T$213*('2023 sintesi '!$I$19:$I$213='PREVISIONE SU QUARTER'!$G46),1*('2023 sintesi '!$K$19:$K$213="LUMP SUM"))</f>
        <v>0</v>
      </c>
      <c r="U46" s="435" cm="1">
        <f t="array" ref="U46">SUMPRODUCT('2023 sintesi '!U$19:U$213*('2023 sintesi '!$I$19:$I$213='PREVISIONE SU QUARTER'!$G46),1*('2023 sintesi '!$K$19:$K$213="LUMP SUM"))</f>
        <v>0</v>
      </c>
      <c r="V46" s="436" cm="1">
        <f t="array" ref="V46">SUMPRODUCT('2023 sintesi '!V$19:V$213*('2023 sintesi '!$I$19:$I$213='PREVISIONE SU QUARTER'!$G46),1*('2023 sintesi '!$K$19:$K$213="LUMP SUM"))</f>
        <v>0</v>
      </c>
      <c r="W46" s="437" cm="1">
        <f t="array" ref="W46">SUMPRODUCT('2023 sintesi '!W$19:W$213*('2023 sintesi '!$I$19:$I$213='PREVISIONE SU QUARTER'!$G46),1*('2023 sintesi '!$K$19:$K$213="LUMP SUM"))</f>
        <v>0</v>
      </c>
      <c r="X46" s="440" t="s">
        <v>275</v>
      </c>
      <c r="Y46" s="399">
        <v>0</v>
      </c>
      <c r="Z46" s="400">
        <v>0</v>
      </c>
      <c r="AA46" s="401" cm="1">
        <f t="array" ref="AA46">IF(MONTH($H$34)&lt;MONTH($R$35),Z46+SUM(R46:T46),IF(H46&gt;SUMPRODUCT($L46:$T46*($L$36:$T$36="SI")),H46 + SUMPRODUCT($L46:$T46*($L$36:$T$36="NO")),SUM(L46:T46)))</f>
        <v>0</v>
      </c>
      <c r="AB46" s="402" cm="1">
        <f t="array" ref="AB46">IF(MONTH($H$34)&lt;MONTH($U$35),AA46+SUM(U46:W46),IF(H46&gt;SUMPRODUCT($L46:$W46*($L$36:$W$36="SI")),H46 + SUMPRODUCT($L46:$W46*($L$36:$W$36="NO")),SUM(L46:W46)))</f>
        <v>0</v>
      </c>
    </row>
    <row r="47" spans="7:28" ht="18.75" x14ac:dyDescent="0.25">
      <c r="G47" s="439" t="s">
        <v>276</v>
      </c>
      <c r="H47" s="633">
        <f>IFERROR(IF($A$1="ACTUAL",'CONSUMI SPACCHETTATI'!J26,IF($A$1="COMMIT",'CONSUMI SPACCHETTATI'!K26,'CONSUMI SPACCHETTATI'!J26+'CONSUMI SPACCHETTATI'!K26)),"non-visibile")</f>
        <v>0</v>
      </c>
      <c r="I47" s="634"/>
      <c r="K47" s="434" t="s">
        <v>276</v>
      </c>
      <c r="L47" s="435" cm="1">
        <f t="array" ref="L47">SUMPRODUCT('2023 sintesi '!L$19:L$213*('2023 sintesi '!$I$19:$I$213='PREVISIONE SU QUARTER'!$G47),1*('2023 sintesi '!$K$19:$K$213="LUMP SUM"))</f>
        <v>0</v>
      </c>
      <c r="M47" s="436" cm="1">
        <f t="array" ref="M47">SUMPRODUCT('2023 sintesi '!M$19:M$213*('2023 sintesi '!$I$19:$I$213='PREVISIONE SU QUARTER'!$G47),1*('2023 sintesi '!$K$19:$K$213="LUMP SUM"))</f>
        <v>0</v>
      </c>
      <c r="N47" s="437" cm="1">
        <f t="array" ref="N47">SUMPRODUCT('2023 sintesi '!N$19:N$213*('2023 sintesi '!$I$19:$I$213='PREVISIONE SU QUARTER'!$G47),1*('2023 sintesi '!$K$19:$K$213="LUMP SUM"))</f>
        <v>0</v>
      </c>
      <c r="O47" s="435" cm="1">
        <f t="array" ref="O47">SUMPRODUCT('2023 sintesi '!O$19:O$213*('2023 sintesi '!$I$19:$I$213='PREVISIONE SU QUARTER'!$G47),1*('2023 sintesi '!$K$19:$K$213="LUMP SUM"))</f>
        <v>0</v>
      </c>
      <c r="P47" s="436" cm="1">
        <f t="array" ref="P47">SUMPRODUCT('2023 sintesi '!P$19:P$213*('2023 sintesi '!$I$19:$I$213='PREVISIONE SU QUARTER'!$G47),1*('2023 sintesi '!$K$19:$K$213="LUMP SUM"))</f>
        <v>0</v>
      </c>
      <c r="Q47" s="437" cm="1">
        <f t="array" ref="Q47">SUMPRODUCT('2023 sintesi '!Q$19:Q$213*('2023 sintesi '!$I$19:$I$213='PREVISIONE SU QUARTER'!$G47),1*('2023 sintesi '!$K$19:$K$213="LUMP SUM"))</f>
        <v>0</v>
      </c>
      <c r="R47" s="435" cm="1">
        <f t="array" ref="R47">SUMPRODUCT('2023 sintesi '!R$19:R$213*('2023 sintesi '!$I$19:$I$213='PREVISIONE SU QUARTER'!$G47),1*('2023 sintesi '!$K$19:$K$213="LUMP SUM"))</f>
        <v>0</v>
      </c>
      <c r="S47" s="436" cm="1">
        <f t="array" ref="S47">SUMPRODUCT('2023 sintesi '!S$19:S$213*('2023 sintesi '!$I$19:$I$213='PREVISIONE SU QUARTER'!$G47),1*('2023 sintesi '!$K$19:$K$213="LUMP SUM"))</f>
        <v>0</v>
      </c>
      <c r="T47" s="437" cm="1">
        <f t="array" ref="T47">SUMPRODUCT('2023 sintesi '!T$19:T$213*('2023 sintesi '!$I$19:$I$213='PREVISIONE SU QUARTER'!$G47),1*('2023 sintesi '!$K$19:$K$213="LUMP SUM"))</f>
        <v>0</v>
      </c>
      <c r="U47" s="435" cm="1">
        <f t="array" ref="U47">SUMPRODUCT('2023 sintesi '!U$19:U$213*('2023 sintesi '!$I$19:$I$213='PREVISIONE SU QUARTER'!$G47),1*('2023 sintesi '!$K$19:$K$213="LUMP SUM"))</f>
        <v>0</v>
      </c>
      <c r="V47" s="436" cm="1">
        <f t="array" ref="V47">SUMPRODUCT('2023 sintesi '!V$19:V$213*('2023 sintesi '!$I$19:$I$213='PREVISIONE SU QUARTER'!$G47),1*('2023 sintesi '!$K$19:$K$213="LUMP SUM"))</f>
        <v>0</v>
      </c>
      <c r="W47" s="437" cm="1">
        <f t="array" ref="W47">SUMPRODUCT('2023 sintesi '!W$19:W$213*('2023 sintesi '!$I$19:$I$213='PREVISIONE SU QUARTER'!$G47),1*('2023 sintesi '!$K$19:$K$213="LUMP SUM"))</f>
        <v>0</v>
      </c>
      <c r="X47" s="440" t="s">
        <v>276</v>
      </c>
      <c r="Y47" s="399">
        <v>0</v>
      </c>
      <c r="Z47" s="400">
        <v>0</v>
      </c>
      <c r="AA47" s="401" cm="1">
        <f t="array" ref="AA47">IF(MONTH($H$34)&lt;MONTH($R$35),Z47+SUM(R47:T47),IF(H47&gt;SUMPRODUCT($L47:$T47*($L$36:$T$36="SI")),H47 + SUMPRODUCT($L47:$T47*($L$36:$T$36="NO")),SUM(L47:T47)))</f>
        <v>0</v>
      </c>
      <c r="AB47" s="402" cm="1">
        <f t="array" ref="AB47">IF(MONTH($H$34)&lt;MONTH($U$35),AA47+SUM(U47:W47),IF(H47&gt;SUMPRODUCT($L47:$W47*($L$36:$W$36="SI")),H47 + SUMPRODUCT($L47:$W47*($L$36:$W$36="NO")),SUM(L47:W47)))</f>
        <v>0</v>
      </c>
    </row>
    <row r="48" spans="7:28" ht="19.5" thickBot="1" x14ac:dyDescent="0.3">
      <c r="G48" s="441" t="s">
        <v>277</v>
      </c>
      <c r="H48" s="633">
        <f>IFERROR(IF($A$1="ACTUAL",'CONSUMI SPACCHETTATI'!J27,IF($A$1="COMMIT",'CONSUMI SPACCHETTATI'!K27,'CONSUMI SPACCHETTATI'!J27+'CONSUMI SPACCHETTATI'!K27)),"non-visibile")</f>
        <v>0</v>
      </c>
      <c r="I48" s="634"/>
      <c r="K48" s="442" t="s">
        <v>277</v>
      </c>
      <c r="L48" s="443" cm="1">
        <f t="array" ref="L48">SUMPRODUCT('2023 sintesi '!L$19:L$213*('2023 sintesi '!$I$19:$I$213='PREVISIONE SU QUARTER'!$G48),1*('2023 sintesi '!$K$19:$K$213="LUMP SUM"))</f>
        <v>0</v>
      </c>
      <c r="M48" s="444" cm="1">
        <f t="array" ref="M48">SUMPRODUCT('2023 sintesi '!M$19:M$213*('2023 sintesi '!$I$19:$I$213='PREVISIONE SU QUARTER'!$G48),1*('2023 sintesi '!$K$19:$K$213="LUMP SUM"))</f>
        <v>0</v>
      </c>
      <c r="N48" s="445" cm="1">
        <f t="array" ref="N48">SUMPRODUCT('2023 sintesi '!N$19:N$213*('2023 sintesi '!$I$19:$I$213='PREVISIONE SU QUARTER'!$G48),1*('2023 sintesi '!$K$19:$K$213="LUMP SUM"))</f>
        <v>0</v>
      </c>
      <c r="O48" s="443" cm="1">
        <f t="array" ref="O48">SUMPRODUCT('2023 sintesi '!O$19:O$213*('2023 sintesi '!$I$19:$I$213='PREVISIONE SU QUARTER'!$G48),1*('2023 sintesi '!$K$19:$K$213="LUMP SUM"))</f>
        <v>0</v>
      </c>
      <c r="P48" s="444" cm="1">
        <f t="array" ref="P48">SUMPRODUCT('2023 sintesi '!P$19:P$213*('2023 sintesi '!$I$19:$I$213='PREVISIONE SU QUARTER'!$G48),1*('2023 sintesi '!$K$19:$K$213="LUMP SUM"))</f>
        <v>0</v>
      </c>
      <c r="Q48" s="445" cm="1">
        <f t="array" ref="Q48">SUMPRODUCT('2023 sintesi '!Q$19:Q$213*('2023 sintesi '!$I$19:$I$213='PREVISIONE SU QUARTER'!$G48),1*('2023 sintesi '!$K$19:$K$213="LUMP SUM"))</f>
        <v>0</v>
      </c>
      <c r="R48" s="443" cm="1">
        <f t="array" ref="R48">SUMPRODUCT('2023 sintesi '!R$19:R$213*('2023 sintesi '!$I$19:$I$213='PREVISIONE SU QUARTER'!$G48),1*('2023 sintesi '!$K$19:$K$213="LUMP SUM"))</f>
        <v>0</v>
      </c>
      <c r="S48" s="444" cm="1">
        <f t="array" ref="S48">SUMPRODUCT('2023 sintesi '!S$19:S$213*('2023 sintesi '!$I$19:$I$213='PREVISIONE SU QUARTER'!$G48),1*('2023 sintesi '!$K$19:$K$213="LUMP SUM"))</f>
        <v>0</v>
      </c>
      <c r="T48" s="445" cm="1">
        <f t="array" ref="T48">SUMPRODUCT('2023 sintesi '!T$19:T$213*('2023 sintesi '!$I$19:$I$213='PREVISIONE SU QUARTER'!$G48),1*('2023 sintesi '!$K$19:$K$213="LUMP SUM"))</f>
        <v>0</v>
      </c>
      <c r="U48" s="443" cm="1">
        <f t="array" ref="U48">SUMPRODUCT('2023 sintesi '!U$19:U$213*('2023 sintesi '!$I$19:$I$213='PREVISIONE SU QUARTER'!$G48),1*('2023 sintesi '!$K$19:$K$213="LUMP SUM"))</f>
        <v>0</v>
      </c>
      <c r="V48" s="444" cm="1">
        <f t="array" ref="V48">SUMPRODUCT('2023 sintesi '!V$19:V$213*('2023 sintesi '!$I$19:$I$213='PREVISIONE SU QUARTER'!$G48),1*('2023 sintesi '!$K$19:$K$213="LUMP SUM"))</f>
        <v>0</v>
      </c>
      <c r="W48" s="445" cm="1">
        <f t="array" ref="W48">SUMPRODUCT('2023 sintesi '!W$19:W$213*('2023 sintesi '!$I$19:$I$213='PREVISIONE SU QUARTER'!$G48),1*('2023 sintesi '!$K$19:$K$213="LUMP SUM"))</f>
        <v>0</v>
      </c>
      <c r="X48" s="446" t="s">
        <v>277</v>
      </c>
      <c r="Y48" s="399">
        <v>0</v>
      </c>
      <c r="Z48" s="400">
        <v>0</v>
      </c>
      <c r="AA48" s="401" cm="1">
        <f t="array" ref="AA48">IF(MONTH($H$34)&lt;MONTH($R$35),Z48+SUM(R48:T48),IF(H48&gt;SUMPRODUCT($L48:$T48*($L$36:$T$36="SI")),H48 + SUMPRODUCT($L48:$T48*($L$36:$T$36="NO")),SUM(L48:T48)))</f>
        <v>0</v>
      </c>
      <c r="AB48" s="402" cm="1">
        <f t="array" ref="AB48">IF(MONTH($H$34)&lt;MONTH($U$35),AA48+SUM(U48:W48),IF(H48&gt;SUMPRODUCT($L48:$W48*($L$36:$W$36="SI")),H48 + SUMPRODUCT($L48:$W48*($L$36:$W$36="NO")),SUM(L48:W48)))</f>
        <v>0</v>
      </c>
    </row>
    <row r="49" spans="7:28" ht="33" thickTop="1" thickBot="1" x14ac:dyDescent="0.3">
      <c r="G49" s="447" t="s">
        <v>238</v>
      </c>
      <c r="H49" s="637">
        <f>SUM($H$37:$I$48)</f>
        <v>13</v>
      </c>
      <c r="I49" s="638"/>
      <c r="X49" s="416" t="s">
        <v>239</v>
      </c>
      <c r="Y49" s="418">
        <f>SUM(Y37:Y48)</f>
        <v>11276</v>
      </c>
      <c r="Z49" s="418">
        <f>SUM(Z37:Z48)</f>
        <v>86920</v>
      </c>
      <c r="AA49" s="419">
        <f t="shared" ref="AA49:AB49" si="3">SUM(AA37:AA48)</f>
        <v>112020</v>
      </c>
      <c r="AB49" s="420">
        <f t="shared" si="3"/>
        <v>149120</v>
      </c>
    </row>
    <row r="50" spans="7:28" ht="30.75" thickBot="1" x14ac:dyDescent="0.3">
      <c r="Y50" s="448" t="s">
        <v>240</v>
      </c>
      <c r="Z50" s="449" t="s">
        <v>241</v>
      </c>
      <c r="AA50" s="450" t="s">
        <v>242</v>
      </c>
      <c r="AB50" s="451" t="s">
        <v>243</v>
      </c>
    </row>
    <row r="51" spans="7:28" ht="15.75" thickTop="1" x14ac:dyDescent="0.25"/>
  </sheetData>
  <mergeCells count="37">
    <mergeCell ref="H49:I49"/>
    <mergeCell ref="H43:I43"/>
    <mergeCell ref="H44:I44"/>
    <mergeCell ref="H45:I45"/>
    <mergeCell ref="H46:I46"/>
    <mergeCell ref="H47:I47"/>
    <mergeCell ref="H48:I48"/>
    <mergeCell ref="H42:I42"/>
    <mergeCell ref="H34:I34"/>
    <mergeCell ref="L34:N34"/>
    <mergeCell ref="O34:Q34"/>
    <mergeCell ref="R34:T34"/>
    <mergeCell ref="H37:I37"/>
    <mergeCell ref="H38:I38"/>
    <mergeCell ref="H39:I39"/>
    <mergeCell ref="H40:I40"/>
    <mergeCell ref="H41:I41"/>
    <mergeCell ref="U34:W34"/>
    <mergeCell ref="Y34:AB35"/>
    <mergeCell ref="H35:I36"/>
    <mergeCell ref="Y7:AB8"/>
    <mergeCell ref="H8:H9"/>
    <mergeCell ref="I8:I9"/>
    <mergeCell ref="H32:I32"/>
    <mergeCell ref="L32:W33"/>
    <mergeCell ref="Y32:AB33"/>
    <mergeCell ref="H33:I33"/>
    <mergeCell ref="H7:I7"/>
    <mergeCell ref="L7:N7"/>
    <mergeCell ref="O7:Q7"/>
    <mergeCell ref="R7:T7"/>
    <mergeCell ref="U7:W7"/>
    <mergeCell ref="A1:E1"/>
    <mergeCell ref="H5:I5"/>
    <mergeCell ref="L5:W6"/>
    <mergeCell ref="Y5:AB6"/>
    <mergeCell ref="H6:I6"/>
  </mergeCells>
  <conditionalFormatting sqref="L10:W21">
    <cfRule type="expression" dxfId="28" priority="8">
      <formula>L$9="SI"</formula>
    </cfRule>
  </conditionalFormatting>
  <conditionalFormatting sqref="L37:W48">
    <cfRule type="expression" dxfId="27" priority="6">
      <formula>L$36="SI"</formula>
    </cfRule>
  </conditionalFormatting>
  <conditionalFormatting sqref="Y22:AB22">
    <cfRule type="expression" dxfId="26" priority="2">
      <formula>Y$9="SI"</formula>
    </cfRule>
  </conditionalFormatting>
  <conditionalFormatting sqref="Y37:AB48">
    <cfRule type="expression" dxfId="25" priority="3">
      <formula>Y$9="SI"</formula>
    </cfRule>
    <cfRule type="expression" dxfId="24" priority="4">
      <formula>Y$9="NO"</formula>
    </cfRule>
    <cfRule type="expression" dxfId="23" priority="5">
      <formula>#REF!="non-visibile"</formula>
    </cfRule>
  </conditionalFormatting>
  <conditionalFormatting sqref="Y49:AB49">
    <cfRule type="expression" dxfId="22" priority="1">
      <formula>Y$9="SI"</formula>
    </cfRule>
  </conditionalFormatting>
  <conditionalFormatting sqref="Z10:AB21">
    <cfRule type="expression" dxfId="21" priority="7">
      <formula>Z$9="SI"</formula>
    </cfRule>
  </conditionalFormatting>
  <dataValidations count="2">
    <dataValidation type="list" allowBlank="1" showInputMessage="1" showErrorMessage="1" sqref="A1" xr:uid="{00E72E41-33C2-4160-A1FD-47D8AD581916}">
      <formula1>"ACTUAL,COMMIT,ACTUAL+COMMIT"</formula1>
    </dataValidation>
    <dataValidation type="list" allowBlank="1" showInputMessage="1" showErrorMessage="1" sqref="B6:E6 C5:E5" xr:uid="{8C266587-6EFD-405B-81E8-97B732CFE5F2}">
      <formula1>"ACTUAL,COMMIT,ACT+COOMIT"</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20A2F-581E-4005-8ED2-10246C4D46AD}">
  <sheetPr>
    <tabColor rgb="FFC00000"/>
  </sheetPr>
  <dimension ref="A1:AX97"/>
  <sheetViews>
    <sheetView showGridLines="0" zoomScale="85" zoomScaleNormal="85" workbookViewId="0"/>
  </sheetViews>
  <sheetFormatPr defaultColWidth="10.85546875" defaultRowHeight="15" x14ac:dyDescent="0.25"/>
  <cols>
    <col min="3" max="3" width="20.140625" customWidth="1"/>
    <col min="4" max="4" width="15.140625" customWidth="1"/>
    <col min="6" max="6" width="13.5703125" customWidth="1"/>
    <col min="8" max="8" width="12" customWidth="1"/>
    <col min="9" max="9" width="11.5703125" customWidth="1"/>
    <col min="10" max="10" width="13.42578125" customWidth="1"/>
    <col min="11" max="11" width="11.5703125" customWidth="1"/>
    <col min="12" max="12" width="14" customWidth="1"/>
    <col min="13" max="13" width="13" customWidth="1"/>
    <col min="14" max="14" width="13.42578125" customWidth="1"/>
    <col min="15" max="15" width="13.140625" customWidth="1"/>
    <col min="18" max="18" width="12.7109375" customWidth="1"/>
    <col min="19" max="19" width="13" customWidth="1"/>
    <col min="20" max="20" width="12.5703125" customWidth="1"/>
    <col min="21" max="21" width="12.42578125" customWidth="1"/>
    <col min="23" max="23" width="10.85546875" style="87"/>
    <col min="24" max="24" width="39.140625" bestFit="1" customWidth="1"/>
    <col min="25" max="26" width="15.7109375" bestFit="1" customWidth="1"/>
    <col min="27" max="27" width="10.85546875" hidden="1" customWidth="1"/>
    <col min="28" max="28" width="18.28515625" hidden="1" customWidth="1"/>
    <col min="29" max="30" width="15.7109375" bestFit="1" customWidth="1"/>
    <col min="31" max="31" width="10.85546875" style="87"/>
    <col min="33" max="33" width="10.85546875" style="87"/>
    <col min="34" max="34" width="24.7109375" customWidth="1"/>
    <col min="35" max="35" width="31.42578125" customWidth="1"/>
    <col min="36" max="37" width="10.85546875" hidden="1" customWidth="1"/>
    <col min="38" max="38" width="20.28515625" customWidth="1"/>
    <col min="39" max="39" width="10.85546875" style="87"/>
  </cols>
  <sheetData>
    <row r="1" spans="6:50" ht="28.5" customHeight="1" x14ac:dyDescent="0.25">
      <c r="AX1" s="192" t="s">
        <v>156</v>
      </c>
    </row>
    <row r="2" spans="6:50" ht="10.5" customHeight="1" x14ac:dyDescent="0.25"/>
    <row r="5" spans="6:50" ht="21" x14ac:dyDescent="0.35">
      <c r="AC5" s="641">
        <f>AVANZAMENTO!M1</f>
        <v>45082</v>
      </c>
      <c r="AD5" s="642"/>
    </row>
    <row r="6" spans="6:50" ht="21" x14ac:dyDescent="0.35">
      <c r="X6" s="193"/>
      <c r="Y6" s="643" t="s">
        <v>264</v>
      </c>
      <c r="Z6" s="644"/>
      <c r="AA6" t="s">
        <v>157</v>
      </c>
      <c r="AB6" s="194" t="s">
        <v>158</v>
      </c>
      <c r="AC6" s="645" t="s">
        <v>159</v>
      </c>
      <c r="AD6" s="646"/>
      <c r="AH6" s="193"/>
      <c r="AI6" s="195" t="s">
        <v>265</v>
      </c>
      <c r="AJ6" t="s">
        <v>157</v>
      </c>
      <c r="AK6" s="194" t="s">
        <v>160</v>
      </c>
      <c r="AL6" s="196" t="s">
        <v>161</v>
      </c>
    </row>
    <row r="7" spans="6:50" ht="15.75" x14ac:dyDescent="0.25">
      <c r="M7" s="647"/>
      <c r="N7" s="647"/>
      <c r="O7" s="647"/>
      <c r="X7" s="197" t="s">
        <v>48</v>
      </c>
      <c r="Y7" s="198" t="s">
        <v>162</v>
      </c>
      <c r="Z7" s="199" t="s">
        <v>163</v>
      </c>
      <c r="AA7" s="198">
        <v>1</v>
      </c>
      <c r="AB7" s="198">
        <v>2</v>
      </c>
      <c r="AC7" s="200" t="s">
        <v>164</v>
      </c>
      <c r="AD7" s="201" t="s">
        <v>165</v>
      </c>
      <c r="AH7" s="202" t="s">
        <v>48</v>
      </c>
      <c r="AI7" s="203" t="s">
        <v>42</v>
      </c>
      <c r="AJ7" s="204">
        <v>1</v>
      </c>
      <c r="AK7" s="204">
        <v>2</v>
      </c>
      <c r="AL7" s="200" t="s">
        <v>166</v>
      </c>
    </row>
    <row r="8" spans="6:50" ht="32.25" thickBot="1" x14ac:dyDescent="0.3">
      <c r="M8" s="648">
        <f>AVANZAMENTO!M1</f>
        <v>45082</v>
      </c>
      <c r="N8" s="648"/>
      <c r="O8" s="648"/>
      <c r="P8" s="649" t="s">
        <v>167</v>
      </c>
      <c r="Q8" s="649"/>
      <c r="R8" s="649" t="s">
        <v>168</v>
      </c>
      <c r="S8" s="649"/>
      <c r="T8" s="649" t="s">
        <v>169</v>
      </c>
      <c r="U8" s="649"/>
      <c r="W8" s="205">
        <f>IF($Y8&lt;&gt;"non-visibile",IF(OR($AC8&gt;$Y8,$AD8&gt;$Z8),1,0),"")</f>
        <v>0</v>
      </c>
      <c r="X8" s="276" t="s">
        <v>129</v>
      </c>
      <c r="Y8" s="206">
        <f>IFERROR(GETPIVOTDATA("BUDGET STIMATO ORE",'Altre Tabelle di dettaglio'!$B$5,"Fornitore .",X8),"non-visibile")</f>
        <v>1500</v>
      </c>
      <c r="Z8" s="206">
        <f>IFERROR(GETPIVOTDATA("BUDGET STIMATO LUMP SUM",'Altre Tabelle di dettaglio'!$V$5,"Fornitore .",X8),"non-visibile")</f>
        <v>0</v>
      </c>
      <c r="AA8" s="279">
        <f>IF($Y8&lt;&gt;"non-visibile",'BUDGET STUDI -  IPOTESI 1'!$F4,"non-visibile")</f>
        <v>0</v>
      </c>
      <c r="AB8" s="279">
        <f>IF($Y8&lt;&gt;"non-visibile",'BUDGET STUDI -  IPOTESI 1'!$E4,"non-visibile")</f>
        <v>0</v>
      </c>
      <c r="AC8" s="207">
        <f>IFERROR(GETPIVOTDATA("Actual EURO ripartito",'Altre Tabelle di dettaglio'!$CH$5,"Fornitore .",X8),"non-visibile")</f>
        <v>31</v>
      </c>
      <c r="AD8" s="208">
        <f>IFERROR(GETPIVOTDATA("Actual LUMP ripartito",'Altre Tabelle di dettaglio'!$DC$5,"Fornitore .",X8),"non-visibile")</f>
        <v>0</v>
      </c>
      <c r="AE8" s="205">
        <f>$W8</f>
        <v>0</v>
      </c>
      <c r="AG8" s="209">
        <f>IF($AI8&lt;&gt;"non-visibile",IF($AL8&gt;$AI8,1,0),"")</f>
        <v>0</v>
      </c>
      <c r="AH8" s="210" t="s">
        <v>129</v>
      </c>
      <c r="AI8" s="235">
        <f>IFERROR(GETPIVOTDATA("TOTALE ORE",'Altre Tabelle di dettaglio'!$AP$5,"Fornitore .",AH8),"non-visibile")</f>
        <v>300</v>
      </c>
      <c r="AJ8" s="235">
        <f>IF($AI8&lt;&gt;"non-visibile",'BUDGET STUDI -  IPOTESI 1'!$D4,"non-visibile")</f>
        <v>0</v>
      </c>
      <c r="AK8" s="235">
        <f>IF($Y8&lt;&gt;"non-visibile",'BUDGET STUDI -  IPOTESI 1'!$C4,"non-visibile")</f>
        <v>0</v>
      </c>
      <c r="AL8" s="211">
        <f>IFERROR(GETPIVOTDATA("Actual ORE ripartito",'Altre Tabelle di dettaglio'!$BK$5,"Fornitore .",AH8),"non-visibile")</f>
        <v>6.2</v>
      </c>
      <c r="AM8" s="212">
        <f>AG8</f>
        <v>0</v>
      </c>
    </row>
    <row r="9" spans="6:50" ht="15.6" customHeight="1" thickTop="1" x14ac:dyDescent="0.25">
      <c r="G9" s="652" t="s">
        <v>170</v>
      </c>
      <c r="H9" s="653"/>
      <c r="I9" s="654"/>
      <c r="J9" s="655" t="s">
        <v>171</v>
      </c>
      <c r="K9" s="653"/>
      <c r="L9" s="654"/>
      <c r="M9" s="656" t="s">
        <v>172</v>
      </c>
      <c r="N9" s="657"/>
      <c r="O9" s="658"/>
      <c r="P9" s="659" t="s">
        <v>173</v>
      </c>
      <c r="Q9" s="650" t="s">
        <v>174</v>
      </c>
      <c r="R9" s="639" t="s">
        <v>175</v>
      </c>
      <c r="S9" s="650" t="s">
        <v>176</v>
      </c>
      <c r="T9" s="639" t="s">
        <v>177</v>
      </c>
      <c r="U9" s="650" t="s">
        <v>178</v>
      </c>
      <c r="W9" s="205">
        <f t="shared" ref="W9:W72" si="0">IF($Y9&lt;&gt;"non-visibile",IF(OR($AC9&gt;$Y9,$AD9&gt;$Z9),1,0),"")</f>
        <v>0</v>
      </c>
      <c r="X9" s="276" t="s">
        <v>147</v>
      </c>
      <c r="Y9" s="206">
        <f>IFERROR(GETPIVOTDATA("BUDGET STIMATO ORE",'Altre Tabelle di dettaglio'!$B$5,"Fornitore .",X9),"non-visibile")</f>
        <v>1050</v>
      </c>
      <c r="Z9" s="206">
        <f>IFERROR(GETPIVOTDATA("BUDGET STIMATO LUMP SUM",'Altre Tabelle di dettaglio'!$V$5,"Fornitore .",X9),"non-visibile")</f>
        <v>0</v>
      </c>
      <c r="AA9" s="279">
        <f>IF($Y9&lt;&gt;"non-visibile",'BUDGET STUDI -  IPOTESI 1'!$F5,"non-visibile")</f>
        <v>0</v>
      </c>
      <c r="AB9" s="279">
        <f>IF($Y9&lt;&gt;"non-visibile",'BUDGET STUDI -  IPOTESI 1'!$E5,"non-visibile")</f>
        <v>0</v>
      </c>
      <c r="AC9" s="207">
        <f>IFERROR(GETPIVOTDATA("Actual EURO ripartito",'Altre Tabelle di dettaglio'!$CH$5,"Fornitore .",X9),"non-visibile")</f>
        <v>318</v>
      </c>
      <c r="AD9" s="208">
        <f>IFERROR(GETPIVOTDATA("Actual LUMP ripartito",'Altre Tabelle di dettaglio'!$DC$5,"Fornitore .",X9),"non-visibile")</f>
        <v>0</v>
      </c>
      <c r="AE9" s="205">
        <f t="shared" ref="AE9:AE72" si="1">$W9</f>
        <v>0</v>
      </c>
      <c r="AG9" s="212">
        <f t="shared" ref="AG9:AG72" si="2">IF($AI9&lt;&gt;"non-visibile",IF($AL9&gt;$AI9,1,0),"")</f>
        <v>0</v>
      </c>
      <c r="AH9" s="213" t="s">
        <v>147</v>
      </c>
      <c r="AI9" s="235">
        <f>IFERROR(GETPIVOTDATA("TOTALE ORE",'Altre Tabelle di dettaglio'!$AP$5,"Fornitore .",AH9),"non-visibile")</f>
        <v>150</v>
      </c>
      <c r="AJ9" s="235">
        <f>IF($AI9&lt;&gt;"non-visibile",'BUDGET STUDI -  IPOTESI 1'!$D5,"non-visibile")</f>
        <v>0</v>
      </c>
      <c r="AK9" s="235">
        <f>IF($Y9&lt;&gt;"non-visibile",'BUDGET STUDI -  IPOTESI 1'!$C5,"non-visibile")</f>
        <v>0</v>
      </c>
      <c r="AL9" s="211">
        <f>IFERROR(GETPIVOTDATA("Actual ORE ripartito",'Altre Tabelle di dettaglio'!$BK$5,"Fornitore .",AH9),"non-visibile")</f>
        <v>45.428571428571431</v>
      </c>
      <c r="AM9" s="212">
        <f t="shared" ref="AM9:AM11" si="3">AG9</f>
        <v>0</v>
      </c>
    </row>
    <row r="10" spans="6:50" ht="32.25" customHeight="1" thickBot="1" x14ac:dyDescent="0.35">
      <c r="F10" s="214" t="s">
        <v>179</v>
      </c>
      <c r="G10" s="215" t="s">
        <v>180</v>
      </c>
      <c r="H10" s="216" t="s">
        <v>181</v>
      </c>
      <c r="I10" s="217" t="s">
        <v>182</v>
      </c>
      <c r="J10" s="216" t="s">
        <v>180</v>
      </c>
      <c r="K10" s="216" t="s">
        <v>181</v>
      </c>
      <c r="L10" s="217" t="s">
        <v>182</v>
      </c>
      <c r="M10" s="218" t="s">
        <v>183</v>
      </c>
      <c r="N10" s="218" t="s">
        <v>184</v>
      </c>
      <c r="O10" s="219" t="s">
        <v>185</v>
      </c>
      <c r="P10" s="660"/>
      <c r="Q10" s="651"/>
      <c r="R10" s="640"/>
      <c r="S10" s="651"/>
      <c r="T10" s="640"/>
      <c r="U10" s="651"/>
      <c r="W10" s="205">
        <f t="shared" si="0"/>
        <v>0</v>
      </c>
      <c r="X10" s="276" t="s">
        <v>149</v>
      </c>
      <c r="Y10" s="206">
        <f>IFERROR(GETPIVOTDATA("BUDGET STIMATO ORE",'Altre Tabelle di dettaglio'!$B$5,"Fornitore .",X10),"non-visibile")</f>
        <v>0</v>
      </c>
      <c r="Z10" s="206">
        <f>IFERROR(GETPIVOTDATA("BUDGET STIMATO LUMP SUM",'Altre Tabelle di dettaglio'!$V$5,"Fornitore .",X10),"non-visibile")</f>
        <v>10000</v>
      </c>
      <c r="AA10" s="279">
        <f>IF($Y10&lt;&gt;"non-visibile",'BUDGET STUDI -  IPOTESI 1'!$F6,"non-visibile")</f>
        <v>0</v>
      </c>
      <c r="AB10" s="279">
        <f>IF($Y10&lt;&gt;"non-visibile",'BUDGET STUDI -  IPOTESI 1'!$E6,"non-visibile")</f>
        <v>0</v>
      </c>
      <c r="AC10" s="207">
        <f>IFERROR(GETPIVOTDATA("Actual EURO ripartito",'Altre Tabelle di dettaglio'!$CH$5,"Fornitore .",X10),"non-visibile")</f>
        <v>0</v>
      </c>
      <c r="AD10" s="208">
        <f>IFERROR(GETPIVOTDATA("Actual LUMP ripartito",'Altre Tabelle di dettaglio'!$DC$5,"Fornitore .",X10),"non-visibile")</f>
        <v>1</v>
      </c>
      <c r="AE10" s="205">
        <f t="shared" si="1"/>
        <v>0</v>
      </c>
      <c r="AG10" s="212">
        <f t="shared" si="2"/>
        <v>0</v>
      </c>
      <c r="AH10" s="213" t="s">
        <v>149</v>
      </c>
      <c r="AI10" s="235">
        <f>IFERROR(GETPIVOTDATA("TOTALE ORE",'Altre Tabelle di dettaglio'!$AP$5,"Fornitore .",AH10),"non-visibile")</f>
        <v>0</v>
      </c>
      <c r="AJ10" s="235">
        <f>IF($AI10&lt;&gt;"non-visibile",'BUDGET STUDI -  IPOTESI 1'!$D6,"non-visibile")</f>
        <v>0</v>
      </c>
      <c r="AK10" s="235">
        <f>IF($Y10&lt;&gt;"non-visibile",'BUDGET STUDI -  IPOTESI 1'!$C6,"non-visibile")</f>
        <v>0</v>
      </c>
      <c r="AL10" s="211">
        <f>IFERROR(GETPIVOTDATA("Actual ORE ripartito",'Altre Tabelle di dettaglio'!$BK$5,"Fornitore .",AH10),"non-visibile")</f>
        <v>0</v>
      </c>
      <c r="AM10" s="212">
        <f t="shared" si="3"/>
        <v>0</v>
      </c>
    </row>
    <row r="11" spans="6:50" ht="16.5" thickTop="1" x14ac:dyDescent="0.25">
      <c r="F11" s="220" t="s">
        <v>266</v>
      </c>
      <c r="G11" s="221" t="str">
        <f>IFERROR(GETPIVOTDATA("TOTALE ORE",'Altre Tabelle di dettaglio'!$AP$5,"Ingegneria di competenza","Baldanza"),"non-visibile")</f>
        <v>non-visibile</v>
      </c>
      <c r="H11" s="222" t="str">
        <f>IFERROR(GETPIVOTDATA("BUDGET STIMATO ORE",'Altre Tabelle di dettaglio'!$B$5,"Ingegneria di competenza","Baldanza"),"non-visibile")</f>
        <v>non-visibile</v>
      </c>
      <c r="I11" s="223" t="str">
        <f>IFERROR(GETPIVOTDATA("BUDGET STIMATO LUMP SUM",'Altre Tabelle di dettaglio'!$V$5,"Ingegneria di competenza","Baldanza"),"non-visibile")</f>
        <v>non-visibile</v>
      </c>
      <c r="J11" s="221" t="str">
        <f>IF($G$11&lt;&gt;"non-visibile",'BDG 2023'!E4,"non-visibile")</f>
        <v>non-visibile</v>
      </c>
      <c r="K11" s="224" t="str">
        <f>IF($G$11&lt;&gt;"non-visibile",'BDG 2023'!G4,"non-visibile")</f>
        <v>non-visibile</v>
      </c>
      <c r="L11" s="225" t="str">
        <f>IF($G$11&lt;&gt;"non-visibile",'BDG 2023'!F4,"non-visibile")</f>
        <v>non-visibile</v>
      </c>
      <c r="M11" s="226" t="str">
        <f>IFERROR(GETPIVOTDATA("Actual ORE ripartito",'Altre Tabelle di dettaglio'!$BK$5,"Ingegneria di competenza","Baldanza"),"non-visibile")</f>
        <v>non-visibile</v>
      </c>
      <c r="N11" s="222" t="str">
        <f>IFERROR(GETPIVOTDATA("Actual EURO ripartito",'Altre Tabelle di dettaglio'!$CH$5,"Ingegneria di competenza","Baldanza"),"non-visibile")</f>
        <v>non-visibile</v>
      </c>
      <c r="O11" s="227" t="str">
        <f>IFERROR(GETPIVOTDATA("Actual LUMP ripartito",'Altre Tabelle di dettaglio'!$DC$5,"Ingegneria di competenza","Baldanza"),"non-visibile")</f>
        <v>non-visibile</v>
      </c>
      <c r="P11" s="228" t="str">
        <f>IF($G11&lt;&gt;"non-visibile",IFERROR(J11-0,0),"non-visibile")</f>
        <v>non-visibile</v>
      </c>
      <c r="Q11" s="229" t="str">
        <f>IF($G11&lt;&gt;"non-visibile",IFERROR(SUMIF('2023 sintesi '!$I$19:$I$226,REPORTISTICA!F11,'2023 sintesi '!$AJ$19:$AJ$226),""),"non-visibile")</f>
        <v>non-visibile</v>
      </c>
      <c r="R11" s="230" t="str">
        <f>IF($G11&lt;&gt;"non-visibile",IFERROR(K11-0,0),"non-visibile")</f>
        <v>non-visibile</v>
      </c>
      <c r="S11" s="231" t="str">
        <f>IF($G11&lt;&gt;"non-visibile",IFERROR(SUMIF('2023 sintesi '!$I$19:$I$226,REPORTISTICA!F11,'2023 sintesi '!$AK$19:$AK$226),""),"non-visibile")</f>
        <v>non-visibile</v>
      </c>
      <c r="T11" s="230" t="str">
        <f>IF($G11&lt;&gt;"non-visibile",IFERROR(L11-0,0),"non-visibile")</f>
        <v>non-visibile</v>
      </c>
      <c r="U11" s="231" t="str">
        <f>IF($G11&lt;&gt;"non-visibile",IFERROR(SUMIF('2023 sintesi '!$I$19:$I$226,REPORTISTICA!F11,'2023 sintesi '!$AL$19:$AL$226),""),"non-visibile")</f>
        <v>non-visibile</v>
      </c>
      <c r="W11" s="205">
        <f t="shared" si="0"/>
        <v>0</v>
      </c>
      <c r="X11" s="276" t="s">
        <v>151</v>
      </c>
      <c r="Y11" s="206">
        <f>IFERROR(GETPIVOTDATA("BUDGET STIMATO ORE",'Altre Tabelle di dettaglio'!$B$5,"Fornitore .",X11),"non-visibile")</f>
        <v>0</v>
      </c>
      <c r="Z11" s="206">
        <f>IFERROR(GETPIVOTDATA("BUDGET STIMATO LUMP SUM",'Altre Tabelle di dettaglio'!$V$5,"Fornitore .",X11),"non-visibile")</f>
        <v>5000</v>
      </c>
      <c r="AA11" s="279">
        <f>IF($Y11&lt;&gt;"non-visibile",'BUDGET STUDI -  IPOTESI 1'!$F7,"non-visibile")</f>
        <v>0</v>
      </c>
      <c r="AB11" s="279">
        <f>IF($Y11&lt;&gt;"non-visibile",'BUDGET STUDI -  IPOTESI 1'!$E7,"non-visibile")</f>
        <v>0</v>
      </c>
      <c r="AC11" s="207">
        <f>IFERROR(GETPIVOTDATA("Actual EURO ripartito",'Altre Tabelle di dettaglio'!$CH$5,"Fornitore .",X11),"non-visibile")</f>
        <v>0</v>
      </c>
      <c r="AD11" s="208">
        <f>IFERROR(GETPIVOTDATA("Actual LUMP ripartito",'Altre Tabelle di dettaglio'!$DC$5,"Fornitore .",X11),"non-visibile")</f>
        <v>2</v>
      </c>
      <c r="AE11" s="205">
        <f t="shared" si="1"/>
        <v>0</v>
      </c>
      <c r="AG11" s="212">
        <f t="shared" si="2"/>
        <v>0</v>
      </c>
      <c r="AH11" s="213" t="s">
        <v>151</v>
      </c>
      <c r="AI11" s="235">
        <f>IFERROR(GETPIVOTDATA("TOTALE ORE",'Altre Tabelle di dettaglio'!$AP$5,"Fornitore .",AH11),"non-visibile")</f>
        <v>0</v>
      </c>
      <c r="AJ11" s="235">
        <f>IF($AI11&lt;&gt;"non-visibile",'BUDGET STUDI -  IPOTESI 1'!$D7,"non-visibile")</f>
        <v>0</v>
      </c>
      <c r="AK11" s="235">
        <f>IF($Y11&lt;&gt;"non-visibile",'BUDGET STUDI -  IPOTESI 1'!$C7,"non-visibile")</f>
        <v>0</v>
      </c>
      <c r="AL11" s="211">
        <f>IFERROR(GETPIVOTDATA("Actual ORE ripartito",'Altre Tabelle di dettaglio'!$BK$5,"Fornitore .",AH11),"non-visibile")</f>
        <v>0</v>
      </c>
      <c r="AM11" s="212">
        <f t="shared" si="3"/>
        <v>0</v>
      </c>
    </row>
    <row r="12" spans="6:50" ht="15.75" x14ac:dyDescent="0.25">
      <c r="F12" s="232" t="s">
        <v>267</v>
      </c>
      <c r="G12" s="221" t="str">
        <f>IFERROR(GETPIVOTDATA("TOTALE ORE",'Altre Tabelle di dettaglio'!$AP$5,"Ingegneria di competenza","Ferrari"),"non-visibile")</f>
        <v>non-visibile</v>
      </c>
      <c r="H12" s="222" t="str">
        <f>IFERROR(GETPIVOTDATA("BUDGET STIMATO ORE",'Altre Tabelle di dettaglio'!$B$5,"Ingegneria di competenza","Ferrari"),"non-visibile")</f>
        <v>non-visibile</v>
      </c>
      <c r="I12" s="223" t="str">
        <f>IFERROR(GETPIVOTDATA("BUDGET STIMATO LUMP SUM",'Altre Tabelle di dettaglio'!$V$5,"Ingegneria di competenza","Ferrari"),"non-visibile")</f>
        <v>non-visibile</v>
      </c>
      <c r="J12" s="221" t="str">
        <f>IF($G$12&lt;&gt;"non-visibile",'BDG 2023'!E6,"non-visibile")</f>
        <v>non-visibile</v>
      </c>
      <c r="K12" s="224" t="str">
        <f>IF($G$12&lt;&gt;"non-visibile",'BDG 2023'!G6,"non-visibile")</f>
        <v>non-visibile</v>
      </c>
      <c r="L12" s="225" t="str">
        <f>IF($G$12&lt;&gt;"non-visibile",'BDG 2023'!F6,"non-visibile")</f>
        <v>non-visibile</v>
      </c>
      <c r="M12" s="226" t="str">
        <f>IFERROR(GETPIVOTDATA("Actual ORE ripartito",'Altre Tabelle di dettaglio'!$BK$5,"Ingegneria di competenza","Ferrari"),"non-visibile")</f>
        <v>non-visibile</v>
      </c>
      <c r="N12" s="222" t="str">
        <f>IFERROR(GETPIVOTDATA("Actual EURO ripartito",'Altre Tabelle di dettaglio'!$CH$5,"Ingegneria di competenza","Ferrari"),"non-visibile")</f>
        <v>non-visibile</v>
      </c>
      <c r="O12" s="227" t="str">
        <f>IFERROR(GETPIVOTDATA("Actual LUMP ripartito",'Altre Tabelle di dettaglio'!$DC$5,"Ingegneria di competenza","Ferrari"),"non-visibile")</f>
        <v>non-visibile</v>
      </c>
      <c r="P12" s="228" t="str">
        <f>IF($G12&lt;&gt;"non-visibile",IFERROR(J12-0,0),"non-visibile")</f>
        <v>non-visibile</v>
      </c>
      <c r="Q12" s="229" t="str">
        <f>IF($G12&lt;&gt;"non-visibile",IFERROR(SUMIF('2023 sintesi '!$I$19:$I$226,REPORTISTICA!F12,'2023 sintesi '!$AJ$19:$AJ$226),""),"non-visibile")</f>
        <v>non-visibile</v>
      </c>
      <c r="R12" s="230" t="str">
        <f>IF($G12&lt;&gt;"non-visibile",IFERROR(K12-0,0),"non-visibile")</f>
        <v>non-visibile</v>
      </c>
      <c r="S12" s="231" t="str">
        <f>IF($G12&lt;&gt;"non-visibile",IFERROR(SUMIF('2023 sintesi '!$I$19:$I$226,REPORTISTICA!F12,'2023 sintesi '!$AK$19:$AK$226),""),"non-visibile")</f>
        <v>non-visibile</v>
      </c>
      <c r="T12" s="230" t="str">
        <f>IF($G12&lt;&gt;"non-visibile",IFERROR(L12-0,0),"non-visibile")</f>
        <v>non-visibile</v>
      </c>
      <c r="U12" s="231" t="str">
        <f>IF($G12&lt;&gt;"non-visibile",IFERROR(SUMIF('2023 sintesi '!$I$19:$I$226,REPORTISTICA!F12,'2023 sintesi '!$AL$19:$AL$226),""),"non-visibile")</f>
        <v>non-visibile</v>
      </c>
      <c r="W12" s="205">
        <f t="shared" si="0"/>
        <v>0</v>
      </c>
      <c r="X12" s="276" t="s">
        <v>153</v>
      </c>
      <c r="Y12" s="206">
        <f>IFERROR(GETPIVOTDATA("BUDGET STIMATO ORE",'Altre Tabelle di dettaglio'!$B$5,"Fornitore .",X12),"non-visibile")</f>
        <v>0</v>
      </c>
      <c r="Z12" s="206">
        <f>IFERROR(GETPIVOTDATA("BUDGET STIMATO LUMP SUM",'Altre Tabelle di dettaglio'!$V$5,"Fornitore .",X12),"non-visibile")</f>
        <v>7500</v>
      </c>
      <c r="AA12" s="279">
        <f>IF($Y12&lt;&gt;"non-visibile",'BUDGET STUDI -  IPOTESI 1'!$F8,"non-visibile")</f>
        <v>0</v>
      </c>
      <c r="AB12" s="279">
        <f>IF($Y12&lt;&gt;"non-visibile",'BUDGET STUDI -  IPOTESI 1'!$E8,"non-visibile")</f>
        <v>0</v>
      </c>
      <c r="AC12" s="207">
        <f>IFERROR(GETPIVOTDATA("Actual EURO ripartito",'Altre Tabelle di dettaglio'!$CH$5,"Fornitore .",X12),"non-visibile")</f>
        <v>0</v>
      </c>
      <c r="AD12" s="208">
        <f>IFERROR(GETPIVOTDATA("Actual LUMP ripartito",'Altre Tabelle di dettaglio'!$DC$5,"Fornitore .",X12),"non-visibile")</f>
        <v>1</v>
      </c>
      <c r="AE12" s="205">
        <f t="shared" si="1"/>
        <v>0</v>
      </c>
      <c r="AG12" s="212">
        <f t="shared" si="2"/>
        <v>0</v>
      </c>
      <c r="AH12" s="213" t="s">
        <v>153</v>
      </c>
      <c r="AI12" s="235">
        <f>IFERROR(GETPIVOTDATA("TOTALE ORE",'Altre Tabelle di dettaglio'!$AP$5,"Fornitore .",AH12),"non-visibile")</f>
        <v>0</v>
      </c>
      <c r="AJ12" s="235">
        <f>IF($AI12&lt;&gt;"non-visibile",'BUDGET STUDI -  IPOTESI 1'!$D8,"non-visibile")</f>
        <v>0</v>
      </c>
      <c r="AK12" s="235">
        <f>IF($Y12&lt;&gt;"non-visibile",'BUDGET STUDI -  IPOTESI 1'!$C8,"non-visibile")</f>
        <v>0</v>
      </c>
      <c r="AL12" s="211">
        <f>IFERROR(GETPIVOTDATA("Actual ORE ripartito",'Altre Tabelle di dettaglio'!$BK$5,"Fornitore .",AH12),"non-visibile")</f>
        <v>0</v>
      </c>
      <c r="AM12" s="212">
        <f>AG12</f>
        <v>0</v>
      </c>
    </row>
    <row r="13" spans="6:50" ht="15.75" x14ac:dyDescent="0.25">
      <c r="F13" s="232" t="s">
        <v>268</v>
      </c>
      <c r="G13" s="221" t="str">
        <f>IFERROR(GETPIVOTDATA("TOTALE ORE",'Altre Tabelle di dettaglio'!$AP$5,"Ingegneria di competenza","Fortini"),"non-visibile")</f>
        <v>non-visibile</v>
      </c>
      <c r="H13" s="222" t="str">
        <f>IFERROR(GETPIVOTDATA("BUDGET STIMATO ORE",'Altre Tabelle di dettaglio'!$B$5,"Ingegneria di competenza","Fortini"),"non-visibile")</f>
        <v>non-visibile</v>
      </c>
      <c r="I13" s="223" t="str">
        <f>IFERROR(GETPIVOTDATA("BUDGET STIMATO LUMP SUM",'Altre Tabelle di dettaglio'!$V$5,"Ingegneria di competenza","Fortini"),"non-visibile")</f>
        <v>non-visibile</v>
      </c>
      <c r="J13" s="221" t="str">
        <f>IF($G$13&lt;&gt;"non-visibile",'BDG 2023'!E7,"non-visibile")</f>
        <v>non-visibile</v>
      </c>
      <c r="K13" s="224" t="str">
        <f>IF($G$13&lt;&gt;"non-visibile",'BDG 2023'!G7,"non-visibile")</f>
        <v>non-visibile</v>
      </c>
      <c r="L13" s="225" t="str">
        <f>IF($G$13&lt;&gt;"non-visibile",'BDG 2023'!F7,"non-visibile")</f>
        <v>non-visibile</v>
      </c>
      <c r="M13" s="226" t="str">
        <f>IFERROR(GETPIVOTDATA("Actual ORE ripartito",'Altre Tabelle di dettaglio'!$BK$5,"Ingegneria di competenza","Fortini"),"non-visibile")</f>
        <v>non-visibile</v>
      </c>
      <c r="N13" s="222" t="str">
        <f>IFERROR(GETPIVOTDATA("Actual EURO ripartito",'Altre Tabelle di dettaglio'!$CH$5,"Ingegneria di competenza","Fortini"),"non-visibile")</f>
        <v>non-visibile</v>
      </c>
      <c r="O13" s="227" t="str">
        <f>IFERROR(GETPIVOTDATA("Actual LUMP ripartito",'Altre Tabelle di dettaglio'!$DC$5,"Ingegneria di competenza","Fortini"),"non-visibile")</f>
        <v>non-visibile</v>
      </c>
      <c r="P13" s="228" t="str">
        <f>IF($G13&lt;&gt;"non-visibile",IFERROR(J13-33,0),"non-visibile")</f>
        <v>non-visibile</v>
      </c>
      <c r="Q13" s="229" t="str">
        <f>IF($G13&lt;&gt;"non-visibile",IFERROR(SUMIF('2023 sintesi '!$I$19:$I$226,REPORTISTICA!F13,'2023 sintesi '!$AJ$19:$AJ$226),""),"non-visibile")</f>
        <v>non-visibile</v>
      </c>
      <c r="R13" s="230" t="str">
        <f>IF($G13&lt;&gt;"non-visibile",IFERROR(K13-33,0),"non-visibile")</f>
        <v>non-visibile</v>
      </c>
      <c r="S13" s="231" t="str">
        <f>IF($G13&lt;&gt;"non-visibile",IFERROR(SUMIF('2023 sintesi '!$I$19:$I$226,REPORTISTICA!F13,'2023 sintesi '!$AK$19:$AK$226),""),"non-visibile")</f>
        <v>non-visibile</v>
      </c>
      <c r="T13" s="230" t="str">
        <f>IF($G13&lt;&gt;"non-visibile",IFERROR(L13-0,0),"non-visibile")</f>
        <v>non-visibile</v>
      </c>
      <c r="U13" s="231" t="str">
        <f>IF($G13&lt;&gt;"non-visibile",IFERROR(SUMIF('2023 sintesi '!$I$19:$I$226,REPORTISTICA!F13,'2023 sintesi '!$AL$19:$AL$226),""),"non-visibile")</f>
        <v>non-visibile</v>
      </c>
      <c r="W13" s="205">
        <f t="shared" si="0"/>
        <v>0</v>
      </c>
      <c r="X13" s="276" t="s">
        <v>155</v>
      </c>
      <c r="Y13" s="206">
        <f>IFERROR(GETPIVOTDATA("BUDGET STIMATO ORE",'Altre Tabelle di dettaglio'!$B$5,"Fornitore .",X13),"non-visibile")</f>
        <v>0</v>
      </c>
      <c r="Z13" s="206">
        <f>IFERROR(GETPIVOTDATA("BUDGET STIMATO LUMP SUM",'Altre Tabelle di dettaglio'!$V$5,"Fornitore .",X13),"non-visibile")</f>
        <v>22240</v>
      </c>
      <c r="AA13" s="279">
        <f>IF($Y13&lt;&gt;"non-visibile",'BUDGET STUDI -  IPOTESI 1'!$F9,"non-visibile")</f>
        <v>0</v>
      </c>
      <c r="AB13" s="279">
        <f>IF($Y13&lt;&gt;"non-visibile",'BUDGET STUDI -  IPOTESI 1'!$E9,"non-visibile")</f>
        <v>0</v>
      </c>
      <c r="AC13" s="207">
        <f>IFERROR(GETPIVOTDATA("Actual EURO ripartito",'Altre Tabelle di dettaglio'!$CH$5,"Fornitore .",X13),"non-visibile")</f>
        <v>0</v>
      </c>
      <c r="AD13" s="208">
        <f>IFERROR(GETPIVOTDATA("Actual LUMP ripartito",'Altre Tabelle di dettaglio'!$DC$5,"Fornitore .",X13),"non-visibile")</f>
        <v>0</v>
      </c>
      <c r="AE13" s="205">
        <f t="shared" si="1"/>
        <v>0</v>
      </c>
      <c r="AG13" s="212">
        <f t="shared" si="2"/>
        <v>0</v>
      </c>
      <c r="AH13" s="213" t="s">
        <v>155</v>
      </c>
      <c r="AI13" s="235">
        <f>IFERROR(GETPIVOTDATA("TOTALE ORE",'Altre Tabelle di dettaglio'!$AP$5,"Fornitore .",AH13),"non-visibile")</f>
        <v>0</v>
      </c>
      <c r="AJ13" s="235">
        <f>IF($AI13&lt;&gt;"non-visibile",'BUDGET STUDI -  IPOTESI 1'!$D9,"non-visibile")</f>
        <v>0</v>
      </c>
      <c r="AK13" s="235">
        <f>IF($Y13&lt;&gt;"non-visibile",'BUDGET STUDI -  IPOTESI 1'!$C9,"non-visibile")</f>
        <v>0</v>
      </c>
      <c r="AL13" s="211">
        <f>IFERROR(GETPIVOTDATA("Actual ORE ripartito",'Altre Tabelle di dettaglio'!$BK$5,"Fornitore .",AH13),"non-visibile")</f>
        <v>0</v>
      </c>
      <c r="AM13" s="212">
        <f t="shared" ref="AM13:AM21" si="4">AG13</f>
        <v>0</v>
      </c>
    </row>
    <row r="14" spans="6:50" ht="15.75" x14ac:dyDescent="0.25">
      <c r="F14" s="232" t="s">
        <v>269</v>
      </c>
      <c r="G14" s="221" t="str">
        <f>IFERROR(GETPIVOTDATA("TOTALE ORE",'Altre Tabelle di dettaglio'!$AP$5,"Ingegneria di competenza","Guidotti"),"non-visibile")</f>
        <v>non-visibile</v>
      </c>
      <c r="H14" s="222" t="str">
        <f>IFERROR(GETPIVOTDATA("BUDGET STIMATO ORE",'Altre Tabelle di dettaglio'!$B$5,"Ingegneria di competenza","Guidotti"),"non-visibile")</f>
        <v>non-visibile</v>
      </c>
      <c r="I14" s="223" t="str">
        <f>IFERROR(GETPIVOTDATA("BUDGET STIMATO LUMP SUM",'Altre Tabelle di dettaglio'!$V$5,"Ingegneria di competenza","Guidotti"),"non-visibile")</f>
        <v>non-visibile</v>
      </c>
      <c r="J14" s="221" t="str">
        <f>IF($G$14&lt;&gt;"non-visibile",'BDG 2023'!E8,"non-visibile")</f>
        <v>non-visibile</v>
      </c>
      <c r="K14" s="224" t="str">
        <f>IF($G$14&lt;&gt;"non-visibile",'BDG 2023'!G8,"non-visibile")</f>
        <v>non-visibile</v>
      </c>
      <c r="L14" s="225" t="str">
        <f>IF($G$14&lt;&gt;"non-visibile",'BDG 2023'!F8,"non-visibile")</f>
        <v>non-visibile</v>
      </c>
      <c r="M14" s="226" t="str">
        <f>IFERROR(GETPIVOTDATA("Actual ORE ripartito",'Altre Tabelle di dettaglio'!$BK$5,"Ingegneria di competenza","Guidotti"),"non-visibile")</f>
        <v>non-visibile</v>
      </c>
      <c r="N14" s="222" t="str">
        <f>IFERROR(GETPIVOTDATA("Actual EURO ripartito",'Altre Tabelle di dettaglio'!$CH$5,"Ingegneria di competenza","Guidotti"),"non-visibile")</f>
        <v>non-visibile</v>
      </c>
      <c r="O14" s="227" t="str">
        <f>IFERROR(GETPIVOTDATA("Actual LUMP ripartito",'Altre Tabelle di dettaglio'!$DC$5,"Ingegneria di competenza","Guidotti"),"non-visibile")</f>
        <v>non-visibile</v>
      </c>
      <c r="P14" s="228" t="str">
        <f>IF($G14&lt;&gt;"non-visibile",IFERROR(J14-0,0),"non-visibile")</f>
        <v>non-visibile</v>
      </c>
      <c r="Q14" s="229" t="str">
        <f>IF($G14&lt;&gt;"non-visibile",IFERROR(SUMIF('2023 sintesi '!$I$19:$I$226,REPORTISTICA!F14,'2023 sintesi '!$AJ$19:$AJ$226),""),"non-visibile")</f>
        <v>non-visibile</v>
      </c>
      <c r="R14" s="230" t="str">
        <f>IF($G14&lt;&gt;"non-visibile",IFERROR(K14-0,0),"non-visibile")</f>
        <v>non-visibile</v>
      </c>
      <c r="S14" s="231" t="str">
        <f>IF($G14&lt;&gt;"non-visibile",IFERROR(SUMIF('2023 sintesi '!$I$19:$I$226,REPORTISTICA!F14,'2023 sintesi '!$AK$19:$AK$226),""),"non-visibile")</f>
        <v>non-visibile</v>
      </c>
      <c r="T14" s="230" t="str">
        <f>IF($G14&lt;&gt;"non-visibile",IFERROR(L14-0,0),"non-visibile")</f>
        <v>non-visibile</v>
      </c>
      <c r="U14" s="231" t="str">
        <f>IF($G14&lt;&gt;"non-visibile",IFERROR(SUMIF('2023 sintesi '!$I$19:$I$226,REPORTISTICA!F14,'2023 sintesi '!$AL$19:$AL$226),""),"non-visibile")</f>
        <v>non-visibile</v>
      </c>
      <c r="W14" s="205">
        <f t="shared" si="0"/>
        <v>0</v>
      </c>
      <c r="X14" s="277" t="s">
        <v>131</v>
      </c>
      <c r="Y14" s="206">
        <f>IFERROR(GETPIVOTDATA("BUDGET STIMATO ORE",'Altre Tabelle di dettaglio'!$B$5,"Fornitore .",X14),"non-visibile")</f>
        <v>300</v>
      </c>
      <c r="Z14" s="206">
        <f>IFERROR(GETPIVOTDATA("BUDGET STIMATO LUMP SUM",'Altre Tabelle di dettaglio'!$V$5,"Fornitore .",X14),"non-visibile")</f>
        <v>6880</v>
      </c>
      <c r="AA14" s="279">
        <f>IF($Y14&lt;&gt;"non-visibile",'BUDGET STUDI -  IPOTESI 1'!$F10,"non-visibile")</f>
        <v>0</v>
      </c>
      <c r="AB14" s="279">
        <f>IF($Y14&lt;&gt;"non-visibile",'BUDGET STUDI -  IPOTESI 1'!$E10,"non-visibile")</f>
        <v>0</v>
      </c>
      <c r="AC14" s="207">
        <f>IFERROR(GETPIVOTDATA("Actual EURO ripartito",'Altre Tabelle di dettaglio'!$CH$5,"Fornitore .",X14),"non-visibile")</f>
        <v>107.00000000000001</v>
      </c>
      <c r="AD14" s="208">
        <f>IFERROR(GETPIVOTDATA("Actual LUMP ripartito",'Altre Tabelle di dettaglio'!$DC$5,"Fornitore .",X14),"non-visibile")</f>
        <v>2.9999999999999996</v>
      </c>
      <c r="AE14" s="205">
        <f t="shared" si="1"/>
        <v>0</v>
      </c>
      <c r="AG14" s="212">
        <f t="shared" si="2"/>
        <v>0</v>
      </c>
      <c r="AH14" s="233" t="s">
        <v>131</v>
      </c>
      <c r="AI14" s="235">
        <f>IFERROR(GETPIVOTDATA("TOTALE ORE",'Altre Tabelle di dettaglio'!$AP$5,"Fornitore .",AH14),"non-visibile")</f>
        <v>300</v>
      </c>
      <c r="AJ14" s="235">
        <f>IF($AI14&lt;&gt;"non-visibile",'BUDGET STUDI -  IPOTESI 1'!$D10,"non-visibile")</f>
        <v>0</v>
      </c>
      <c r="AK14" s="235">
        <f>IF($Y14&lt;&gt;"non-visibile",'BUDGET STUDI -  IPOTESI 1'!$C10,"non-visibile")</f>
        <v>0</v>
      </c>
      <c r="AL14" s="211">
        <f>IFERROR(GETPIVOTDATA("Actual ORE ripartito",'Altre Tabelle di dettaglio'!$BK$5,"Fornitore .",AH14),"non-visibile")</f>
        <v>107.00000000000001</v>
      </c>
      <c r="AM14" s="212">
        <f t="shared" si="4"/>
        <v>0</v>
      </c>
    </row>
    <row r="15" spans="6:50" ht="15.75" x14ac:dyDescent="0.25">
      <c r="F15" s="232" t="s">
        <v>270</v>
      </c>
      <c r="G15" s="221" t="str">
        <f>IFERROR(GETPIVOTDATA("TOTALE ORE",'Altre Tabelle di dettaglio'!$AP$5,"Ingegneria di competenza","Lanzarini"),"non-visibile")</f>
        <v>non-visibile</v>
      </c>
      <c r="H15" s="222" t="str">
        <f>IFERROR(GETPIVOTDATA("BUDGET STIMATO ORE",'Altre Tabelle di dettaglio'!$B$5,"Ingegneria di competenza","Lanzarini"),"non-visibile")</f>
        <v>non-visibile</v>
      </c>
      <c r="I15" s="223" t="str">
        <f>IFERROR(GETPIVOTDATA("BUDGET STIMATO LUMP SUM",'Altre Tabelle di dettaglio'!$V$5,"Ingegneria di competenza","Lanzarini"),"non-visibile")</f>
        <v>non-visibile</v>
      </c>
      <c r="J15" s="221" t="str">
        <f>IF($G$15&lt;&gt;"non-visibile",'BDG 2023'!E17,"non-visibile")</f>
        <v>non-visibile</v>
      </c>
      <c r="K15" s="224" t="str">
        <f>IF($G$15&lt;&gt;"non-visibile",'BDG 2023'!G17,"non-visibile")</f>
        <v>non-visibile</v>
      </c>
      <c r="L15" s="225" t="str">
        <f>IF($G$15&lt;&gt;"non-visibile",'BDG 2023'!F17,"non-visibile")</f>
        <v>non-visibile</v>
      </c>
      <c r="M15" s="226" t="str">
        <f>IFERROR(GETPIVOTDATA("Actual ORE ripartito",'Altre Tabelle di dettaglio'!$BK$5,"Ingegneria di competenza","Lanzarini"),"non-visibile")</f>
        <v>non-visibile</v>
      </c>
      <c r="N15" s="222" t="str">
        <f>IFERROR(GETPIVOTDATA("Actual EURO ripartito",'Altre Tabelle di dettaglio'!$CH$5,"Ingegneria di competenza","Lanzarini"),"non-visibile")</f>
        <v>non-visibile</v>
      </c>
      <c r="O15" s="227" t="str">
        <f>IFERROR(GETPIVOTDATA("Actual LUMP ripartito",'Altre Tabelle di dettaglio'!$DC$5,"Ingegneria di competenza","Lanzarini"),"non-visibile")</f>
        <v>non-visibile</v>
      </c>
      <c r="P15" s="228" t="str">
        <f>IF($G15&lt;&gt;"non-visibile",IFERROR(J15-0,0),"non-visibile")</f>
        <v>non-visibile</v>
      </c>
      <c r="Q15" s="229" t="str">
        <f>IF($G15&lt;&gt;"non-visibile",IFERROR(SUMIF('2023 sintesi '!$I$19:$I$226,REPORTISTICA!F15,'2023 sintesi '!$AJ$19:$AJ$226),""),"non-visibile")</f>
        <v>non-visibile</v>
      </c>
      <c r="R15" s="230" t="str">
        <f>IF($G15&lt;&gt;"non-visibile",IFERROR(K15-0,0),"non-visibile")</f>
        <v>non-visibile</v>
      </c>
      <c r="S15" s="231" t="str">
        <f>IF($G15&lt;&gt;"non-visibile",IFERROR(SUMIF('2023 sintesi '!$I$19:$I$226,REPORTISTICA!F15,'2023 sintesi '!$AK$19:$AK$226),""),"non-visibile")</f>
        <v>non-visibile</v>
      </c>
      <c r="T15" s="230" t="str">
        <f>IF($G15&lt;&gt;"non-visibile",IFERROR(L15-0,0),"non-visibile")</f>
        <v>non-visibile</v>
      </c>
      <c r="U15" s="231" t="str">
        <f>IF($G15&lt;&gt;"non-visibile",IFERROR(SUMIF('2023 sintesi '!$I$19:$I$226,REPORTISTICA!F15,'2023 sintesi '!$AL$19:$AL$226),""),"non-visibile")</f>
        <v>non-visibile</v>
      </c>
      <c r="W15" s="205">
        <f t="shared" si="0"/>
        <v>0</v>
      </c>
      <c r="X15" s="277" t="s">
        <v>133</v>
      </c>
      <c r="Y15" s="206">
        <f>IFERROR(GETPIVOTDATA("BUDGET STIMATO ORE",'Altre Tabelle di dettaglio'!$B$5,"Fornitore .",X15),"non-visibile")</f>
        <v>2880</v>
      </c>
      <c r="Z15" s="206">
        <f>IFERROR(GETPIVOTDATA("BUDGET STIMATO LUMP SUM",'Altre Tabelle di dettaglio'!$V$5,"Fornitore .",X15),"non-visibile")</f>
        <v>22500</v>
      </c>
      <c r="AA15" s="279">
        <f>IF($Y15&lt;&gt;"non-visibile",'BUDGET STUDI -  IPOTESI 1'!$F11,"non-visibile")</f>
        <v>0</v>
      </c>
      <c r="AB15" s="279">
        <f>IF($Y15&lt;&gt;"non-visibile",'BUDGET STUDI -  IPOTESI 1'!$E11,"non-visibile")</f>
        <v>0</v>
      </c>
      <c r="AC15" s="207">
        <f>IFERROR(GETPIVOTDATA("Actual EURO ripartito",'Altre Tabelle di dettaglio'!$CH$5,"Fornitore .",X15),"non-visibile")</f>
        <v>41</v>
      </c>
      <c r="AD15" s="208">
        <f>IFERROR(GETPIVOTDATA("Actual LUMP ripartito",'Altre Tabelle di dettaglio'!$DC$5,"Fornitore .",X15),"non-visibile")</f>
        <v>3</v>
      </c>
      <c r="AE15" s="205">
        <f t="shared" si="1"/>
        <v>0</v>
      </c>
      <c r="AG15" s="212">
        <f t="shared" si="2"/>
        <v>0</v>
      </c>
      <c r="AH15" s="233" t="s">
        <v>133</v>
      </c>
      <c r="AI15" s="235">
        <f>IFERROR(GETPIVOTDATA("TOTALE ORE",'Altre Tabelle di dettaglio'!$AP$5,"Fornitore .",AH15),"non-visibile")</f>
        <v>1440</v>
      </c>
      <c r="AJ15" s="235">
        <f>IF($AI15&lt;&gt;"non-visibile",'BUDGET STUDI -  IPOTESI 1'!$D11,"non-visibile")</f>
        <v>0</v>
      </c>
      <c r="AK15" s="235">
        <f>IF($Y15&lt;&gt;"non-visibile",'BUDGET STUDI -  IPOTESI 1'!$C11,"non-visibile")</f>
        <v>0</v>
      </c>
      <c r="AL15" s="211">
        <f>IFERROR(GETPIVOTDATA("Actual ORE ripartito",'Altre Tabelle di dettaglio'!$BK$5,"Fornitore .",AH15),"non-visibile")</f>
        <v>20.5</v>
      </c>
      <c r="AM15" s="212">
        <f t="shared" si="4"/>
        <v>0</v>
      </c>
    </row>
    <row r="16" spans="6:50" ht="15.75" x14ac:dyDescent="0.25">
      <c r="F16" s="232" t="s">
        <v>271</v>
      </c>
      <c r="G16" s="221" t="str">
        <f>IFERROR(GETPIVOTDATA("TOTALE ORE",'Altre Tabelle di dettaglio'!$AP$5,"Ingegneria di competenza","Mengoli"),"non-visibile")</f>
        <v>non-visibile</v>
      </c>
      <c r="H16" s="222" t="str">
        <f>IFERROR(GETPIVOTDATA("BUDGET STIMATO ORE",'Altre Tabelle di dettaglio'!$B$5,"Ingegneria di competenza","Mengoli"),"non-visibile")</f>
        <v>non-visibile</v>
      </c>
      <c r="I16" s="223" t="str">
        <f>IFERROR(GETPIVOTDATA("BUDGET STIMATO LUMP SUM",'Altre Tabelle di dettaglio'!$V$5,"Ingegneria di competenza","Mengoli"),"non-visibile")</f>
        <v>non-visibile</v>
      </c>
      <c r="J16" s="221" t="str">
        <f>IF($G$16&lt;&gt;"non-visibile",'BDG 2023'!E9,"non-visibile")</f>
        <v>non-visibile</v>
      </c>
      <c r="K16" s="224" t="str">
        <f>IF($G$16&lt;&gt;"non-visibile",'BDG 2023'!G9,"non-visibile")</f>
        <v>non-visibile</v>
      </c>
      <c r="L16" s="225" t="str">
        <f>IF($G$16&lt;&gt;"non-visibile",'BDG 2023'!F9,"non-visibile")</f>
        <v>non-visibile</v>
      </c>
      <c r="M16" s="226" t="str">
        <f>IFERROR(GETPIVOTDATA("Actual ORE ripartito",'Altre Tabelle di dettaglio'!$BK$5,"Ingegneria di competenza","Mengoli"),"non-visibile")</f>
        <v>non-visibile</v>
      </c>
      <c r="N16" s="222" t="str">
        <f>IFERROR(GETPIVOTDATA("Actual EURO ripartito",'Altre Tabelle di dettaglio'!$CH$5,"Ingegneria di competenza","Mengoli"),"non-visibile")</f>
        <v>non-visibile</v>
      </c>
      <c r="O16" s="227" t="str">
        <f>IFERROR(GETPIVOTDATA("Actual LUMP ripartito",'Altre Tabelle di dettaglio'!$DC$5,"Ingegneria di competenza","Mengoli"),"non-visibile")</f>
        <v>non-visibile</v>
      </c>
      <c r="P16" s="228" t="str">
        <f>IF($G16&lt;&gt;"non-visibile",IFERROR(J16-0,0),"non-visibile")</f>
        <v>non-visibile</v>
      </c>
      <c r="Q16" s="229" t="str">
        <f>IF($G16&lt;&gt;"non-visibile",IFERROR(SUMIF('2023 sintesi '!$I$19:$I$226,REPORTISTICA!F16,'2023 sintesi '!$AJ$19:$AJ$226),""),"non-visibile")</f>
        <v>non-visibile</v>
      </c>
      <c r="R16" s="230" t="str">
        <f>IF($G16&lt;&gt;"non-visibile",IFERROR(K16-0,0),"non-visibile")</f>
        <v>non-visibile</v>
      </c>
      <c r="S16" s="231" t="str">
        <f>IF($G16&lt;&gt;"non-visibile",IFERROR(SUMIF('2023 sintesi '!$I$19:$I$226,REPORTISTICA!F16,'2023 sintesi '!$AK$19:$AK$226),""),"non-visibile")</f>
        <v>non-visibile</v>
      </c>
      <c r="T16" s="230" t="str">
        <f t="shared" ref="T16:T19" si="5">IF($G16&lt;&gt;"non-visibile",IFERROR(L16-0,0),"non-visibile")</f>
        <v>non-visibile</v>
      </c>
      <c r="U16" s="231" t="str">
        <f>IF($G16&lt;&gt;"non-visibile",IFERROR(SUMIF('2023 sintesi '!$I$19:$I$226,REPORTISTICA!F16,'2023 sintesi '!$AL$19:$AL$226),""),"non-visibile")</f>
        <v>non-visibile</v>
      </c>
      <c r="W16" s="205">
        <f t="shared" si="0"/>
        <v>0</v>
      </c>
      <c r="X16" s="276" t="s">
        <v>135</v>
      </c>
      <c r="Y16" s="206">
        <f>IFERROR(GETPIVOTDATA("BUDGET STIMATO ORE",'Altre Tabelle di dettaglio'!$B$5,"Fornitore .",X16),"non-visibile")</f>
        <v>10900</v>
      </c>
      <c r="Z16" s="206">
        <f>IFERROR(GETPIVOTDATA("BUDGET STIMATO LUMP SUM",'Altre Tabelle di dettaglio'!$V$5,"Fornitore .",X16),"non-visibile")</f>
        <v>0</v>
      </c>
      <c r="AA16" s="279">
        <f>IF($Y16&lt;&gt;"non-visibile",'BUDGET STUDI -  IPOTESI 1'!$F12,"non-visibile")</f>
        <v>0</v>
      </c>
      <c r="AB16" s="279">
        <f>IF($Y16&lt;&gt;"non-visibile",'BUDGET STUDI -  IPOTESI 1'!$E12,"non-visibile")</f>
        <v>0</v>
      </c>
      <c r="AC16" s="207">
        <f>IFERROR(GETPIVOTDATA("Actual EURO ripartito",'Altre Tabelle di dettaglio'!$CH$5,"Fornitore .",X16),"non-visibile")</f>
        <v>260</v>
      </c>
      <c r="AD16" s="208">
        <f>IFERROR(GETPIVOTDATA("Actual LUMP ripartito",'Altre Tabelle di dettaglio'!$DC$5,"Fornitore .",X16),"non-visibile")</f>
        <v>0</v>
      </c>
      <c r="AE16" s="205">
        <f t="shared" si="1"/>
        <v>0</v>
      </c>
      <c r="AG16" s="212">
        <f t="shared" si="2"/>
        <v>0</v>
      </c>
      <c r="AH16" s="213" t="s">
        <v>135</v>
      </c>
      <c r="AI16" s="235">
        <f>IFERROR(GETPIVOTDATA("TOTALE ORE",'Altre Tabelle di dettaglio'!$AP$5,"Fornitore .",AH16),"non-visibile")</f>
        <v>10900</v>
      </c>
      <c r="AJ16" s="235">
        <f>IF($AI16&lt;&gt;"non-visibile",'BUDGET STUDI -  IPOTESI 1'!$D12,"non-visibile")</f>
        <v>0</v>
      </c>
      <c r="AK16" s="235">
        <f>IF($Y16&lt;&gt;"non-visibile",'BUDGET STUDI -  IPOTESI 1'!$C12,"non-visibile")</f>
        <v>0</v>
      </c>
      <c r="AL16" s="211">
        <f>IFERROR(GETPIVOTDATA("Actual ORE ripartito",'Altre Tabelle di dettaglio'!$BK$5,"Fornitore .",AH16),"non-visibile")</f>
        <v>260</v>
      </c>
      <c r="AM16" s="212">
        <f t="shared" si="4"/>
        <v>0</v>
      </c>
    </row>
    <row r="17" spans="5:39" ht="15.75" x14ac:dyDescent="0.25">
      <c r="F17" s="232" t="s">
        <v>272</v>
      </c>
      <c r="G17" s="221" t="str">
        <f>IFERROR(GETPIVOTDATA("TOTALE ORE",'Altre Tabelle di dettaglio'!$AP$5,"Ingegneria di competenza","Parmeggiani"),"non-visibile")</f>
        <v>non-visibile</v>
      </c>
      <c r="H17" s="222" t="str">
        <f>IFERROR(GETPIVOTDATA("BUDGET STIMATO ORE",'Altre Tabelle di dettaglio'!$B$5,"Ingegneria di competenza","Parmeggiani"),"non-visibile")</f>
        <v>non-visibile</v>
      </c>
      <c r="I17" s="223" t="str">
        <f>IFERROR(GETPIVOTDATA("BUDGET STIMATO LUMP SUM",'Altre Tabelle di dettaglio'!$V$5,"Ingegneria di competenza","Parmeggiani"),"non-visibile")</f>
        <v>non-visibile</v>
      </c>
      <c r="J17" s="221" t="str">
        <f>IF($G$17&lt;&gt;"non-visibile",'BDG 2023'!E10,"non-visibile")</f>
        <v>non-visibile</v>
      </c>
      <c r="K17" s="224" t="str">
        <f>IF($G$17&lt;&gt;"non-visibile",'BDG 2023'!G10,"non-visibile")</f>
        <v>non-visibile</v>
      </c>
      <c r="L17" s="225" t="str">
        <f>IF($G$17&lt;&gt;"non-visibile",'BDG 2023'!F10,"non-visibile")</f>
        <v>non-visibile</v>
      </c>
      <c r="M17" s="226" t="str">
        <f>IFERROR(GETPIVOTDATA("Actual ORE ripartito",'Altre Tabelle di dettaglio'!$BK$5,"Ingegneria di competenza","Parmeggiani"),"non-visibile")</f>
        <v>non-visibile</v>
      </c>
      <c r="N17" s="222" t="str">
        <f>IFERROR(GETPIVOTDATA("Actual EURO ripartito",'Altre Tabelle di dettaglio'!$CH$5,"Ingegneria di competenza","Parmeggiani"),"non-visibile")</f>
        <v>non-visibile</v>
      </c>
      <c r="O17" s="227" t="str">
        <f>IFERROR(GETPIVOTDATA("Actual LUMP ripartito",'Altre Tabelle di dettaglio'!$DC$5,"Ingegneria di competenza","Parmeggiani"),"non-visibile")</f>
        <v>non-visibile</v>
      </c>
      <c r="P17" s="228" t="str">
        <f t="shared" ref="P17:P22" si="6">IF($G17&lt;&gt;"non-visibile",IFERROR(J17-0,0),"non-visibile")</f>
        <v>non-visibile</v>
      </c>
      <c r="Q17" s="229" t="str">
        <f>IF($G17&lt;&gt;"non-visibile",IFERROR(SUMIF('2023 sintesi '!$I$19:$I$226,REPORTISTICA!F17,'2023 sintesi '!$AJ$19:$AJ$226),""),"non-visibile")</f>
        <v>non-visibile</v>
      </c>
      <c r="R17" s="230" t="str">
        <f t="shared" ref="R17:R22" si="7">IF($G17&lt;&gt;"non-visibile",IFERROR(K17-0,0),"non-visibile")</f>
        <v>non-visibile</v>
      </c>
      <c r="S17" s="231" t="str">
        <f>IF($G17&lt;&gt;"non-visibile",IFERROR(SUMIF('2023 sintesi '!$I$19:$I$226,REPORTISTICA!F17,'2023 sintesi '!$AK$19:$AK$226),""),"non-visibile")</f>
        <v>non-visibile</v>
      </c>
      <c r="T17" s="230" t="str">
        <f>IF($G17&lt;&gt;"non-visibile",IFERROR(L17-0,0),"non-visibile")</f>
        <v>non-visibile</v>
      </c>
      <c r="U17" s="231" t="str">
        <f>IF($G17&lt;&gt;"non-visibile",IFERROR(SUMIF('2023 sintesi '!$I$19:$I$226,REPORTISTICA!F17,'2023 sintesi '!$AL$19:$AL$226),""),"non-visibile")</f>
        <v>non-visibile</v>
      </c>
      <c r="W17" s="205" t="str">
        <f t="shared" si="0"/>
        <v/>
      </c>
      <c r="X17" s="276" t="s">
        <v>137</v>
      </c>
      <c r="Y17" s="206" t="str">
        <f>IFERROR(GETPIVOTDATA("BUDGET STIMATO ORE",'Altre Tabelle di dettaglio'!$B$5,"Fornitore .",X17),"non-visibile")</f>
        <v>non-visibile</v>
      </c>
      <c r="Z17" s="206" t="str">
        <f>IFERROR(GETPIVOTDATA("BUDGET STIMATO LUMP SUM",'Altre Tabelle di dettaglio'!$V$5,"Fornitore .",X17),"non-visibile")</f>
        <v>non-visibile</v>
      </c>
      <c r="AA17" s="279" t="str">
        <f>IF($Y17&lt;&gt;"non-visibile",'BUDGET STUDI -  IPOTESI 1'!$F13,"non-visibile")</f>
        <v>non-visibile</v>
      </c>
      <c r="AB17" s="279" t="str">
        <f>IF($Y17&lt;&gt;"non-visibile",'BUDGET STUDI -  IPOTESI 1'!$E13,"non-visibile")</f>
        <v>non-visibile</v>
      </c>
      <c r="AC17" s="207" t="str">
        <f>IFERROR(GETPIVOTDATA("Actual EURO ripartito",'Altre Tabelle di dettaglio'!$CH$5,"Fornitore .",X17),"non-visibile")</f>
        <v>non-visibile</v>
      </c>
      <c r="AD17" s="208" t="str">
        <f>IFERROR(GETPIVOTDATA("Actual LUMP ripartito",'Altre Tabelle di dettaglio'!$DC$5,"Fornitore .",X17),"non-visibile")</f>
        <v>non-visibile</v>
      </c>
      <c r="AE17" s="205" t="str">
        <f t="shared" si="1"/>
        <v/>
      </c>
      <c r="AG17" s="212" t="str">
        <f t="shared" si="2"/>
        <v/>
      </c>
      <c r="AH17" s="213" t="s">
        <v>137</v>
      </c>
      <c r="AI17" s="235" t="str">
        <f>IFERROR(GETPIVOTDATA("TOTALE ORE",'Altre Tabelle di dettaglio'!$AP$5,"Fornitore .",AH17),"non-visibile")</f>
        <v>non-visibile</v>
      </c>
      <c r="AJ17" s="235" t="str">
        <f>IF($AI17&lt;&gt;"non-visibile",'BUDGET STUDI -  IPOTESI 1'!$D13,"non-visibile")</f>
        <v>non-visibile</v>
      </c>
      <c r="AK17" s="235" t="str">
        <f>IF($Y17&lt;&gt;"non-visibile",'BUDGET STUDI -  IPOTESI 1'!$C13,"non-visibile")</f>
        <v>non-visibile</v>
      </c>
      <c r="AL17" s="211" t="str">
        <f>IFERROR(GETPIVOTDATA("Actual ORE ripartito",'Altre Tabelle di dettaglio'!$BK$5,"Fornitore .",AH17),"non-visibile")</f>
        <v>non-visibile</v>
      </c>
      <c r="AM17" s="212" t="str">
        <f t="shared" si="4"/>
        <v/>
      </c>
    </row>
    <row r="18" spans="5:39" ht="15.75" x14ac:dyDescent="0.25">
      <c r="F18" s="232" t="s">
        <v>273</v>
      </c>
      <c r="G18" s="221">
        <f>IFERROR(GETPIVOTDATA("TOTALE ORE",'Altre Tabelle di dettaglio'!$AP$5,"Ingegneria di competenza","Polloni"),"non-visibile")</f>
        <v>13990</v>
      </c>
      <c r="H18" s="222">
        <f>IFERROR(GETPIVOTDATA("BUDGET STIMATO ORE",'Altre Tabelle di dettaglio'!$B$5,"Ingegneria di competenza","Polloni"),"non-visibile")</f>
        <v>22030</v>
      </c>
      <c r="I18" s="223">
        <f>IFERROR(GETPIVOTDATA("BUDGET STIMATO LUMP SUM",'Altre Tabelle di dettaglio'!$V$5,"Ingegneria di competenza","Polloni"),"non-visibile")</f>
        <v>149120</v>
      </c>
      <c r="J18" s="221">
        <f>IF($G$18&lt;&gt;"non-visibile",'BDG 2023'!E11,"non-visibile")</f>
        <v>10000</v>
      </c>
      <c r="K18" s="224">
        <f>IF($G$18&lt;&gt;"non-visibile",'BDG 2023'!G11,"non-visibile")</f>
        <v>10000</v>
      </c>
      <c r="L18" s="225">
        <f>IF($G$18&lt;&gt;"non-visibile",'BDG 2023'!F11,"non-visibile")</f>
        <v>10000</v>
      </c>
      <c r="M18" s="226">
        <f>IFERROR(GETPIVOTDATA("Actual ORE ripartito",'Altre Tabelle di dettaglio'!$BK$5,"Ingegneria di competenza","Polloni"),"non-visibile")</f>
        <v>446.62857142857143</v>
      </c>
      <c r="N18" s="222">
        <f>IFERROR(GETPIVOTDATA("Actual EURO ripartito",'Altre Tabelle di dettaglio'!$CH$5,"Ingegneria di competenza","Polloni"),"non-visibile")</f>
        <v>802</v>
      </c>
      <c r="O18" s="227">
        <f>IFERROR(GETPIVOTDATA("Actual LUMP ripartito",'Altre Tabelle di dettaglio'!$DC$5,"Ingegneria di competenza","Polloni"),"non-visibile")</f>
        <v>13</v>
      </c>
      <c r="P18" s="228">
        <f>IF($G18&lt;&gt;"non-visibile",IFERROR(J18-447,0),"non-visibile")</f>
        <v>9553</v>
      </c>
      <c r="Q18" s="229">
        <f>IF($G18&lt;&gt;"non-visibile",IFERROR(SUMIF('2023 sintesi '!$I$19:$I$226,REPORTISTICA!F18,'2023 sintesi '!$AJ$19:$AJ$226),""),"non-visibile")</f>
        <v>12390</v>
      </c>
      <c r="R18" s="230">
        <f>IF($G18&lt;&gt;"non-visibile",IFERROR(K18-802,0),"non-visibile")</f>
        <v>9198</v>
      </c>
      <c r="S18" s="231">
        <f>IF($G18&lt;&gt;"non-visibile",IFERROR(SUMIF('2023 sintesi '!$I$19:$I$226,REPORTISTICA!F18,'2023 sintesi '!$AK$19:$AK$226),""),"non-visibile")</f>
        <v>50769</v>
      </c>
      <c r="T18" s="230">
        <f>IF($G18&lt;&gt;"non-visibile",IFERROR(L18-0,0),"non-visibile")</f>
        <v>10000</v>
      </c>
      <c r="U18" s="231">
        <f>IF($G18&lt;&gt;"non-visibile",IFERROR(SUMIF('2023 sintesi '!$I$19:$I$226,REPORTISTICA!F18,'2023 sintesi '!$AL$19:$AL$226),""),"non-visibile")</f>
        <v>107780</v>
      </c>
      <c r="W18" s="205">
        <f t="shared" si="0"/>
        <v>0</v>
      </c>
      <c r="X18" s="278" t="s">
        <v>139</v>
      </c>
      <c r="Y18" s="206">
        <f>IFERROR(GETPIVOTDATA("BUDGET STIMATO ORE",'Altre Tabelle di dettaglio'!$B$5,"Fornitore .",X18),"non-visibile")</f>
        <v>5400</v>
      </c>
      <c r="Z18" s="206">
        <f>IFERROR(GETPIVOTDATA("BUDGET STIMATO LUMP SUM",'Altre Tabelle di dettaglio'!$V$5,"Fornitore .",X18),"non-visibile")</f>
        <v>28880</v>
      </c>
      <c r="AA18" s="279">
        <f>IF($Y18&lt;&gt;"non-visibile",'BUDGET STUDI -  IPOTESI 1'!$F14,"non-visibile")</f>
        <v>0</v>
      </c>
      <c r="AB18" s="279">
        <f>IF($Y18&lt;&gt;"non-visibile",'BUDGET STUDI -  IPOTESI 1'!$E14,"non-visibile")</f>
        <v>0</v>
      </c>
      <c r="AC18" s="207">
        <f>IFERROR(GETPIVOTDATA("Actual EURO ripartito",'Altre Tabelle di dettaglio'!$CH$5,"Fornitore .",X18),"non-visibile")</f>
        <v>45</v>
      </c>
      <c r="AD18" s="208">
        <f>IFERROR(GETPIVOTDATA("Actual LUMP ripartito",'Altre Tabelle di dettaglio'!$DC$5,"Fornitore .",X18),"non-visibile")</f>
        <v>1.9999999999999998</v>
      </c>
      <c r="AE18" s="205">
        <f t="shared" si="1"/>
        <v>0</v>
      </c>
      <c r="AG18" s="212">
        <f t="shared" si="2"/>
        <v>0</v>
      </c>
      <c r="AH18" s="234" t="s">
        <v>139</v>
      </c>
      <c r="AI18" s="235">
        <f>IFERROR(GETPIVOTDATA("TOTALE ORE",'Altre Tabelle di dettaglio'!$AP$5,"Fornitore .",AH18),"non-visibile")</f>
        <v>900</v>
      </c>
      <c r="AJ18" s="235">
        <f>IF($AI18&lt;&gt;"non-visibile",'BUDGET STUDI -  IPOTESI 1'!$D14,"non-visibile")</f>
        <v>0</v>
      </c>
      <c r="AK18" s="235">
        <f>IF($Y18&lt;&gt;"non-visibile",'BUDGET STUDI -  IPOTESI 1'!$C14,"non-visibile")</f>
        <v>0</v>
      </c>
      <c r="AL18" s="211">
        <f>IFERROR(GETPIVOTDATA("Actual ORE ripartito",'Altre Tabelle di dettaglio'!$BK$5,"Fornitore .",AH18),"non-visibile")</f>
        <v>7.5</v>
      </c>
      <c r="AM18" s="212">
        <f t="shared" si="4"/>
        <v>0</v>
      </c>
    </row>
    <row r="19" spans="5:39" ht="15.75" x14ac:dyDescent="0.25">
      <c r="F19" s="232" t="s">
        <v>274</v>
      </c>
      <c r="G19" s="221" t="str">
        <f>IFERROR(GETPIVOTDATA("TOTALE ORE",'Altre Tabelle di dettaglio'!$AP$5,"Ingegneria di competenza","Seren"),"non-visibile")</f>
        <v>non-visibile</v>
      </c>
      <c r="H19" s="222" t="str">
        <f>IFERROR(GETPIVOTDATA("BUDGET STIMATO ORE",'Altre Tabelle di dettaglio'!$B$5,"Ingegneria di competenza","Seren"),"non-visibile")</f>
        <v>non-visibile</v>
      </c>
      <c r="I19" s="223" t="str">
        <f>IFERROR(GETPIVOTDATA("BUDGET STIMATO LUMP SUM",'Altre Tabelle di dettaglio'!$V$5,"Ingegneria di competenza","Seren"),"non-visibile")</f>
        <v>non-visibile</v>
      </c>
      <c r="J19" s="221" t="str">
        <f>IF($G$19&lt;&gt;"non-visibile",'BDG 2023'!E16,"non-visibile")</f>
        <v>non-visibile</v>
      </c>
      <c r="K19" s="224" t="str">
        <f>IF($G$19&lt;&gt;"non-visibile",'BDG 2023'!G16,"non-visibile")</f>
        <v>non-visibile</v>
      </c>
      <c r="L19" s="225" t="str">
        <f>IF($G$19&lt;&gt;"non-visibile",'BDG 2023'!F16,"non-visibile")</f>
        <v>non-visibile</v>
      </c>
      <c r="M19" s="226" t="str">
        <f>IFERROR(GETPIVOTDATA("Actual ORE ripartito",'Altre Tabelle di dettaglio'!$BK$5,"Ingegneria di competenza","Seren"),"non-visibile")</f>
        <v>non-visibile</v>
      </c>
      <c r="N19" s="222" t="str">
        <f>IFERROR(GETPIVOTDATA("Actual EURO ripartito",'Altre Tabelle di dettaglio'!$CH$5,"Ingegneria di competenza","Seren"),"non-visibile")</f>
        <v>non-visibile</v>
      </c>
      <c r="O19" s="227" t="str">
        <f>IFERROR(GETPIVOTDATA("Actual LUMP ripartito",'Altre Tabelle di dettaglio'!$DC$5,"Ingegneria di competenza","Seren"),"non-visibile")</f>
        <v>non-visibile</v>
      </c>
      <c r="P19" s="228" t="str">
        <f>IF($G19&lt;&gt;"non-visibile",IFERROR(J19-0,0),"non-visibile")</f>
        <v>non-visibile</v>
      </c>
      <c r="Q19" s="229" t="str">
        <f>IF($G19&lt;&gt;"non-visibile",IFERROR(SUMIF('2023 sintesi '!$I$19:$I$226,REPORTISTICA!F19,'2023 sintesi '!$AJ$19:$AJ$226),""),"non-visibile")</f>
        <v>non-visibile</v>
      </c>
      <c r="R19" s="230" t="str">
        <f>IF($G19&lt;&gt;"non-visibile",IFERROR(K19-0,0),"non-visibile")</f>
        <v>non-visibile</v>
      </c>
      <c r="S19" s="231" t="str">
        <f>IF($G19&lt;&gt;"non-visibile",IFERROR(SUMIF('2023 sintesi '!$I$19:$I$226,REPORTISTICA!F19,'2023 sintesi '!$AK$19:$AK$226),""),"non-visibile")</f>
        <v>non-visibile</v>
      </c>
      <c r="T19" s="230" t="str">
        <f t="shared" si="5"/>
        <v>non-visibile</v>
      </c>
      <c r="U19" s="231" t="str">
        <f>IF($G19&lt;&gt;"non-visibile",IFERROR(SUMIF('2023 sintesi '!$I$19:$I$226,REPORTISTICA!F19,'2023 sintesi '!$AL$19:$AL$226),""),"non-visibile")</f>
        <v>non-visibile</v>
      </c>
      <c r="W19" s="205">
        <f t="shared" si="0"/>
        <v>0</v>
      </c>
      <c r="X19" s="276" t="s">
        <v>141</v>
      </c>
      <c r="Y19" s="206">
        <f>IFERROR(GETPIVOTDATA("BUDGET STIMATO ORE",'Altre Tabelle di dettaglio'!$B$5,"Fornitore .",X19),"non-visibile")</f>
        <v>0</v>
      </c>
      <c r="Z19" s="206">
        <f>IFERROR(GETPIVOTDATA("BUDGET STIMATO LUMP SUM",'Altre Tabelle di dettaglio'!$V$5,"Fornitore .",X19),"non-visibile")</f>
        <v>46120</v>
      </c>
      <c r="AA19" s="279">
        <f>IF($Y19&lt;&gt;"non-visibile",'BUDGET STUDI -  IPOTESI 1'!$F15,"non-visibile")</f>
        <v>0</v>
      </c>
      <c r="AB19" s="279">
        <f>IF($Y19&lt;&gt;"non-visibile",'BUDGET STUDI -  IPOTESI 1'!$E15,"non-visibile")</f>
        <v>0</v>
      </c>
      <c r="AC19" s="207">
        <f>IFERROR(GETPIVOTDATA("Actual EURO ripartito",'Altre Tabelle di dettaglio'!$CH$5,"Fornitore .",X19),"non-visibile")</f>
        <v>0</v>
      </c>
      <c r="AD19" s="208">
        <f>IFERROR(GETPIVOTDATA("Actual LUMP ripartito",'Altre Tabelle di dettaglio'!$DC$5,"Fornitore .",X19),"non-visibile")</f>
        <v>1</v>
      </c>
      <c r="AE19" s="205">
        <f t="shared" si="1"/>
        <v>0</v>
      </c>
      <c r="AG19" s="212">
        <f t="shared" si="2"/>
        <v>0</v>
      </c>
      <c r="AH19" s="213" t="s">
        <v>141</v>
      </c>
      <c r="AI19" s="235">
        <f>IFERROR(GETPIVOTDATA("TOTALE ORE",'Altre Tabelle di dettaglio'!$AP$5,"Fornitore .",AH19),"non-visibile")</f>
        <v>0</v>
      </c>
      <c r="AJ19" s="235">
        <f>IF($AI19&lt;&gt;"non-visibile",'BUDGET STUDI -  IPOTESI 1'!$D15,"non-visibile")</f>
        <v>0</v>
      </c>
      <c r="AK19" s="235">
        <f>IF($Y19&lt;&gt;"non-visibile",'BUDGET STUDI -  IPOTESI 1'!$C15,"non-visibile")</f>
        <v>0</v>
      </c>
      <c r="AL19" s="211">
        <f>IFERROR(GETPIVOTDATA("Actual ORE ripartito",'Altre Tabelle di dettaglio'!$BK$5,"Fornitore .",AH19),"non-visibile")</f>
        <v>0</v>
      </c>
      <c r="AM19" s="212">
        <f t="shared" si="4"/>
        <v>0</v>
      </c>
    </row>
    <row r="20" spans="5:39" ht="15.75" x14ac:dyDescent="0.25">
      <c r="F20" s="232" t="s">
        <v>275</v>
      </c>
      <c r="G20" s="221" t="str">
        <f>IFERROR(GETPIVOTDATA("TOTALE ORE",'Altre Tabelle di dettaglio'!$AP$5,"Ingegneria di competenza","Squarzoni"),"non-visibile")</f>
        <v>non-visibile</v>
      </c>
      <c r="H20" s="222" t="str">
        <f>IFERROR(GETPIVOTDATA("BUDGET STIMATO ORE",'Altre Tabelle di dettaglio'!$B$5,"Ingegneria di competenza","Squarzoni"),"non-visibile")</f>
        <v>non-visibile</v>
      </c>
      <c r="I20" s="223" t="str">
        <f>IFERROR(GETPIVOTDATA("BUDGET STIMATO LUMP SUM",'Altre Tabelle di dettaglio'!$V$5,"Ingegneria di competenza","Squarzoni"),"non-visibile")</f>
        <v>non-visibile</v>
      </c>
      <c r="J20" s="221" t="str">
        <f>IF($G$20&lt;&gt;"non-visibile",'BDG 2023'!E12,"non-visibile")</f>
        <v>non-visibile</v>
      </c>
      <c r="K20" s="224" t="str">
        <f>IF($G$20&lt;&gt;"non-visibile",'BDG 2023'!G12,"non-visibile")</f>
        <v>non-visibile</v>
      </c>
      <c r="L20" s="225" t="str">
        <f>IF($G$20&lt;&gt;"non-visibile",'BDG 2023'!F12,"non-visibile")</f>
        <v>non-visibile</v>
      </c>
      <c r="M20" s="226" t="str">
        <f>IFERROR(GETPIVOTDATA("Actual ORE ripartito",'Altre Tabelle di dettaglio'!$BK$5,"Ingegneria di competenza","Squarzoni"),"non-visibile")</f>
        <v>non-visibile</v>
      </c>
      <c r="N20" s="222" t="str">
        <f>IFERROR(GETPIVOTDATA("Actual EURO ripartito",'Altre Tabelle di dettaglio'!$CH$5,"Ingegneria di competenza","Squarzoni"),"non-visibile")</f>
        <v>non-visibile</v>
      </c>
      <c r="O20" s="227" t="str">
        <f>IFERROR(GETPIVOTDATA("Actual LUMP ripartito",'Altre Tabelle di dettaglio'!$DC$5,"Ingegneria di competenza","Squarzoni"),"non-visibile")</f>
        <v>non-visibile</v>
      </c>
      <c r="P20" s="228" t="str">
        <f>IF($G20&lt;&gt;"non-visibile",IFERROR(J20-0,0),"non-visibile")</f>
        <v>non-visibile</v>
      </c>
      <c r="Q20" s="229" t="str">
        <f>IF($G20&lt;&gt;"non-visibile",IFERROR(SUMIF('2023 sintesi '!$I$19:$I$226,REPORTISTICA!F20,'2023 sintesi '!$AJ$19:$AJ$226),""),"non-visibile")</f>
        <v>non-visibile</v>
      </c>
      <c r="R20" s="230" t="str">
        <f>IF($G20&lt;&gt;"non-visibile",IFERROR(K20-0,0),"non-visibile")</f>
        <v>non-visibile</v>
      </c>
      <c r="S20" s="231" t="str">
        <f>IF($G20&lt;&gt;"non-visibile",IFERROR(SUMIF('2023 sintesi '!$I$19:$I$226,REPORTISTICA!F20,'2023 sintesi '!$AK$19:$AK$226),""),"non-visibile")</f>
        <v>non-visibile</v>
      </c>
      <c r="T20" s="230" t="str">
        <f>IF($G20&lt;&gt;"non-visibile",IFERROR(L20-0,0),"non-visibile")</f>
        <v>non-visibile</v>
      </c>
      <c r="U20" s="231" t="str">
        <f>IF($G20&lt;&gt;"non-visibile",IFERROR(SUMIF('2023 sintesi '!$I$19:$I$226,REPORTISTICA!F20,'2023 sintesi '!$AL$19:$AL$226),""),"non-visibile")</f>
        <v>non-visibile</v>
      </c>
      <c r="W20" s="205" t="str">
        <f t="shared" si="0"/>
        <v/>
      </c>
      <c r="X20" s="276" t="s">
        <v>143</v>
      </c>
      <c r="Y20" s="206" t="str">
        <f>IFERROR(GETPIVOTDATA("BUDGET STIMATO ORE",'Altre Tabelle di dettaglio'!$B$5,"Fornitore .",X20),"non-visibile")</f>
        <v>non-visibile</v>
      </c>
      <c r="Z20" s="206" t="str">
        <f>IFERROR(GETPIVOTDATA("BUDGET STIMATO LUMP SUM",'Altre Tabelle di dettaglio'!$V$5,"Fornitore .",X20),"non-visibile")</f>
        <v>non-visibile</v>
      </c>
      <c r="AA20" s="279" t="str">
        <f>IF($Y20&lt;&gt;"non-visibile",'BUDGET STUDI -  IPOTESI 1'!$F16,"non-visibile")</f>
        <v>non-visibile</v>
      </c>
      <c r="AB20" s="279" t="str">
        <f>IF($Y20&lt;&gt;"non-visibile",'BUDGET STUDI -  IPOTESI 1'!$E16,"non-visibile")</f>
        <v>non-visibile</v>
      </c>
      <c r="AC20" s="207" t="str">
        <f>IFERROR(GETPIVOTDATA("Actual EURO ripartito",'Altre Tabelle di dettaglio'!$CH$5,"Fornitore .",X20),"non-visibile")</f>
        <v>non-visibile</v>
      </c>
      <c r="AD20" s="208" t="str">
        <f>IFERROR(GETPIVOTDATA("Actual LUMP ripartito",'Altre Tabelle di dettaglio'!$DC$5,"Fornitore .",X20),"non-visibile")</f>
        <v>non-visibile</v>
      </c>
      <c r="AE20" s="205" t="str">
        <f t="shared" si="1"/>
        <v/>
      </c>
      <c r="AG20" s="212" t="str">
        <f t="shared" si="2"/>
        <v/>
      </c>
      <c r="AH20" s="213" t="s">
        <v>143</v>
      </c>
      <c r="AI20" s="235" t="str">
        <f>IFERROR(GETPIVOTDATA("TOTALE ORE",'Altre Tabelle di dettaglio'!$AP$5,"Fornitore .",AH20),"non-visibile")</f>
        <v>non-visibile</v>
      </c>
      <c r="AJ20" s="235" t="str">
        <f>IF($AI20&lt;&gt;"non-visibile",'BUDGET STUDI -  IPOTESI 1'!$D16,"non-visibile")</f>
        <v>non-visibile</v>
      </c>
      <c r="AK20" s="235" t="str">
        <f>IF($Y20&lt;&gt;"non-visibile",'BUDGET STUDI -  IPOTESI 1'!$C16,"non-visibile")</f>
        <v>non-visibile</v>
      </c>
      <c r="AL20" s="211" t="str">
        <f>IFERROR(GETPIVOTDATA("Actual ORE ripartito",'Altre Tabelle di dettaglio'!$BK$5,"Fornitore .",AH20),"non-visibile")</f>
        <v>non-visibile</v>
      </c>
      <c r="AM20" s="212" t="str">
        <f t="shared" si="4"/>
        <v/>
      </c>
    </row>
    <row r="21" spans="5:39" ht="15.75" x14ac:dyDescent="0.25">
      <c r="F21" s="232" t="s">
        <v>276</v>
      </c>
      <c r="G21" s="236" t="str">
        <f>IFERROR(GETPIVOTDATA("TOTALE ORE",'Altre Tabelle di dettaglio'!$AP$5,"Ingegneria di competenza","Zanotti"),"non-visibile")</f>
        <v>non-visibile</v>
      </c>
      <c r="H21" s="237" t="str">
        <f>IFERROR(GETPIVOTDATA("BUDGET STIMATO ORE",'Altre Tabelle di dettaglio'!$B$5,"Ingegneria di competenza","Zanotti"),"non-visibile")</f>
        <v>non-visibile</v>
      </c>
      <c r="I21" s="238" t="str">
        <f>IFERROR(GETPIVOTDATA("BUDGET STIMATO LUMP SUM",'Altre Tabelle di dettaglio'!$V$5,"Ingegneria di competenza","Zanotti"),"non-visibile")</f>
        <v>non-visibile</v>
      </c>
      <c r="J21" s="236" t="str">
        <f>IF($G$21&lt;&gt;"non-visibile",'BDG 2023'!E13 + 'BDG 2023'!E14,"non-visibile")</f>
        <v>non-visibile</v>
      </c>
      <c r="K21" s="239" t="str">
        <f>IF($G$21&lt;&gt;"non-visibile",'BDG 2023'!G13+'BDG 2023'!G14,"non-visibile")</f>
        <v>non-visibile</v>
      </c>
      <c r="L21" s="240" t="str">
        <f>IF($G$21&lt;&gt;"non-visibile",'BDG 2023'!F13+'BDG 2023'!F14,"non-visibile")</f>
        <v>non-visibile</v>
      </c>
      <c r="M21" s="241" t="str">
        <f>IFERROR(GETPIVOTDATA("Actual ORE ripartito",'Altre Tabelle di dettaglio'!$BK$5,"Ingegneria di competenza","Zanotti"),"non-visibile")</f>
        <v>non-visibile</v>
      </c>
      <c r="N21" s="237" t="str">
        <f>IFERROR(GETPIVOTDATA("Actual EURO ripartito",'Altre Tabelle di dettaglio'!$CH$5,"Ingegneria di competenza","Zanotti"),"non-visibile")</f>
        <v>non-visibile</v>
      </c>
      <c r="O21" s="227" t="str">
        <f>IFERROR(GETPIVOTDATA("Actual LUMP ripartito",'Altre Tabelle di dettaglio'!$DC$5,"Ingegneria di competenza","Zanotti"),"non-visibile")</f>
        <v>non-visibile</v>
      </c>
      <c r="P21" s="228" t="str">
        <f>IF($G21&lt;&gt;"non-visibile",IFERROR(J21-0,0),"non-visibile")</f>
        <v>non-visibile</v>
      </c>
      <c r="Q21" s="229" t="str">
        <f>IF($G21&lt;&gt;"non-visibile",IFERROR(SUMIF('2023 sintesi '!$I$19:$I$226,REPORTISTICA!F21,'2023 sintesi '!$AJ$19:$AJ$226),""),"non-visibile")</f>
        <v>non-visibile</v>
      </c>
      <c r="R21" s="230" t="str">
        <f>IF($G21&lt;&gt;"non-visibile",IFERROR(K21-0,0),"non-visibile")</f>
        <v>non-visibile</v>
      </c>
      <c r="S21" s="231" t="str">
        <f>IF($G21&lt;&gt;"non-visibile",IFERROR(SUMIF('2023 sintesi '!$I$19:$I$226,REPORTISTICA!F21,'2023 sintesi '!$AK$19:$AK$226),""),"non-visibile")</f>
        <v>non-visibile</v>
      </c>
      <c r="T21" s="230" t="str">
        <f>IF($G21&lt;&gt;"non-visibile",IFERROR(L21-0,0),"non-visibile")</f>
        <v>non-visibile</v>
      </c>
      <c r="U21" s="231" t="str">
        <f>IF($G21&lt;&gt;"non-visibile",IFERROR(SUMIF('2023 sintesi '!$I$19:$I$226,REPORTISTICA!F21,'2023 sintesi '!$AL$19:$AL$226),""),"non-visibile")</f>
        <v>non-visibile</v>
      </c>
      <c r="W21" s="205" t="str">
        <f t="shared" si="0"/>
        <v/>
      </c>
      <c r="X21" s="276" t="s">
        <v>145</v>
      </c>
      <c r="Y21" s="206" t="str">
        <f>IFERROR(GETPIVOTDATA("BUDGET STIMATO ORE",'Altre Tabelle di dettaglio'!$B$5,"Fornitore .",X21),"non-visibile")</f>
        <v>non-visibile</v>
      </c>
      <c r="Z21" s="206" t="str">
        <f>IFERROR(GETPIVOTDATA("BUDGET STIMATO LUMP SUM",'Altre Tabelle di dettaglio'!$V$5,"Fornitore .",X21),"non-visibile")</f>
        <v>non-visibile</v>
      </c>
      <c r="AA21" s="279" t="str">
        <f>IF($Y21&lt;&gt;"non-visibile",'BUDGET STUDI -  IPOTESI 1'!$F17,"non-visibile")</f>
        <v>non-visibile</v>
      </c>
      <c r="AB21" s="279" t="str">
        <f>IF($Y21&lt;&gt;"non-visibile",'BUDGET STUDI -  IPOTESI 1'!$E17,"non-visibile")</f>
        <v>non-visibile</v>
      </c>
      <c r="AC21" s="207" t="str">
        <f>IFERROR(GETPIVOTDATA("Actual EURO ripartito",'Altre Tabelle di dettaglio'!$CH$5,"Fornitore .",X21),"non-visibile")</f>
        <v>non-visibile</v>
      </c>
      <c r="AD21" s="208" t="str">
        <f>IFERROR(GETPIVOTDATA("Actual LUMP ripartito",'Altre Tabelle di dettaglio'!$DC$5,"Fornitore .",X21),"non-visibile")</f>
        <v>non-visibile</v>
      </c>
      <c r="AE21" s="205" t="str">
        <f t="shared" si="1"/>
        <v/>
      </c>
      <c r="AG21" s="212" t="str">
        <f t="shared" si="2"/>
        <v/>
      </c>
      <c r="AH21" s="213" t="s">
        <v>145</v>
      </c>
      <c r="AI21" s="235" t="str">
        <f>IFERROR(GETPIVOTDATA("TOTALE ORE",'Altre Tabelle di dettaglio'!$AP$5,"Fornitore .",AH21),"non-visibile")</f>
        <v>non-visibile</v>
      </c>
      <c r="AJ21" s="235" t="str">
        <f>IF($AI21&lt;&gt;"non-visibile",'BUDGET STUDI -  IPOTESI 1'!$D17,"non-visibile")</f>
        <v>non-visibile</v>
      </c>
      <c r="AK21" s="235" t="str">
        <f>IF($Y21&lt;&gt;"non-visibile",'BUDGET STUDI -  IPOTESI 1'!$C17,"non-visibile")</f>
        <v>non-visibile</v>
      </c>
      <c r="AL21" s="211" t="str">
        <f>IFERROR(GETPIVOTDATA("Actual ORE ripartito",'Altre Tabelle di dettaglio'!$BK$5,"Fornitore .",AH21),"non-visibile")</f>
        <v>non-visibile</v>
      </c>
      <c r="AM21" s="212" t="str">
        <f t="shared" si="4"/>
        <v/>
      </c>
    </row>
    <row r="22" spans="5:39" ht="16.5" thickBot="1" x14ac:dyDescent="0.3">
      <c r="F22" s="242" t="s">
        <v>277</v>
      </c>
      <c r="G22" s="236" t="str">
        <f>IFERROR(GETPIVOTDATA("TOTALE ORE",'Altre Tabelle di dettaglio'!$AP$5,"Ingegneria di competenza","Gamberini"),"non-visibile")</f>
        <v>non-visibile</v>
      </c>
      <c r="H22" s="237" t="str">
        <f>IFERROR(GETPIVOTDATA("BUDGET STIMATO ORE",'Altre Tabelle di dettaglio'!$B$5,"Ingegneria di competenza","Gamberini"),"non-visibile")</f>
        <v>non-visibile</v>
      </c>
      <c r="I22" s="238" t="str">
        <f>IFERROR(GETPIVOTDATA("BUDGET STIMATO LUMP SUM",'Altre Tabelle di dettaglio'!$V$5,"Ingegneria di competenza","Gamberini"),"non-visibile")</f>
        <v>non-visibile</v>
      </c>
      <c r="J22" s="243">
        <f>'BDG 2023'!E15</f>
        <v>10000</v>
      </c>
      <c r="K22" s="244">
        <f>'BDG 2023'!G15</f>
        <v>10000</v>
      </c>
      <c r="L22" s="245">
        <f>'BDG 2023'!F15</f>
        <v>10000</v>
      </c>
      <c r="M22" s="241" t="str">
        <f>IFERROR(GETPIVOTDATA("Actual ORE ripartito",'Altre Tabelle di dettaglio'!$BK$5,"Ingegneria di competenza","Gamberini"),"non-visibile")</f>
        <v>non-visibile</v>
      </c>
      <c r="N22" s="237" t="str">
        <f>IFERROR(GETPIVOTDATA("Actual EURO ripartito",'Altre Tabelle di dettaglio'!$CH$5,"Ingegneria di competenza","Gamberini"),"non-visibile")</f>
        <v>non-visibile</v>
      </c>
      <c r="O22" s="246" t="str">
        <f>IFERROR(GETPIVOTDATA("Actual LUMP ripartito",'Altre Tabelle di dettaglio'!$DC$5,"Ingegneria di competenza","Gamberini"),"non-visibile")</f>
        <v>non-visibile</v>
      </c>
      <c r="P22" s="247" t="str">
        <f t="shared" si="6"/>
        <v>non-visibile</v>
      </c>
      <c r="Q22" s="248" t="str">
        <f>IF($G22&lt;&gt;"non-visibile",IFERROR(SUMIF('2023 sintesi '!$I$19:$I$226,REPORTISTICA!F22,'2023 sintesi '!$AJ$19:$AJ$226),""),"non-visibile")</f>
        <v>non-visibile</v>
      </c>
      <c r="R22" s="249" t="str">
        <f t="shared" si="7"/>
        <v>non-visibile</v>
      </c>
      <c r="S22" s="250" t="str">
        <f>IF($G22&lt;&gt;"non-visibile",IFERROR(SUMIF('2023 sintesi '!$I$19:$I$226,REPORTISTICA!F22,'2023 sintesi '!$AK$19:$AK$226),""),"non-visibile")</f>
        <v>non-visibile</v>
      </c>
      <c r="T22" s="249" t="str">
        <f>IF($G22&lt;&gt;"non-visibile",IFERROR(L22-0,0),"non-visibile")</f>
        <v>non-visibile</v>
      </c>
      <c r="U22" s="250" t="str">
        <f>IF($G22&lt;&gt;"non-visibile",IFERROR(SUMIF('2023 sintesi '!$I$19:$I$226,REPORTISTICA!F22,'2023 sintesi '!$AL$19:$AL$226),""),"non-visibile")</f>
        <v>non-visibile</v>
      </c>
      <c r="W22" s="205">
        <f t="shared" si="0"/>
        <v>0</v>
      </c>
      <c r="X22" s="276" t="s">
        <v>147</v>
      </c>
      <c r="Y22" s="206">
        <f>IFERROR(GETPIVOTDATA("BUDGET STIMATO ORE",'Altre Tabelle di dettaglio'!$B$5,"Fornitore .",X22),"non-visibile")</f>
        <v>1050</v>
      </c>
      <c r="Z22" s="206">
        <f>IFERROR(GETPIVOTDATA("BUDGET STIMATO LUMP SUM",'Altre Tabelle di dettaglio'!$V$5,"Fornitore .",X22),"non-visibile")</f>
        <v>0</v>
      </c>
      <c r="AA22" s="279">
        <f>IF($Y22&lt;&gt;"non-visibile",'BUDGET STUDI -  IPOTESI 1'!$F18,"non-visibile")</f>
        <v>0</v>
      </c>
      <c r="AB22" s="279">
        <f>IF($Y22&lt;&gt;"non-visibile",'BUDGET STUDI -  IPOTESI 1'!$E18,"non-visibile")</f>
        <v>0</v>
      </c>
      <c r="AC22" s="207">
        <f>IFERROR(GETPIVOTDATA("Actual EURO ripartito",'Altre Tabelle di dettaglio'!$CH$5,"Fornitore .",X22),"non-visibile")</f>
        <v>318</v>
      </c>
      <c r="AD22" s="208">
        <f>IFERROR(GETPIVOTDATA("Actual LUMP ripartito",'Altre Tabelle di dettaglio'!$DC$5,"Fornitore .",X22),"non-visibile")</f>
        <v>0</v>
      </c>
      <c r="AE22" s="205">
        <f t="shared" si="1"/>
        <v>0</v>
      </c>
      <c r="AG22" s="212">
        <f t="shared" si="2"/>
        <v>0</v>
      </c>
      <c r="AH22" s="213" t="s">
        <v>147</v>
      </c>
      <c r="AI22" s="235">
        <f>IFERROR(GETPIVOTDATA("TOTALE ORE",'Altre Tabelle di dettaglio'!$AP$5,"Fornitore .",AH22),"non-visibile")</f>
        <v>150</v>
      </c>
      <c r="AJ22" s="235">
        <f>IF($AI22&lt;&gt;"non-visibile",'BUDGET STUDI -  IPOTESI 1'!$D18,"non-visibile")</f>
        <v>0</v>
      </c>
      <c r="AK22" s="235">
        <f>IF($Y22&lt;&gt;"non-visibile",'BUDGET STUDI -  IPOTESI 1'!$C18,"non-visibile")</f>
        <v>0</v>
      </c>
      <c r="AL22" s="211">
        <f>IFERROR(GETPIVOTDATA("Actual ORE ripartito",'Altre Tabelle di dettaglio'!$BK$5,"Fornitore .",AH22),"non-visibile")</f>
        <v>45.428571428571431</v>
      </c>
      <c r="AM22" s="212">
        <f t="shared" ref="AM22:AM85" si="8">AG22</f>
        <v>0</v>
      </c>
    </row>
    <row r="23" spans="5:39" ht="16.5" thickBot="1" x14ac:dyDescent="0.3">
      <c r="F23" s="251" t="s">
        <v>186</v>
      </c>
      <c r="G23" s="506">
        <f>GETPIVOTDATA("TOTALE ORE",'Altre Tabelle di dettaglio'!$AP$5)</f>
        <v>13990</v>
      </c>
      <c r="H23" s="507">
        <f>GETPIVOTDATA("BUDGET STIMATO ORE",'Altre Tabelle di dettaglio'!$B$5)</f>
        <v>22030</v>
      </c>
      <c r="I23" s="508">
        <f>GETPIVOTDATA("BUDGET STIMATO LUMP SUM",'Altre Tabelle di dettaglio'!$V$5)</f>
        <v>149120</v>
      </c>
      <c r="J23" s="506">
        <f>SUM(J11:J22)</f>
        <v>20000</v>
      </c>
      <c r="K23" s="507">
        <f>SUM(K11:K22)</f>
        <v>20000</v>
      </c>
      <c r="L23" s="509">
        <f>SUM(L11:L22)</f>
        <v>20000</v>
      </c>
      <c r="M23" s="252">
        <f>GETPIVOTDATA("Actual ORE ripartito",'Altre Tabelle di dettaglio'!$BK$5)</f>
        <v>446.62857142857143</v>
      </c>
      <c r="N23" s="510">
        <f>GETPIVOTDATA("Actual EURO ripartito",'Altre Tabelle di dettaglio'!$CH$5)</f>
        <v>802</v>
      </c>
      <c r="O23" s="511">
        <f>GETPIVOTDATA("Actual LUMP ripartito",'Altre Tabelle di dettaglio'!$DC$5)</f>
        <v>13</v>
      </c>
      <c r="P23" s="512">
        <f>SUM(P11:P22)</f>
        <v>9553</v>
      </c>
      <c r="Q23" s="512">
        <f t="shared" ref="Q23:U23" si="9">SUM(Q11:Q22)</f>
        <v>12390</v>
      </c>
      <c r="R23" s="513">
        <f t="shared" si="9"/>
        <v>9198</v>
      </c>
      <c r="S23" s="514">
        <f t="shared" si="9"/>
        <v>50769</v>
      </c>
      <c r="T23" s="513">
        <f t="shared" si="9"/>
        <v>10000</v>
      </c>
      <c r="U23" s="514">
        <f t="shared" si="9"/>
        <v>107780</v>
      </c>
      <c r="W23" s="205">
        <f t="shared" si="0"/>
        <v>0</v>
      </c>
      <c r="X23" s="276" t="s">
        <v>149</v>
      </c>
      <c r="Y23" s="206">
        <f>IFERROR(GETPIVOTDATA("BUDGET STIMATO ORE",'Altre Tabelle di dettaglio'!$B$5,"Fornitore .",X23),"non-visibile")</f>
        <v>0</v>
      </c>
      <c r="Z23" s="206">
        <f>IFERROR(GETPIVOTDATA("BUDGET STIMATO LUMP SUM",'Altre Tabelle di dettaglio'!$V$5,"Fornitore .",X23),"non-visibile")</f>
        <v>10000</v>
      </c>
      <c r="AA23" s="279">
        <f>IF($Y23&lt;&gt;"non-visibile",'BUDGET STUDI -  IPOTESI 1'!$F19,"non-visibile")</f>
        <v>0</v>
      </c>
      <c r="AB23" s="279">
        <f>IF($Y23&lt;&gt;"non-visibile",'BUDGET STUDI -  IPOTESI 1'!$E19,"non-visibile")</f>
        <v>0</v>
      </c>
      <c r="AC23" s="207">
        <f>IFERROR(GETPIVOTDATA("Actual EURO ripartito",'Altre Tabelle di dettaglio'!$CH$5,"Fornitore .",X23),"non-visibile")</f>
        <v>0</v>
      </c>
      <c r="AD23" s="208">
        <f>IFERROR(GETPIVOTDATA("Actual LUMP ripartito",'Altre Tabelle di dettaglio'!$DC$5,"Fornitore .",X23),"non-visibile")</f>
        <v>1</v>
      </c>
      <c r="AE23" s="205">
        <f t="shared" si="1"/>
        <v>0</v>
      </c>
      <c r="AG23" s="212">
        <f t="shared" si="2"/>
        <v>0</v>
      </c>
      <c r="AH23" s="213" t="s">
        <v>149</v>
      </c>
      <c r="AI23" s="235">
        <f>IFERROR(GETPIVOTDATA("TOTALE ORE",'Altre Tabelle di dettaglio'!$AP$5,"Fornitore .",AH23),"non-visibile")</f>
        <v>0</v>
      </c>
      <c r="AJ23" s="235">
        <f>IF($AI23&lt;&gt;"non-visibile",'BUDGET STUDI -  IPOTESI 1'!$D19,"non-visibile")</f>
        <v>0</v>
      </c>
      <c r="AK23" s="235">
        <f>IF($Y23&lt;&gt;"non-visibile",'BUDGET STUDI -  IPOTESI 1'!$C19,"non-visibile")</f>
        <v>0</v>
      </c>
      <c r="AL23" s="211">
        <f>IFERROR(GETPIVOTDATA("Actual ORE ripartito",'Altre Tabelle di dettaglio'!$BK$5,"Fornitore .",AH23),"non-visibile")</f>
        <v>0</v>
      </c>
      <c r="AM23" s="212">
        <f t="shared" si="8"/>
        <v>0</v>
      </c>
    </row>
    <row r="24" spans="5:39" ht="21" customHeight="1" thickBot="1" x14ac:dyDescent="0.3">
      <c r="G24" s="667" t="s">
        <v>170</v>
      </c>
      <c r="H24" s="668"/>
      <c r="I24" s="669"/>
      <c r="J24" s="670" t="s">
        <v>171</v>
      </c>
      <c r="K24" s="668"/>
      <c r="L24" s="669"/>
      <c r="M24" s="670" t="s">
        <v>172</v>
      </c>
      <c r="N24" s="668"/>
      <c r="O24" s="668"/>
      <c r="P24" s="671">
        <f>P23-Q23</f>
        <v>-2837</v>
      </c>
      <c r="Q24" s="666"/>
      <c r="R24" s="665">
        <f>R23-S23</f>
        <v>-41571</v>
      </c>
      <c r="S24" s="666"/>
      <c r="T24" s="665">
        <f>T23-U23</f>
        <v>-97780</v>
      </c>
      <c r="U24" s="666"/>
      <c r="W24" s="205">
        <f t="shared" si="0"/>
        <v>0</v>
      </c>
      <c r="X24" s="276" t="s">
        <v>151</v>
      </c>
      <c r="Y24" s="206">
        <f>IFERROR(GETPIVOTDATA("BUDGET STIMATO ORE",'Altre Tabelle di dettaglio'!$B$5,"Fornitore .",X24),"non-visibile")</f>
        <v>0</v>
      </c>
      <c r="Z24" s="206">
        <f>IFERROR(GETPIVOTDATA("BUDGET STIMATO LUMP SUM",'Altre Tabelle di dettaglio'!$V$5,"Fornitore .",X24),"non-visibile")</f>
        <v>5000</v>
      </c>
      <c r="AA24" s="279">
        <f>IF($Y24&lt;&gt;"non-visibile",'BUDGET STUDI -  IPOTESI 1'!$F20,"non-visibile")</f>
        <v>0</v>
      </c>
      <c r="AB24" s="279">
        <f>IF($Y24&lt;&gt;"non-visibile",'BUDGET STUDI -  IPOTESI 1'!$E20,"non-visibile")</f>
        <v>0</v>
      </c>
      <c r="AC24" s="207">
        <f>IFERROR(GETPIVOTDATA("Actual EURO ripartito",'Altre Tabelle di dettaglio'!$CH$5,"Fornitore .",X24),"non-visibile")</f>
        <v>0</v>
      </c>
      <c r="AD24" s="208">
        <f>IFERROR(GETPIVOTDATA("Actual LUMP ripartito",'Altre Tabelle di dettaglio'!$DC$5,"Fornitore .",X24),"non-visibile")</f>
        <v>2</v>
      </c>
      <c r="AE24" s="205">
        <f t="shared" si="1"/>
        <v>0</v>
      </c>
      <c r="AG24" s="212">
        <f t="shared" si="2"/>
        <v>0</v>
      </c>
      <c r="AH24" s="213" t="s">
        <v>151</v>
      </c>
      <c r="AI24" s="235">
        <f>IFERROR(GETPIVOTDATA("TOTALE ORE",'Altre Tabelle di dettaglio'!$AP$5,"Fornitore .",AH24),"non-visibile")</f>
        <v>0</v>
      </c>
      <c r="AJ24" s="235">
        <f>IF($AI24&lt;&gt;"non-visibile",'BUDGET STUDI -  IPOTESI 1'!$D20,"non-visibile")</f>
        <v>0</v>
      </c>
      <c r="AK24" s="235">
        <f>IF($Y24&lt;&gt;"non-visibile",'BUDGET STUDI -  IPOTESI 1'!$C20,"non-visibile")</f>
        <v>0</v>
      </c>
      <c r="AL24" s="211">
        <f>IFERROR(GETPIVOTDATA("Actual ORE ripartito",'Altre Tabelle di dettaglio'!$BK$5,"Fornitore .",AH24),"non-visibile")</f>
        <v>0</v>
      </c>
      <c r="AM24" s="212">
        <f t="shared" si="8"/>
        <v>0</v>
      </c>
    </row>
    <row r="25" spans="5:39" ht="15.75" thickTop="1" x14ac:dyDescent="0.25">
      <c r="G25" s="253"/>
      <c r="H25" s="253"/>
      <c r="I25" s="253"/>
      <c r="J25" s="254"/>
      <c r="K25" s="253"/>
      <c r="L25" s="253"/>
      <c r="M25" s="255"/>
      <c r="N25" s="255"/>
      <c r="O25" s="255"/>
      <c r="P25" s="255"/>
      <c r="Q25" s="255"/>
      <c r="R25" s="255"/>
      <c r="S25" s="255"/>
      <c r="T25" s="255"/>
      <c r="U25" s="255"/>
      <c r="W25" s="205">
        <f t="shared" si="0"/>
        <v>0</v>
      </c>
      <c r="X25" s="276" t="s">
        <v>153</v>
      </c>
      <c r="Y25" s="206">
        <f>IFERROR(GETPIVOTDATA("BUDGET STIMATO ORE",'Altre Tabelle di dettaglio'!$B$5,"Fornitore .",X25),"non-visibile")</f>
        <v>0</v>
      </c>
      <c r="Z25" s="206">
        <f>IFERROR(GETPIVOTDATA("BUDGET STIMATO LUMP SUM",'Altre Tabelle di dettaglio'!$V$5,"Fornitore .",X25),"non-visibile")</f>
        <v>7500</v>
      </c>
      <c r="AA25" s="279">
        <f>IF($Y25&lt;&gt;"non-visibile",'BUDGET STUDI -  IPOTESI 1'!$F21,"non-visibile")</f>
        <v>0</v>
      </c>
      <c r="AB25" s="279">
        <f>IF($Y25&lt;&gt;"non-visibile",'BUDGET STUDI -  IPOTESI 1'!$E21,"non-visibile")</f>
        <v>0</v>
      </c>
      <c r="AC25" s="207">
        <f>IFERROR(GETPIVOTDATA("Actual EURO ripartito",'Altre Tabelle di dettaglio'!$CH$5,"Fornitore .",X25),"non-visibile")</f>
        <v>0</v>
      </c>
      <c r="AD25" s="208">
        <f>IFERROR(GETPIVOTDATA("Actual LUMP ripartito",'Altre Tabelle di dettaglio'!$DC$5,"Fornitore .",X25),"non-visibile")</f>
        <v>1</v>
      </c>
      <c r="AE25" s="205">
        <f t="shared" si="1"/>
        <v>0</v>
      </c>
      <c r="AG25" s="212">
        <f t="shared" si="2"/>
        <v>0</v>
      </c>
      <c r="AH25" s="213" t="s">
        <v>153</v>
      </c>
      <c r="AI25" s="235">
        <f>IFERROR(GETPIVOTDATA("TOTALE ORE",'Altre Tabelle di dettaglio'!$AP$5,"Fornitore .",AH25),"non-visibile")</f>
        <v>0</v>
      </c>
      <c r="AJ25" s="235">
        <f>IF($AI25&lt;&gt;"non-visibile",'BUDGET STUDI -  IPOTESI 1'!$D21,"non-visibile")</f>
        <v>0</v>
      </c>
      <c r="AK25" s="235">
        <f>IF($Y25&lt;&gt;"non-visibile",'BUDGET STUDI -  IPOTESI 1'!$C21,"non-visibile")</f>
        <v>0</v>
      </c>
      <c r="AL25" s="211">
        <f>IFERROR(GETPIVOTDATA("Actual ORE ripartito",'Altre Tabelle di dettaglio'!$BK$5,"Fornitore .",AH25),"non-visibile")</f>
        <v>0</v>
      </c>
      <c r="AM25" s="212">
        <f t="shared" si="8"/>
        <v>0</v>
      </c>
    </row>
    <row r="26" spans="5:39" x14ac:dyDescent="0.25">
      <c r="F26" s="255"/>
      <c r="G26" s="255"/>
      <c r="H26" s="255"/>
      <c r="I26" s="255"/>
      <c r="J26" s="255"/>
      <c r="K26" s="255"/>
      <c r="L26" s="255"/>
      <c r="M26" s="255"/>
      <c r="N26" s="255"/>
      <c r="O26" s="255"/>
      <c r="P26" s="255"/>
      <c r="Q26" s="255"/>
      <c r="R26" s="255"/>
      <c r="S26" s="255"/>
      <c r="T26" s="255"/>
      <c r="U26" s="255"/>
      <c r="W26" s="205">
        <f t="shared" si="0"/>
        <v>0</v>
      </c>
      <c r="X26" s="276" t="s">
        <v>155</v>
      </c>
      <c r="Y26" s="206">
        <f>IFERROR(GETPIVOTDATA("BUDGET STIMATO ORE",'Altre Tabelle di dettaglio'!$B$5,"Fornitore .",X26),"non-visibile")</f>
        <v>0</v>
      </c>
      <c r="Z26" s="206">
        <f>IFERROR(GETPIVOTDATA("BUDGET STIMATO LUMP SUM",'Altre Tabelle di dettaglio'!$V$5,"Fornitore .",X26),"non-visibile")</f>
        <v>22240</v>
      </c>
      <c r="AA26" s="279">
        <f>IF($Y26&lt;&gt;"non-visibile",'BUDGET STUDI -  IPOTESI 1'!$F22,"non-visibile")</f>
        <v>0</v>
      </c>
      <c r="AB26" s="279">
        <f>IF($Y26&lt;&gt;"non-visibile",'BUDGET STUDI -  IPOTESI 1'!$E22,"non-visibile")</f>
        <v>0</v>
      </c>
      <c r="AC26" s="207">
        <f>IFERROR(GETPIVOTDATA("Actual EURO ripartito",'Altre Tabelle di dettaglio'!$CH$5,"Fornitore .",X26),"non-visibile")</f>
        <v>0</v>
      </c>
      <c r="AD26" s="208">
        <f>IFERROR(GETPIVOTDATA("Actual LUMP ripartito",'Altre Tabelle di dettaglio'!$DC$5,"Fornitore .",X26),"non-visibile")</f>
        <v>0</v>
      </c>
      <c r="AE26" s="205">
        <f t="shared" si="1"/>
        <v>0</v>
      </c>
      <c r="AG26" s="212">
        <f t="shared" si="2"/>
        <v>0</v>
      </c>
      <c r="AH26" s="213" t="s">
        <v>155</v>
      </c>
      <c r="AI26" s="235">
        <f>IFERROR(GETPIVOTDATA("TOTALE ORE",'Altre Tabelle di dettaglio'!$AP$5,"Fornitore .",AH26),"non-visibile")</f>
        <v>0</v>
      </c>
      <c r="AJ26" s="235">
        <f>IF($AI26&lt;&gt;"non-visibile",'BUDGET STUDI -  IPOTESI 1'!$D22,"non-visibile")</f>
        <v>0</v>
      </c>
      <c r="AK26" s="235">
        <f>IF($Y26&lt;&gt;"non-visibile",'BUDGET STUDI -  IPOTESI 1'!$C22,"non-visibile")</f>
        <v>0</v>
      </c>
      <c r="AL26" s="211">
        <f>IFERROR(GETPIVOTDATA("Actual ORE ripartito",'Altre Tabelle di dettaglio'!$BK$5,"Fornitore .",AH26),"non-visibile")</f>
        <v>0</v>
      </c>
      <c r="AM26" s="212">
        <f t="shared" si="8"/>
        <v>0</v>
      </c>
    </row>
    <row r="27" spans="5:39" x14ac:dyDescent="0.25">
      <c r="E27" s="255"/>
      <c r="F27" s="255"/>
      <c r="J27" s="255"/>
      <c r="K27" s="255"/>
      <c r="L27" s="192"/>
      <c r="M27" s="192"/>
      <c r="N27" s="192"/>
      <c r="O27" s="192"/>
      <c r="P27" s="192"/>
      <c r="Q27" s="192"/>
      <c r="R27" s="192"/>
      <c r="S27" s="192"/>
      <c r="T27" s="192"/>
      <c r="U27" s="192"/>
      <c r="W27" s="205" t="str">
        <f t="shared" si="0"/>
        <v/>
      </c>
      <c r="X27" s="276"/>
      <c r="Y27" s="206" t="str">
        <f>IFERROR(GETPIVOTDATA("BUDGET STIMATO ORE",'Altre Tabelle di dettaglio'!$B$5,"Fornitore .",X27),"non-visibile")</f>
        <v>non-visibile</v>
      </c>
      <c r="Z27" s="206" t="str">
        <f>IFERROR(GETPIVOTDATA("BUDGET STIMATO LUMP SUM",'Altre Tabelle di dettaglio'!$V$5,"Fornitore .",X27),"non-visibile")</f>
        <v>non-visibile</v>
      </c>
      <c r="AA27" s="279" t="str">
        <f>IF($Y27&lt;&gt;"non-visibile",'BUDGET STUDI -  IPOTESI 1'!$F23,"non-visibile")</f>
        <v>non-visibile</v>
      </c>
      <c r="AB27" s="279" t="str">
        <f>IF($Y27&lt;&gt;"non-visibile",'BUDGET STUDI -  IPOTESI 1'!$E23,"non-visibile")</f>
        <v>non-visibile</v>
      </c>
      <c r="AC27" s="207" t="str">
        <f>IFERROR(GETPIVOTDATA("Actual EURO ripartito",'Altre Tabelle di dettaglio'!$CH$5,"Fornitore .",X27),"non-visibile")</f>
        <v>non-visibile</v>
      </c>
      <c r="AD27" s="208" t="str">
        <f>IFERROR(GETPIVOTDATA("Actual LUMP ripartito",'Altre Tabelle di dettaglio'!$DC$5,"Fornitore .",X27),"non-visibile")</f>
        <v>non-visibile</v>
      </c>
      <c r="AE27" s="205" t="str">
        <f t="shared" si="1"/>
        <v/>
      </c>
      <c r="AG27" s="212" t="str">
        <f t="shared" si="2"/>
        <v/>
      </c>
      <c r="AH27" s="213"/>
      <c r="AI27" s="235" t="str">
        <f>IFERROR(GETPIVOTDATA("TOTALE ORE",'Altre Tabelle di dettaglio'!$AP$5,"Fornitore .",AH27),"non-visibile")</f>
        <v>non-visibile</v>
      </c>
      <c r="AJ27" s="235" t="str">
        <f>IF($AI27&lt;&gt;"non-visibile",'BUDGET STUDI -  IPOTESI 1'!$D23,"non-visibile")</f>
        <v>non-visibile</v>
      </c>
      <c r="AK27" s="235" t="str">
        <f>IF($Y27&lt;&gt;"non-visibile",'BUDGET STUDI -  IPOTESI 1'!$C23,"non-visibile")</f>
        <v>non-visibile</v>
      </c>
      <c r="AL27" s="211" t="str">
        <f>IFERROR(GETPIVOTDATA("Actual ORE ripartito",'Altre Tabelle di dettaglio'!$BK$5,"Fornitore .",AH27),"non-visibile")</f>
        <v>non-visibile</v>
      </c>
      <c r="AM27" s="212" t="str">
        <f t="shared" si="8"/>
        <v/>
      </c>
    </row>
    <row r="28" spans="5:39" x14ac:dyDescent="0.25">
      <c r="E28" s="255"/>
      <c r="F28" s="255"/>
      <c r="J28" s="255"/>
      <c r="K28" s="255"/>
      <c r="L28" s="192"/>
      <c r="M28" s="192"/>
      <c r="N28" s="192"/>
      <c r="O28" s="192"/>
      <c r="P28" s="192"/>
      <c r="Q28" s="192"/>
      <c r="R28" s="192"/>
      <c r="S28" s="192"/>
      <c r="T28" s="192"/>
      <c r="U28" s="192"/>
      <c r="W28" s="205" t="str">
        <f t="shared" si="0"/>
        <v/>
      </c>
      <c r="X28" s="276"/>
      <c r="Y28" s="206" t="str">
        <f>IFERROR(GETPIVOTDATA("BUDGET STIMATO ORE",'Altre Tabelle di dettaglio'!$B$5,"Fornitore .",X28),"non-visibile")</f>
        <v>non-visibile</v>
      </c>
      <c r="Z28" s="206" t="str">
        <f>IFERROR(GETPIVOTDATA("BUDGET STIMATO LUMP SUM",'Altre Tabelle di dettaglio'!$V$5,"Fornitore .",X28),"non-visibile")</f>
        <v>non-visibile</v>
      </c>
      <c r="AA28" s="279" t="str">
        <f>IF($Y28&lt;&gt;"non-visibile",'BUDGET STUDI -  IPOTESI 1'!$F24,"non-visibile")</f>
        <v>non-visibile</v>
      </c>
      <c r="AB28" s="279" t="str">
        <f>IF($Y28&lt;&gt;"non-visibile",'BUDGET STUDI -  IPOTESI 1'!$E24,"non-visibile")</f>
        <v>non-visibile</v>
      </c>
      <c r="AC28" s="207" t="str">
        <f>IFERROR(GETPIVOTDATA("Actual EURO ripartito",'Altre Tabelle di dettaglio'!$CH$5,"Fornitore .",X28),"non-visibile")</f>
        <v>non-visibile</v>
      </c>
      <c r="AD28" s="208" t="str">
        <f>IFERROR(GETPIVOTDATA("Actual LUMP ripartito",'Altre Tabelle di dettaglio'!$DC$5,"Fornitore .",X28),"non-visibile")</f>
        <v>non-visibile</v>
      </c>
      <c r="AE28" s="205" t="str">
        <f t="shared" si="1"/>
        <v/>
      </c>
      <c r="AG28" s="212" t="str">
        <f t="shared" si="2"/>
        <v/>
      </c>
      <c r="AH28" s="213"/>
      <c r="AI28" s="235" t="str">
        <f>IFERROR(GETPIVOTDATA("TOTALE ORE",'Altre Tabelle di dettaglio'!$AP$5,"Fornitore .",AH28),"non-visibile")</f>
        <v>non-visibile</v>
      </c>
      <c r="AJ28" s="235" t="str">
        <f>IF($AI28&lt;&gt;"non-visibile",'BUDGET STUDI -  IPOTESI 1'!$D24,"non-visibile")</f>
        <v>non-visibile</v>
      </c>
      <c r="AK28" s="235" t="str">
        <f>IF($Y28&lt;&gt;"non-visibile",'BUDGET STUDI -  IPOTESI 1'!$C24,"non-visibile")</f>
        <v>non-visibile</v>
      </c>
      <c r="AL28" s="211" t="str">
        <f>IFERROR(GETPIVOTDATA("Actual ORE ripartito",'Altre Tabelle di dettaglio'!$BK$5,"Fornitore .",AH28),"non-visibile")</f>
        <v>non-visibile</v>
      </c>
      <c r="AM28" s="212" t="str">
        <f t="shared" si="8"/>
        <v/>
      </c>
    </row>
    <row r="29" spans="5:39" x14ac:dyDescent="0.25">
      <c r="F29" s="255"/>
      <c r="G29" s="255"/>
      <c r="H29" s="255"/>
      <c r="I29" s="255"/>
      <c r="J29" s="255"/>
      <c r="K29" s="255"/>
      <c r="L29" s="255"/>
      <c r="M29" s="255"/>
      <c r="N29" s="255"/>
      <c r="O29" s="255"/>
      <c r="P29" s="255"/>
      <c r="Q29" s="255"/>
      <c r="R29" s="255"/>
      <c r="S29" s="255"/>
      <c r="T29" s="255"/>
      <c r="U29" s="255"/>
      <c r="W29" s="205" t="str">
        <f t="shared" si="0"/>
        <v/>
      </c>
      <c r="X29" s="276"/>
      <c r="Y29" s="206" t="str">
        <f>IFERROR(GETPIVOTDATA("BUDGET STIMATO ORE",'Altre Tabelle di dettaglio'!$B$5,"Fornitore .",X29),"non-visibile")</f>
        <v>non-visibile</v>
      </c>
      <c r="Z29" s="206" t="str">
        <f>IFERROR(GETPIVOTDATA("BUDGET STIMATO LUMP SUM",'Altre Tabelle di dettaglio'!$V$5,"Fornitore .",X29),"non-visibile")</f>
        <v>non-visibile</v>
      </c>
      <c r="AA29" s="279" t="str">
        <f>IF($Y29&lt;&gt;"non-visibile",'BUDGET STUDI -  IPOTESI 1'!$F25,"non-visibile")</f>
        <v>non-visibile</v>
      </c>
      <c r="AB29" s="279" t="str">
        <f>IF($Y29&lt;&gt;"non-visibile",'BUDGET STUDI -  IPOTESI 1'!$E25,"non-visibile")</f>
        <v>non-visibile</v>
      </c>
      <c r="AC29" s="207" t="str">
        <f>IFERROR(GETPIVOTDATA("Actual EURO ripartito",'Altre Tabelle di dettaglio'!$CH$5,"Fornitore .",X29),"non-visibile")</f>
        <v>non-visibile</v>
      </c>
      <c r="AD29" s="208" t="str">
        <f>IFERROR(GETPIVOTDATA("Actual LUMP ripartito",'Altre Tabelle di dettaglio'!$DC$5,"Fornitore .",X29),"non-visibile")</f>
        <v>non-visibile</v>
      </c>
      <c r="AE29" s="205" t="str">
        <f t="shared" si="1"/>
        <v/>
      </c>
      <c r="AG29" s="212" t="str">
        <f t="shared" si="2"/>
        <v/>
      </c>
      <c r="AH29" s="213"/>
      <c r="AI29" s="235" t="str">
        <f>IFERROR(GETPIVOTDATA("TOTALE ORE",'Altre Tabelle di dettaglio'!$AP$5,"Fornitore .",AH29),"non-visibile")</f>
        <v>non-visibile</v>
      </c>
      <c r="AJ29" s="235" t="str">
        <f>IF($AI29&lt;&gt;"non-visibile",'BUDGET STUDI -  IPOTESI 1'!$D25,"non-visibile")</f>
        <v>non-visibile</v>
      </c>
      <c r="AK29" s="235" t="str">
        <f>IF($Y29&lt;&gt;"non-visibile",'BUDGET STUDI -  IPOTESI 1'!$C25,"non-visibile")</f>
        <v>non-visibile</v>
      </c>
      <c r="AL29" s="211" t="str">
        <f>IFERROR(GETPIVOTDATA("Actual ORE ripartito",'Altre Tabelle di dettaglio'!$BK$5,"Fornitore .",AH29),"non-visibile")</f>
        <v>non-visibile</v>
      </c>
      <c r="AM29" s="212" t="str">
        <f t="shared" si="8"/>
        <v/>
      </c>
    </row>
    <row r="30" spans="5:39" x14ac:dyDescent="0.25">
      <c r="F30" s="255"/>
      <c r="G30" s="255"/>
      <c r="H30" s="255"/>
      <c r="I30" s="255"/>
      <c r="J30" s="255"/>
      <c r="K30" s="255"/>
      <c r="L30" s="255"/>
      <c r="M30" s="255"/>
      <c r="N30" s="255"/>
      <c r="O30" s="255"/>
      <c r="P30" s="255"/>
      <c r="Q30" s="255"/>
      <c r="R30" s="255"/>
      <c r="S30" s="255"/>
      <c r="T30" s="255"/>
      <c r="U30" s="255"/>
      <c r="W30" s="205" t="str">
        <f t="shared" si="0"/>
        <v/>
      </c>
      <c r="X30" s="276"/>
      <c r="Y30" s="206" t="str">
        <f>IFERROR(GETPIVOTDATA("BUDGET STIMATO ORE",'Altre Tabelle di dettaglio'!$B$5,"Fornitore .",X30),"non-visibile")</f>
        <v>non-visibile</v>
      </c>
      <c r="Z30" s="206" t="str">
        <f>IFERROR(GETPIVOTDATA("BUDGET STIMATO LUMP SUM",'Altre Tabelle di dettaglio'!$V$5,"Fornitore .",X30),"non-visibile")</f>
        <v>non-visibile</v>
      </c>
      <c r="AA30" s="279" t="str">
        <f>IF($Y30&lt;&gt;"non-visibile",'BUDGET STUDI -  IPOTESI 1'!$F26,"non-visibile")</f>
        <v>non-visibile</v>
      </c>
      <c r="AB30" s="279" t="str">
        <f>IF($Y30&lt;&gt;"non-visibile",'BUDGET STUDI -  IPOTESI 1'!$E26,"non-visibile")</f>
        <v>non-visibile</v>
      </c>
      <c r="AC30" s="207" t="str">
        <f>IFERROR(GETPIVOTDATA("Actual EURO ripartito",'Altre Tabelle di dettaglio'!$CH$5,"Fornitore .",X30),"non-visibile")</f>
        <v>non-visibile</v>
      </c>
      <c r="AD30" s="208" t="str">
        <f>IFERROR(GETPIVOTDATA("Actual LUMP ripartito",'Altre Tabelle di dettaglio'!$DC$5,"Fornitore .",X30),"non-visibile")</f>
        <v>non-visibile</v>
      </c>
      <c r="AE30" s="205" t="str">
        <f t="shared" si="1"/>
        <v/>
      </c>
      <c r="AG30" s="212" t="str">
        <f t="shared" si="2"/>
        <v/>
      </c>
      <c r="AH30" s="213"/>
      <c r="AI30" s="235" t="str">
        <f>IFERROR(GETPIVOTDATA("TOTALE ORE",'Altre Tabelle di dettaglio'!$AP$5,"Fornitore .",AH30),"non-visibile")</f>
        <v>non-visibile</v>
      </c>
      <c r="AJ30" s="235" t="str">
        <f>IF($AI30&lt;&gt;"non-visibile",'BUDGET STUDI -  IPOTESI 1'!$D26,"non-visibile")</f>
        <v>non-visibile</v>
      </c>
      <c r="AK30" s="235" t="str">
        <f>IF($Y30&lt;&gt;"non-visibile",'BUDGET STUDI -  IPOTESI 1'!$C26,"non-visibile")</f>
        <v>non-visibile</v>
      </c>
      <c r="AL30" s="211" t="str">
        <f>IFERROR(GETPIVOTDATA("Actual ORE ripartito",'Altre Tabelle di dettaglio'!$BK$5,"Fornitore .",AH30),"non-visibile")</f>
        <v>non-visibile</v>
      </c>
      <c r="AM30" s="212" t="str">
        <f t="shared" si="8"/>
        <v/>
      </c>
    </row>
    <row r="31" spans="5:39" x14ac:dyDescent="0.25">
      <c r="F31" s="255"/>
      <c r="G31" s="255"/>
      <c r="H31" s="255"/>
      <c r="I31" s="255"/>
      <c r="J31" s="255"/>
      <c r="K31" s="255"/>
      <c r="L31" s="255"/>
      <c r="M31" s="255"/>
      <c r="N31" s="255"/>
      <c r="O31" s="255"/>
      <c r="P31" s="255"/>
      <c r="Q31" s="255"/>
      <c r="R31" s="255"/>
      <c r="S31" s="255"/>
      <c r="T31" s="255"/>
      <c r="U31" s="255"/>
      <c r="W31" s="205" t="str">
        <f t="shared" si="0"/>
        <v/>
      </c>
      <c r="X31" s="276"/>
      <c r="Y31" s="206" t="str">
        <f>IFERROR(GETPIVOTDATA("BUDGET STIMATO ORE",'Altre Tabelle di dettaglio'!$B$5,"Fornitore .",X31),"non-visibile")</f>
        <v>non-visibile</v>
      </c>
      <c r="Z31" s="206" t="str">
        <f>IFERROR(GETPIVOTDATA("BUDGET STIMATO LUMP SUM",'Altre Tabelle di dettaglio'!$V$5,"Fornitore .",X31),"non-visibile")</f>
        <v>non-visibile</v>
      </c>
      <c r="AA31" s="279" t="str">
        <f>IF($Y31&lt;&gt;"non-visibile",'BUDGET STUDI -  IPOTESI 1'!$F27,"non-visibile")</f>
        <v>non-visibile</v>
      </c>
      <c r="AB31" s="279" t="str">
        <f>IF($Y31&lt;&gt;"non-visibile",'BUDGET STUDI -  IPOTESI 1'!$E27,"non-visibile")</f>
        <v>non-visibile</v>
      </c>
      <c r="AC31" s="207" t="str">
        <f>IFERROR(GETPIVOTDATA("Actual EURO ripartito",'Altre Tabelle di dettaglio'!$CH$5,"Fornitore .",X31),"non-visibile")</f>
        <v>non-visibile</v>
      </c>
      <c r="AD31" s="208" t="str">
        <f>IFERROR(GETPIVOTDATA("Actual LUMP ripartito",'Altre Tabelle di dettaglio'!$DC$5,"Fornitore .",X31),"non-visibile")</f>
        <v>non-visibile</v>
      </c>
      <c r="AE31" s="205" t="str">
        <f t="shared" si="1"/>
        <v/>
      </c>
      <c r="AG31" s="212" t="str">
        <f t="shared" si="2"/>
        <v/>
      </c>
      <c r="AH31" s="213"/>
      <c r="AI31" s="235" t="str">
        <f>IFERROR(GETPIVOTDATA("TOTALE ORE",'Altre Tabelle di dettaglio'!$AP$5,"Fornitore .",AH31),"non-visibile")</f>
        <v>non-visibile</v>
      </c>
      <c r="AJ31" s="235" t="str">
        <f>IF($AI31&lt;&gt;"non-visibile",'BUDGET STUDI -  IPOTESI 1'!$D27,"non-visibile")</f>
        <v>non-visibile</v>
      </c>
      <c r="AK31" s="235" t="str">
        <f>IF($Y31&lt;&gt;"non-visibile",'BUDGET STUDI -  IPOTESI 1'!$C27,"non-visibile")</f>
        <v>non-visibile</v>
      </c>
      <c r="AL31" s="211" t="str">
        <f>IFERROR(GETPIVOTDATA("Actual ORE ripartito",'Altre Tabelle di dettaglio'!$BK$5,"Fornitore .",AH31),"non-visibile")</f>
        <v>non-visibile</v>
      </c>
      <c r="AM31" s="212" t="str">
        <f t="shared" si="8"/>
        <v/>
      </c>
    </row>
    <row r="32" spans="5:39" x14ac:dyDescent="0.25">
      <c r="F32" s="255"/>
      <c r="G32" s="255"/>
      <c r="H32" s="255"/>
      <c r="I32" s="255"/>
      <c r="J32" s="255"/>
      <c r="K32" s="255"/>
      <c r="L32" s="255"/>
      <c r="M32" s="255"/>
      <c r="N32" s="255"/>
      <c r="O32" s="255"/>
      <c r="P32" s="255"/>
      <c r="Q32" s="255"/>
      <c r="R32" s="255"/>
      <c r="S32" s="255"/>
      <c r="T32" s="255"/>
      <c r="U32" s="255"/>
      <c r="W32" s="205" t="str">
        <f t="shared" si="0"/>
        <v/>
      </c>
      <c r="X32" s="276"/>
      <c r="Y32" s="206" t="str">
        <f>IFERROR(GETPIVOTDATA("BUDGET STIMATO ORE",'Altre Tabelle di dettaglio'!$B$5,"Fornitore .",X32),"non-visibile")</f>
        <v>non-visibile</v>
      </c>
      <c r="Z32" s="206" t="str">
        <f>IFERROR(GETPIVOTDATA("BUDGET STIMATO LUMP SUM",'Altre Tabelle di dettaglio'!$V$5,"Fornitore .",X32),"non-visibile")</f>
        <v>non-visibile</v>
      </c>
      <c r="AA32" s="279" t="str">
        <f>IF($Y32&lt;&gt;"non-visibile",'BUDGET STUDI -  IPOTESI 1'!$F28,"non-visibile")</f>
        <v>non-visibile</v>
      </c>
      <c r="AB32" s="279" t="str">
        <f>IF($Y32&lt;&gt;"non-visibile",'BUDGET STUDI -  IPOTESI 1'!$E28,"non-visibile")</f>
        <v>non-visibile</v>
      </c>
      <c r="AC32" s="207" t="str">
        <f>IFERROR(GETPIVOTDATA("Actual EURO ripartito",'Altre Tabelle di dettaglio'!$CH$5,"Fornitore .",X32),"non-visibile")</f>
        <v>non-visibile</v>
      </c>
      <c r="AD32" s="208" t="str">
        <f>IFERROR(GETPIVOTDATA("Actual LUMP ripartito",'Altre Tabelle di dettaglio'!$DC$5,"Fornitore .",X32),"non-visibile")</f>
        <v>non-visibile</v>
      </c>
      <c r="AE32" s="205" t="str">
        <f t="shared" si="1"/>
        <v/>
      </c>
      <c r="AG32" s="212" t="str">
        <f t="shared" si="2"/>
        <v/>
      </c>
      <c r="AH32" s="213"/>
      <c r="AI32" s="235" t="str">
        <f>IFERROR(GETPIVOTDATA("TOTALE ORE",'Altre Tabelle di dettaglio'!$AP$5,"Fornitore .",AH32),"non-visibile")</f>
        <v>non-visibile</v>
      </c>
      <c r="AJ32" s="235" t="str">
        <f>IF($AI32&lt;&gt;"non-visibile",'BUDGET STUDI -  IPOTESI 1'!$D28,"non-visibile")</f>
        <v>non-visibile</v>
      </c>
      <c r="AK32" s="235" t="str">
        <f>IF($Y32&lt;&gt;"non-visibile",'BUDGET STUDI -  IPOTESI 1'!$C28,"non-visibile")</f>
        <v>non-visibile</v>
      </c>
      <c r="AL32" s="211" t="str">
        <f>IFERROR(GETPIVOTDATA("Actual ORE ripartito",'Altre Tabelle di dettaglio'!$BK$5,"Fornitore .",AH32),"non-visibile")</f>
        <v>non-visibile</v>
      </c>
      <c r="AM32" s="212" t="str">
        <f t="shared" si="8"/>
        <v/>
      </c>
    </row>
    <row r="33" spans="1:39" x14ac:dyDescent="0.25">
      <c r="F33" s="255"/>
      <c r="G33" s="255"/>
      <c r="H33" s="255"/>
      <c r="I33" s="255"/>
      <c r="J33" s="255"/>
      <c r="K33" s="255"/>
      <c r="L33" s="255"/>
      <c r="M33" s="255"/>
      <c r="N33" s="255"/>
      <c r="O33" s="255"/>
      <c r="P33" s="255"/>
      <c r="Q33" s="255"/>
      <c r="R33" s="255"/>
      <c r="S33" s="255"/>
      <c r="T33" s="255"/>
      <c r="U33" s="255"/>
      <c r="W33" s="205" t="str">
        <f t="shared" si="0"/>
        <v/>
      </c>
      <c r="X33" s="276"/>
      <c r="Y33" s="206" t="str">
        <f>IFERROR(GETPIVOTDATA("BUDGET STIMATO ORE",'Altre Tabelle di dettaglio'!$B$5,"Fornitore .",X33),"non-visibile")</f>
        <v>non-visibile</v>
      </c>
      <c r="Z33" s="206" t="str">
        <f>IFERROR(GETPIVOTDATA("BUDGET STIMATO LUMP SUM",'Altre Tabelle di dettaglio'!$V$5,"Fornitore .",X33),"non-visibile")</f>
        <v>non-visibile</v>
      </c>
      <c r="AA33" s="279" t="str">
        <f>IF($Y33&lt;&gt;"non-visibile",'BUDGET STUDI -  IPOTESI 1'!$F29,"non-visibile")</f>
        <v>non-visibile</v>
      </c>
      <c r="AB33" s="279" t="str">
        <f>IF($Y33&lt;&gt;"non-visibile",'BUDGET STUDI -  IPOTESI 1'!$E29,"non-visibile")</f>
        <v>non-visibile</v>
      </c>
      <c r="AC33" s="207" t="str">
        <f>IFERROR(GETPIVOTDATA("Actual EURO ripartito",'Altre Tabelle di dettaglio'!$CH$5,"Fornitore .",X33),"non-visibile")</f>
        <v>non-visibile</v>
      </c>
      <c r="AD33" s="208" t="str">
        <f>IFERROR(GETPIVOTDATA("Actual LUMP ripartito",'Altre Tabelle di dettaglio'!$DC$5,"Fornitore .",X33),"non-visibile")</f>
        <v>non-visibile</v>
      </c>
      <c r="AE33" s="205" t="str">
        <f t="shared" si="1"/>
        <v/>
      </c>
      <c r="AG33" s="212" t="str">
        <f t="shared" si="2"/>
        <v/>
      </c>
      <c r="AH33" s="213"/>
      <c r="AI33" s="235" t="str">
        <f>IFERROR(GETPIVOTDATA("TOTALE ORE",'Altre Tabelle di dettaglio'!$AP$5,"Fornitore .",AH33),"non-visibile")</f>
        <v>non-visibile</v>
      </c>
      <c r="AJ33" s="235" t="str">
        <f>IF($AI33&lt;&gt;"non-visibile",'BUDGET STUDI -  IPOTESI 1'!$D29,"non-visibile")</f>
        <v>non-visibile</v>
      </c>
      <c r="AK33" s="235" t="str">
        <f>IF($Y33&lt;&gt;"non-visibile",'BUDGET STUDI -  IPOTESI 1'!$C29,"non-visibile")</f>
        <v>non-visibile</v>
      </c>
      <c r="AL33" s="211" t="str">
        <f>IFERROR(GETPIVOTDATA("Actual ORE ripartito",'Altre Tabelle di dettaglio'!$BK$5,"Fornitore .",AH33),"non-visibile")</f>
        <v>non-visibile</v>
      </c>
      <c r="AM33" s="212" t="str">
        <f t="shared" si="8"/>
        <v/>
      </c>
    </row>
    <row r="34" spans="1:39" x14ac:dyDescent="0.25">
      <c r="F34" s="255"/>
      <c r="G34" s="255"/>
      <c r="H34" s="255"/>
      <c r="I34" s="255"/>
      <c r="J34" s="255"/>
      <c r="K34" s="255"/>
      <c r="L34" s="255"/>
      <c r="M34" s="255"/>
      <c r="N34" s="255"/>
      <c r="O34" s="255"/>
      <c r="P34" s="255"/>
      <c r="Q34" s="255"/>
      <c r="R34" s="255"/>
      <c r="S34" s="255"/>
      <c r="T34" s="255"/>
      <c r="U34" s="255"/>
      <c r="W34" s="205" t="str">
        <f t="shared" si="0"/>
        <v/>
      </c>
      <c r="X34" s="276"/>
      <c r="Y34" s="206" t="str">
        <f>IFERROR(GETPIVOTDATA("BUDGET STIMATO ORE",'Altre Tabelle di dettaglio'!$B$5,"Fornitore .",X34),"non-visibile")</f>
        <v>non-visibile</v>
      </c>
      <c r="Z34" s="206" t="str">
        <f>IFERROR(GETPIVOTDATA("BUDGET STIMATO LUMP SUM",'Altre Tabelle di dettaglio'!$V$5,"Fornitore .",X34),"non-visibile")</f>
        <v>non-visibile</v>
      </c>
      <c r="AA34" s="279" t="str">
        <f>IF($Y34&lt;&gt;"non-visibile",'BUDGET STUDI -  IPOTESI 1'!$F30,"non-visibile")</f>
        <v>non-visibile</v>
      </c>
      <c r="AB34" s="279" t="str">
        <f>IF($Y34&lt;&gt;"non-visibile",'BUDGET STUDI -  IPOTESI 1'!$E30,"non-visibile")</f>
        <v>non-visibile</v>
      </c>
      <c r="AC34" s="207" t="str">
        <f>IFERROR(GETPIVOTDATA("Actual EURO ripartito",'Altre Tabelle di dettaglio'!$CH$5,"Fornitore .",X34),"non-visibile")</f>
        <v>non-visibile</v>
      </c>
      <c r="AD34" s="208" t="str">
        <f>IFERROR(GETPIVOTDATA("Actual LUMP ripartito",'Altre Tabelle di dettaglio'!$DC$5,"Fornitore .",X34),"non-visibile")</f>
        <v>non-visibile</v>
      </c>
      <c r="AE34" s="205" t="str">
        <f t="shared" si="1"/>
        <v/>
      </c>
      <c r="AG34" s="212" t="str">
        <f t="shared" si="2"/>
        <v/>
      </c>
      <c r="AH34" s="213"/>
      <c r="AI34" s="235" t="str">
        <f>IFERROR(GETPIVOTDATA("TOTALE ORE",'Altre Tabelle di dettaglio'!$AP$5,"Fornitore .",AH34),"non-visibile")</f>
        <v>non-visibile</v>
      </c>
      <c r="AJ34" s="235" t="str">
        <f>IF($AI34&lt;&gt;"non-visibile",'BUDGET STUDI -  IPOTESI 1'!$D30,"non-visibile")</f>
        <v>non-visibile</v>
      </c>
      <c r="AK34" s="235" t="str">
        <f>IF($Y34&lt;&gt;"non-visibile",'BUDGET STUDI -  IPOTESI 1'!$C30,"non-visibile")</f>
        <v>non-visibile</v>
      </c>
      <c r="AL34" s="211" t="str">
        <f>IFERROR(GETPIVOTDATA("Actual ORE ripartito",'Altre Tabelle di dettaglio'!$BK$5,"Fornitore .",AH34),"non-visibile")</f>
        <v>non-visibile</v>
      </c>
      <c r="AM34" s="212" t="str">
        <f t="shared" si="8"/>
        <v/>
      </c>
    </row>
    <row r="35" spans="1:39" x14ac:dyDescent="0.25">
      <c r="W35" s="205" t="str">
        <f t="shared" si="0"/>
        <v/>
      </c>
      <c r="X35" s="276"/>
      <c r="Y35" s="206" t="str">
        <f>IFERROR(GETPIVOTDATA("BUDGET STIMATO ORE",'Altre Tabelle di dettaglio'!$B$5,"Fornitore .",X35),"non-visibile")</f>
        <v>non-visibile</v>
      </c>
      <c r="Z35" s="206" t="str">
        <f>IFERROR(GETPIVOTDATA("BUDGET STIMATO LUMP SUM",'Altre Tabelle di dettaglio'!$V$5,"Fornitore .",X35),"non-visibile")</f>
        <v>non-visibile</v>
      </c>
      <c r="AA35" s="279" t="str">
        <f>IF($Y35&lt;&gt;"non-visibile",'BUDGET STUDI -  IPOTESI 1'!$F31,"non-visibile")</f>
        <v>non-visibile</v>
      </c>
      <c r="AB35" s="279" t="str">
        <f>IF($Y35&lt;&gt;"non-visibile",'BUDGET STUDI -  IPOTESI 1'!$E31,"non-visibile")</f>
        <v>non-visibile</v>
      </c>
      <c r="AC35" s="207" t="str">
        <f>IFERROR(GETPIVOTDATA("Actual EURO ripartito",'Altre Tabelle di dettaglio'!$CH$5,"Fornitore .",X35),"non-visibile")</f>
        <v>non-visibile</v>
      </c>
      <c r="AD35" s="208" t="str">
        <f>IFERROR(GETPIVOTDATA("Actual LUMP ripartito",'Altre Tabelle di dettaglio'!$DC$5,"Fornitore .",X35),"non-visibile")</f>
        <v>non-visibile</v>
      </c>
      <c r="AE35" s="205" t="str">
        <f t="shared" si="1"/>
        <v/>
      </c>
      <c r="AG35" s="212" t="str">
        <f t="shared" si="2"/>
        <v/>
      </c>
      <c r="AH35" s="213"/>
      <c r="AI35" s="235" t="str">
        <f>IFERROR(GETPIVOTDATA("TOTALE ORE",'Altre Tabelle di dettaglio'!$AP$5,"Fornitore .",AH35),"non-visibile")</f>
        <v>non-visibile</v>
      </c>
      <c r="AJ35" s="235" t="str">
        <f>IF($AI35&lt;&gt;"non-visibile",'BUDGET STUDI -  IPOTESI 1'!$D31,"non-visibile")</f>
        <v>non-visibile</v>
      </c>
      <c r="AK35" s="235" t="str">
        <f>IF($Y35&lt;&gt;"non-visibile",'BUDGET STUDI -  IPOTESI 1'!$C31,"non-visibile")</f>
        <v>non-visibile</v>
      </c>
      <c r="AL35" s="211" t="str">
        <f>IFERROR(GETPIVOTDATA("Actual ORE ripartito",'Altre Tabelle di dettaglio'!$BK$5,"Fornitore .",AH35),"non-visibile")</f>
        <v>non-visibile</v>
      </c>
      <c r="AM35" s="212" t="str">
        <f t="shared" si="8"/>
        <v/>
      </c>
    </row>
    <row r="36" spans="1:39" x14ac:dyDescent="0.25">
      <c r="W36" s="205" t="str">
        <f t="shared" si="0"/>
        <v/>
      </c>
      <c r="X36" s="276"/>
      <c r="Y36" s="206" t="str">
        <f>IFERROR(GETPIVOTDATA("BUDGET STIMATO ORE",'Altre Tabelle di dettaglio'!$B$5,"Fornitore .",X36),"non-visibile")</f>
        <v>non-visibile</v>
      </c>
      <c r="Z36" s="206" t="str">
        <f>IFERROR(GETPIVOTDATA("BUDGET STIMATO LUMP SUM",'Altre Tabelle di dettaglio'!$V$5,"Fornitore .",X36),"non-visibile")</f>
        <v>non-visibile</v>
      </c>
      <c r="AA36" s="279" t="str">
        <f>IF($Y36&lt;&gt;"non-visibile",'BUDGET STUDI -  IPOTESI 1'!$F32,"non-visibile")</f>
        <v>non-visibile</v>
      </c>
      <c r="AB36" s="279" t="str">
        <f>IF($Y36&lt;&gt;"non-visibile",'BUDGET STUDI -  IPOTESI 1'!$E32,"non-visibile")</f>
        <v>non-visibile</v>
      </c>
      <c r="AC36" s="207" t="str">
        <f>IFERROR(GETPIVOTDATA("Actual EURO ripartito",'Altre Tabelle di dettaglio'!$CH$5,"Fornitore .",X36),"non-visibile")</f>
        <v>non-visibile</v>
      </c>
      <c r="AD36" s="208" t="str">
        <f>IFERROR(GETPIVOTDATA("Actual LUMP ripartito",'Altre Tabelle di dettaglio'!$DC$5,"Fornitore .",X36),"non-visibile")</f>
        <v>non-visibile</v>
      </c>
      <c r="AE36" s="205" t="str">
        <f t="shared" si="1"/>
        <v/>
      </c>
      <c r="AG36" s="212" t="str">
        <f t="shared" si="2"/>
        <v/>
      </c>
      <c r="AH36" s="213"/>
      <c r="AI36" s="235" t="str">
        <f>IFERROR(GETPIVOTDATA("TOTALE ORE",'Altre Tabelle di dettaglio'!$AP$5,"Fornitore .",AH36),"non-visibile")</f>
        <v>non-visibile</v>
      </c>
      <c r="AJ36" s="235" t="str">
        <f>IF($AI36&lt;&gt;"non-visibile",'BUDGET STUDI -  IPOTESI 1'!$D32,"non-visibile")</f>
        <v>non-visibile</v>
      </c>
      <c r="AK36" s="235" t="str">
        <f>IF($Y36&lt;&gt;"non-visibile",'BUDGET STUDI -  IPOTESI 1'!$C32,"non-visibile")</f>
        <v>non-visibile</v>
      </c>
      <c r="AL36" s="211" t="str">
        <f>IFERROR(GETPIVOTDATA("Actual ORE ripartito",'Altre Tabelle di dettaglio'!$BK$5,"Fornitore .",AH36),"non-visibile")</f>
        <v>non-visibile</v>
      </c>
      <c r="AM36" s="212" t="str">
        <f t="shared" si="8"/>
        <v/>
      </c>
    </row>
    <row r="37" spans="1:39" x14ac:dyDescent="0.25">
      <c r="W37" s="205" t="str">
        <f t="shared" si="0"/>
        <v/>
      </c>
      <c r="X37" s="276"/>
      <c r="Y37" s="206" t="str">
        <f>IFERROR(GETPIVOTDATA("BUDGET STIMATO ORE",'Altre Tabelle di dettaglio'!$B$5,"Fornitore .",X37),"non-visibile")</f>
        <v>non-visibile</v>
      </c>
      <c r="Z37" s="206" t="str">
        <f>IFERROR(GETPIVOTDATA("BUDGET STIMATO LUMP SUM",'Altre Tabelle di dettaglio'!$V$5,"Fornitore .",X37),"non-visibile")</f>
        <v>non-visibile</v>
      </c>
      <c r="AA37" s="279" t="str">
        <f>IF($Y37&lt;&gt;"non-visibile",'BUDGET STUDI -  IPOTESI 1'!$F33,"non-visibile")</f>
        <v>non-visibile</v>
      </c>
      <c r="AB37" s="279" t="str">
        <f>IF($Y37&lt;&gt;"non-visibile",'BUDGET STUDI -  IPOTESI 1'!$E33,"non-visibile")</f>
        <v>non-visibile</v>
      </c>
      <c r="AC37" s="207" t="str">
        <f>IFERROR(GETPIVOTDATA("Actual EURO ripartito",'Altre Tabelle di dettaglio'!$CH$5,"Fornitore .",X37),"non-visibile")</f>
        <v>non-visibile</v>
      </c>
      <c r="AD37" s="208" t="str">
        <f>IFERROR(GETPIVOTDATA("Actual LUMP ripartito",'Altre Tabelle di dettaglio'!$DC$5,"Fornitore .",X37),"non-visibile")</f>
        <v>non-visibile</v>
      </c>
      <c r="AE37" s="205" t="str">
        <f t="shared" si="1"/>
        <v/>
      </c>
      <c r="AG37" s="212" t="str">
        <f t="shared" si="2"/>
        <v/>
      </c>
      <c r="AH37" s="213"/>
      <c r="AI37" s="235" t="str">
        <f>IFERROR(GETPIVOTDATA("TOTALE ORE",'Altre Tabelle di dettaglio'!$AP$5,"Fornitore .",AH37),"non-visibile")</f>
        <v>non-visibile</v>
      </c>
      <c r="AJ37" s="235" t="str">
        <f>IF($AI37&lt;&gt;"non-visibile",'BUDGET STUDI -  IPOTESI 1'!$D33,"non-visibile")</f>
        <v>non-visibile</v>
      </c>
      <c r="AK37" s="235" t="str">
        <f>IF($Y37&lt;&gt;"non-visibile",'BUDGET STUDI -  IPOTESI 1'!$C33,"non-visibile")</f>
        <v>non-visibile</v>
      </c>
      <c r="AL37" s="211" t="str">
        <f>IFERROR(GETPIVOTDATA("Actual ORE ripartito",'Altre Tabelle di dettaglio'!$BK$5,"Fornitore .",AH37),"non-visibile")</f>
        <v>non-visibile</v>
      </c>
      <c r="AM37" s="212" t="str">
        <f t="shared" si="8"/>
        <v/>
      </c>
    </row>
    <row r="38" spans="1:39" x14ac:dyDescent="0.25">
      <c r="W38" s="205" t="str">
        <f t="shared" si="0"/>
        <v/>
      </c>
      <c r="X38" s="276"/>
      <c r="Y38" s="206" t="str">
        <f>IFERROR(GETPIVOTDATA("BUDGET STIMATO ORE",'Altre Tabelle di dettaglio'!$B$5,"Fornitore .",X38),"non-visibile")</f>
        <v>non-visibile</v>
      </c>
      <c r="Z38" s="206" t="str">
        <f>IFERROR(GETPIVOTDATA("BUDGET STIMATO LUMP SUM",'Altre Tabelle di dettaglio'!$V$5,"Fornitore .",X38),"non-visibile")</f>
        <v>non-visibile</v>
      </c>
      <c r="AA38" s="279" t="str">
        <f>IF($Y38&lt;&gt;"non-visibile",'BUDGET STUDI -  IPOTESI 1'!$F34,"non-visibile")</f>
        <v>non-visibile</v>
      </c>
      <c r="AB38" s="279" t="str">
        <f>IF($Y38&lt;&gt;"non-visibile",'BUDGET STUDI -  IPOTESI 1'!$E34,"non-visibile")</f>
        <v>non-visibile</v>
      </c>
      <c r="AC38" s="207" t="str">
        <f>IFERROR(GETPIVOTDATA("Actual EURO ripartito",'Altre Tabelle di dettaglio'!$CH$5,"Fornitore .",X38),"non-visibile")</f>
        <v>non-visibile</v>
      </c>
      <c r="AD38" s="208" t="str">
        <f>IFERROR(GETPIVOTDATA("Actual LUMP ripartito",'Altre Tabelle di dettaglio'!$DC$5,"Fornitore .",X38),"non-visibile")</f>
        <v>non-visibile</v>
      </c>
      <c r="AE38" s="205" t="str">
        <f t="shared" si="1"/>
        <v/>
      </c>
      <c r="AG38" s="212" t="str">
        <f t="shared" si="2"/>
        <v/>
      </c>
      <c r="AH38" s="213"/>
      <c r="AI38" s="235" t="str">
        <f>IFERROR(GETPIVOTDATA("TOTALE ORE",'Altre Tabelle di dettaglio'!$AP$5,"Fornitore .",AH38),"non-visibile")</f>
        <v>non-visibile</v>
      </c>
      <c r="AJ38" s="235" t="str">
        <f>IF($AI38&lt;&gt;"non-visibile",'BUDGET STUDI -  IPOTESI 1'!$D34,"non-visibile")</f>
        <v>non-visibile</v>
      </c>
      <c r="AK38" s="235" t="str">
        <f>IF($Y38&lt;&gt;"non-visibile",'BUDGET STUDI -  IPOTESI 1'!$C34,"non-visibile")</f>
        <v>non-visibile</v>
      </c>
      <c r="AL38" s="211" t="str">
        <f>IFERROR(GETPIVOTDATA("Actual ORE ripartito",'Altre Tabelle di dettaglio'!$BK$5,"Fornitore .",AH38),"non-visibile")</f>
        <v>non-visibile</v>
      </c>
      <c r="AM38" s="212" t="str">
        <f t="shared" si="8"/>
        <v/>
      </c>
    </row>
    <row r="39" spans="1:39" x14ac:dyDescent="0.25">
      <c r="W39" s="205" t="str">
        <f t="shared" si="0"/>
        <v/>
      </c>
      <c r="X39" s="276"/>
      <c r="Y39" s="206" t="str">
        <f>IFERROR(GETPIVOTDATA("BUDGET STIMATO ORE",'Altre Tabelle di dettaglio'!$B$5,"Fornitore .",X39),"non-visibile")</f>
        <v>non-visibile</v>
      </c>
      <c r="Z39" s="206" t="str">
        <f>IFERROR(GETPIVOTDATA("BUDGET STIMATO LUMP SUM",'Altre Tabelle di dettaglio'!$V$5,"Fornitore .",X39),"non-visibile")</f>
        <v>non-visibile</v>
      </c>
      <c r="AA39" s="279" t="str">
        <f>IF($Y39&lt;&gt;"non-visibile",'BUDGET STUDI -  IPOTESI 1'!$F35,"non-visibile")</f>
        <v>non-visibile</v>
      </c>
      <c r="AB39" s="279" t="str">
        <f>IF($Y39&lt;&gt;"non-visibile",'BUDGET STUDI -  IPOTESI 1'!$E35,"non-visibile")</f>
        <v>non-visibile</v>
      </c>
      <c r="AC39" s="207" t="str">
        <f>IFERROR(GETPIVOTDATA("Actual EURO ripartito",'Altre Tabelle di dettaglio'!$CH$5,"Fornitore .",X39),"non-visibile")</f>
        <v>non-visibile</v>
      </c>
      <c r="AD39" s="208" t="str">
        <f>IFERROR(GETPIVOTDATA("Actual LUMP ripartito",'Altre Tabelle di dettaglio'!$DC$5,"Fornitore .",X39),"non-visibile")</f>
        <v>non-visibile</v>
      </c>
      <c r="AE39" s="205" t="str">
        <f t="shared" si="1"/>
        <v/>
      </c>
      <c r="AG39" s="212" t="str">
        <f t="shared" si="2"/>
        <v/>
      </c>
      <c r="AH39" s="213"/>
      <c r="AI39" s="235" t="str">
        <f>IFERROR(GETPIVOTDATA("TOTALE ORE",'Altre Tabelle di dettaglio'!$AP$5,"Fornitore .",AH39),"non-visibile")</f>
        <v>non-visibile</v>
      </c>
      <c r="AJ39" s="235" t="str">
        <f>IF($AI39&lt;&gt;"non-visibile",'BUDGET STUDI -  IPOTESI 1'!$D35,"non-visibile")</f>
        <v>non-visibile</v>
      </c>
      <c r="AK39" s="235" t="str">
        <f>IF($Y39&lt;&gt;"non-visibile",'BUDGET STUDI -  IPOTESI 1'!$C35,"non-visibile")</f>
        <v>non-visibile</v>
      </c>
      <c r="AL39" s="211" t="str">
        <f>IFERROR(GETPIVOTDATA("Actual ORE ripartito",'Altre Tabelle di dettaglio'!$BK$5,"Fornitore .",AH39),"non-visibile")</f>
        <v>non-visibile</v>
      </c>
      <c r="AM39" s="212" t="str">
        <f t="shared" si="8"/>
        <v/>
      </c>
    </row>
    <row r="40" spans="1:39" x14ac:dyDescent="0.25">
      <c r="W40" s="205" t="str">
        <f t="shared" si="0"/>
        <v/>
      </c>
      <c r="X40" s="276"/>
      <c r="Y40" s="206" t="str">
        <f>IFERROR(GETPIVOTDATA("BUDGET STIMATO ORE",'Altre Tabelle di dettaglio'!$B$5,"Fornitore .",X40),"non-visibile")</f>
        <v>non-visibile</v>
      </c>
      <c r="Z40" s="206" t="str">
        <f>IFERROR(GETPIVOTDATA("BUDGET STIMATO LUMP SUM",'Altre Tabelle di dettaglio'!$V$5,"Fornitore .",X40),"non-visibile")</f>
        <v>non-visibile</v>
      </c>
      <c r="AA40" s="279" t="str">
        <f>IF($Y40&lt;&gt;"non-visibile",'BUDGET STUDI -  IPOTESI 1'!$F36,"non-visibile")</f>
        <v>non-visibile</v>
      </c>
      <c r="AB40" s="279" t="str">
        <f>IF($Y40&lt;&gt;"non-visibile",'BUDGET STUDI -  IPOTESI 1'!$E36,"non-visibile")</f>
        <v>non-visibile</v>
      </c>
      <c r="AC40" s="207" t="str">
        <f>IFERROR(GETPIVOTDATA("Actual EURO ripartito",'Altre Tabelle di dettaglio'!$CH$5,"Fornitore .",X40),"non-visibile")</f>
        <v>non-visibile</v>
      </c>
      <c r="AD40" s="208" t="str">
        <f>IFERROR(GETPIVOTDATA("Actual LUMP ripartito",'Altre Tabelle di dettaglio'!$DC$5,"Fornitore .",X40),"non-visibile")</f>
        <v>non-visibile</v>
      </c>
      <c r="AE40" s="205" t="str">
        <f t="shared" si="1"/>
        <v/>
      </c>
      <c r="AG40" s="212" t="str">
        <f t="shared" si="2"/>
        <v/>
      </c>
      <c r="AH40" s="213"/>
      <c r="AI40" s="235" t="str">
        <f>IFERROR(GETPIVOTDATA("TOTALE ORE",'Altre Tabelle di dettaglio'!$AP$5,"Fornitore .",AH40),"non-visibile")</f>
        <v>non-visibile</v>
      </c>
      <c r="AJ40" s="235" t="str">
        <f>IF($AI40&lt;&gt;"non-visibile",'BUDGET STUDI -  IPOTESI 1'!$D36,"non-visibile")</f>
        <v>non-visibile</v>
      </c>
      <c r="AK40" s="235" t="str">
        <f>IF($Y40&lt;&gt;"non-visibile",'BUDGET STUDI -  IPOTESI 1'!$C36,"non-visibile")</f>
        <v>non-visibile</v>
      </c>
      <c r="AL40" s="211" t="str">
        <f>IFERROR(GETPIVOTDATA("Actual ORE ripartito",'Altre Tabelle di dettaglio'!$BK$5,"Fornitore .",AH40),"non-visibile")</f>
        <v>non-visibile</v>
      </c>
      <c r="AM40" s="212" t="str">
        <f t="shared" si="8"/>
        <v/>
      </c>
    </row>
    <row r="41" spans="1:39" x14ac:dyDescent="0.25">
      <c r="W41" s="205" t="str">
        <f t="shared" si="0"/>
        <v/>
      </c>
      <c r="X41" s="276"/>
      <c r="Y41" s="206" t="str">
        <f>IFERROR(GETPIVOTDATA("BUDGET STIMATO ORE",'Altre Tabelle di dettaglio'!$B$5,"Fornitore .",X41),"non-visibile")</f>
        <v>non-visibile</v>
      </c>
      <c r="Z41" s="206" t="str">
        <f>IFERROR(GETPIVOTDATA("BUDGET STIMATO LUMP SUM",'Altre Tabelle di dettaglio'!$V$5,"Fornitore .",X41),"non-visibile")</f>
        <v>non-visibile</v>
      </c>
      <c r="AA41" s="279" t="str">
        <f>IF($Y41&lt;&gt;"non-visibile",'BUDGET STUDI -  IPOTESI 1'!$F37,"non-visibile")</f>
        <v>non-visibile</v>
      </c>
      <c r="AB41" s="279" t="str">
        <f>IF($Y41&lt;&gt;"non-visibile",'BUDGET STUDI -  IPOTESI 1'!$E37,"non-visibile")</f>
        <v>non-visibile</v>
      </c>
      <c r="AC41" s="207" t="str">
        <f>IFERROR(GETPIVOTDATA("Actual EURO ripartito",'Altre Tabelle di dettaglio'!$CH$5,"Fornitore .",X41),"non-visibile")</f>
        <v>non-visibile</v>
      </c>
      <c r="AD41" s="208" t="str">
        <f>IFERROR(GETPIVOTDATA("Actual LUMP ripartito",'Altre Tabelle di dettaglio'!$DC$5,"Fornitore .",X41),"non-visibile")</f>
        <v>non-visibile</v>
      </c>
      <c r="AE41" s="205" t="str">
        <f t="shared" si="1"/>
        <v/>
      </c>
      <c r="AG41" s="212" t="str">
        <f t="shared" si="2"/>
        <v/>
      </c>
      <c r="AH41" s="213"/>
      <c r="AI41" s="235" t="str">
        <f>IFERROR(GETPIVOTDATA("TOTALE ORE",'Altre Tabelle di dettaglio'!$AP$5,"Fornitore .",AH41),"non-visibile")</f>
        <v>non-visibile</v>
      </c>
      <c r="AJ41" s="235" t="str">
        <f>IF($AI41&lt;&gt;"non-visibile",'BUDGET STUDI -  IPOTESI 1'!$D37,"non-visibile")</f>
        <v>non-visibile</v>
      </c>
      <c r="AK41" s="235" t="str">
        <f>IF($Y41&lt;&gt;"non-visibile",'BUDGET STUDI -  IPOTESI 1'!$C37,"non-visibile")</f>
        <v>non-visibile</v>
      </c>
      <c r="AL41" s="211" t="str">
        <f>IFERROR(GETPIVOTDATA("Actual ORE ripartito",'Altre Tabelle di dettaglio'!$BK$5,"Fornitore .",AH41),"non-visibile")</f>
        <v>non-visibile</v>
      </c>
      <c r="AM41" s="212" t="str">
        <f t="shared" si="8"/>
        <v/>
      </c>
    </row>
    <row r="42" spans="1:39" x14ac:dyDescent="0.25">
      <c r="W42" s="205" t="str">
        <f t="shared" si="0"/>
        <v/>
      </c>
      <c r="X42" s="276"/>
      <c r="Y42" s="206" t="str">
        <f>IFERROR(GETPIVOTDATA("BUDGET STIMATO ORE",'Altre Tabelle di dettaglio'!$B$5,"Fornitore .",X42),"non-visibile")</f>
        <v>non-visibile</v>
      </c>
      <c r="Z42" s="206" t="str">
        <f>IFERROR(GETPIVOTDATA("BUDGET STIMATO LUMP SUM",'Altre Tabelle di dettaglio'!$V$5,"Fornitore .",X42),"non-visibile")</f>
        <v>non-visibile</v>
      </c>
      <c r="AA42" s="279" t="str">
        <f>IF($Y42&lt;&gt;"non-visibile",'BUDGET STUDI -  IPOTESI 1'!$F38,"non-visibile")</f>
        <v>non-visibile</v>
      </c>
      <c r="AB42" s="279" t="str">
        <f>IF($Y42&lt;&gt;"non-visibile",'BUDGET STUDI -  IPOTESI 1'!$E38,"non-visibile")</f>
        <v>non-visibile</v>
      </c>
      <c r="AC42" s="207" t="str">
        <f>IFERROR(GETPIVOTDATA("Actual EURO ripartito",'Altre Tabelle di dettaglio'!$CH$5,"Fornitore .",X42),"non-visibile")</f>
        <v>non-visibile</v>
      </c>
      <c r="AD42" s="208" t="str">
        <f>IFERROR(GETPIVOTDATA("Actual LUMP ripartito",'Altre Tabelle di dettaglio'!$DC$5,"Fornitore .",X42),"non-visibile")</f>
        <v>non-visibile</v>
      </c>
      <c r="AE42" s="205" t="str">
        <f t="shared" si="1"/>
        <v/>
      </c>
      <c r="AG42" s="212" t="str">
        <f t="shared" si="2"/>
        <v/>
      </c>
      <c r="AH42" s="213"/>
      <c r="AI42" s="235" t="str">
        <f>IFERROR(GETPIVOTDATA("TOTALE ORE",'Altre Tabelle di dettaglio'!$AP$5,"Fornitore .",AH42),"non-visibile")</f>
        <v>non-visibile</v>
      </c>
      <c r="AJ42" s="235" t="str">
        <f>IF($AI42&lt;&gt;"non-visibile",'BUDGET STUDI -  IPOTESI 1'!$D38,"non-visibile")</f>
        <v>non-visibile</v>
      </c>
      <c r="AK42" s="235" t="str">
        <f>IF($Y42&lt;&gt;"non-visibile",'BUDGET STUDI -  IPOTESI 1'!$C38,"non-visibile")</f>
        <v>non-visibile</v>
      </c>
      <c r="AL42" s="211" t="str">
        <f>IFERROR(GETPIVOTDATA("Actual ORE ripartito",'Altre Tabelle di dettaglio'!$BK$5,"Fornitore .",AH42),"non-visibile")</f>
        <v>non-visibile</v>
      </c>
      <c r="AM42" s="212" t="str">
        <f t="shared" si="8"/>
        <v/>
      </c>
    </row>
    <row r="43" spans="1:39" x14ac:dyDescent="0.25">
      <c r="W43" s="205" t="str">
        <f t="shared" si="0"/>
        <v/>
      </c>
      <c r="X43" s="276"/>
      <c r="Y43" s="206" t="str">
        <f>IFERROR(GETPIVOTDATA("BUDGET STIMATO ORE",'Altre Tabelle di dettaglio'!$B$5,"Fornitore .",X43),"non-visibile")</f>
        <v>non-visibile</v>
      </c>
      <c r="Z43" s="206" t="str">
        <f>IFERROR(GETPIVOTDATA("BUDGET STIMATO LUMP SUM",'Altre Tabelle di dettaglio'!$V$5,"Fornitore .",X43),"non-visibile")</f>
        <v>non-visibile</v>
      </c>
      <c r="AA43" s="279" t="str">
        <f>IF($Y43&lt;&gt;"non-visibile",'BUDGET STUDI -  IPOTESI 1'!$F39,"non-visibile")</f>
        <v>non-visibile</v>
      </c>
      <c r="AB43" s="279" t="str">
        <f>IF($Y43&lt;&gt;"non-visibile",'BUDGET STUDI -  IPOTESI 1'!$E39,"non-visibile")</f>
        <v>non-visibile</v>
      </c>
      <c r="AC43" s="207" t="str">
        <f>IFERROR(GETPIVOTDATA("Actual EURO ripartito",'Altre Tabelle di dettaglio'!$CH$5,"Fornitore .",X43),"non-visibile")</f>
        <v>non-visibile</v>
      </c>
      <c r="AD43" s="208" t="str">
        <f>IFERROR(GETPIVOTDATA("Actual LUMP ripartito",'Altre Tabelle di dettaglio'!$DC$5,"Fornitore .",X43),"non-visibile")</f>
        <v>non-visibile</v>
      </c>
      <c r="AE43" s="205" t="str">
        <f t="shared" si="1"/>
        <v/>
      </c>
      <c r="AG43" s="212" t="str">
        <f t="shared" si="2"/>
        <v/>
      </c>
      <c r="AH43" s="213"/>
      <c r="AI43" s="235" t="str">
        <f>IFERROR(GETPIVOTDATA("TOTALE ORE",'Altre Tabelle di dettaglio'!$AP$5,"Fornitore .",AH43),"non-visibile")</f>
        <v>non-visibile</v>
      </c>
      <c r="AJ43" s="235" t="str">
        <f>IF($AI43&lt;&gt;"non-visibile",'BUDGET STUDI -  IPOTESI 1'!$D39,"non-visibile")</f>
        <v>non-visibile</v>
      </c>
      <c r="AK43" s="235" t="str">
        <f>IF($Y43&lt;&gt;"non-visibile",'BUDGET STUDI -  IPOTESI 1'!$C39,"non-visibile")</f>
        <v>non-visibile</v>
      </c>
      <c r="AL43" s="211" t="str">
        <f>IFERROR(GETPIVOTDATA("Actual ORE ripartito",'Altre Tabelle di dettaglio'!$BK$5,"Fornitore .",AH43),"non-visibile")</f>
        <v>non-visibile</v>
      </c>
      <c r="AM43" s="212" t="str">
        <f t="shared" si="8"/>
        <v/>
      </c>
    </row>
    <row r="44" spans="1:39" x14ac:dyDescent="0.25">
      <c r="W44" s="205" t="str">
        <f t="shared" si="0"/>
        <v/>
      </c>
      <c r="X44" s="276"/>
      <c r="Y44" s="206" t="str">
        <f>IFERROR(GETPIVOTDATA("BUDGET STIMATO ORE",'Altre Tabelle di dettaglio'!$B$5,"Fornitore .",X44),"non-visibile")</f>
        <v>non-visibile</v>
      </c>
      <c r="Z44" s="206" t="str">
        <f>IFERROR(GETPIVOTDATA("BUDGET STIMATO LUMP SUM",'Altre Tabelle di dettaglio'!$V$5,"Fornitore .",X44),"non-visibile")</f>
        <v>non-visibile</v>
      </c>
      <c r="AA44" s="279" t="str">
        <f>IF($Y44&lt;&gt;"non-visibile",'BUDGET STUDI -  IPOTESI 1'!$F40,"non-visibile")</f>
        <v>non-visibile</v>
      </c>
      <c r="AB44" s="279" t="str">
        <f>IF($Y44&lt;&gt;"non-visibile",'BUDGET STUDI -  IPOTESI 1'!$E40,"non-visibile")</f>
        <v>non-visibile</v>
      </c>
      <c r="AC44" s="207" t="str">
        <f>IFERROR(GETPIVOTDATA("Actual EURO ripartito",'Altre Tabelle di dettaglio'!$CH$5,"Fornitore .",X44),"non-visibile")</f>
        <v>non-visibile</v>
      </c>
      <c r="AD44" s="208" t="str">
        <f>IFERROR(GETPIVOTDATA("Actual LUMP ripartito",'Altre Tabelle di dettaglio'!$DC$5,"Fornitore .",X44),"non-visibile")</f>
        <v>non-visibile</v>
      </c>
      <c r="AE44" s="205" t="str">
        <f t="shared" si="1"/>
        <v/>
      </c>
      <c r="AG44" s="212" t="str">
        <f t="shared" si="2"/>
        <v/>
      </c>
      <c r="AH44" s="213"/>
      <c r="AI44" s="235" t="str">
        <f>IFERROR(GETPIVOTDATA("TOTALE ORE",'Altre Tabelle di dettaglio'!$AP$5,"Fornitore .",AH44),"non-visibile")</f>
        <v>non-visibile</v>
      </c>
      <c r="AJ44" s="235" t="str">
        <f>IF($AI44&lt;&gt;"non-visibile",'BUDGET STUDI -  IPOTESI 1'!$D40,"non-visibile")</f>
        <v>non-visibile</v>
      </c>
      <c r="AK44" s="235" t="str">
        <f>IF($Y44&lt;&gt;"non-visibile",'BUDGET STUDI -  IPOTESI 1'!$C40,"non-visibile")</f>
        <v>non-visibile</v>
      </c>
      <c r="AL44" s="211" t="str">
        <f>IFERROR(GETPIVOTDATA("Actual ORE ripartito",'Altre Tabelle di dettaglio'!$BK$5,"Fornitore .",AH44),"non-visibile")</f>
        <v>non-visibile</v>
      </c>
      <c r="AM44" s="212" t="str">
        <f t="shared" si="8"/>
        <v/>
      </c>
    </row>
    <row r="45" spans="1:39" x14ac:dyDescent="0.25">
      <c r="A45" s="255"/>
      <c r="B45" s="255"/>
      <c r="C45" s="255"/>
      <c r="D45" s="255"/>
      <c r="W45" s="205" t="str">
        <f t="shared" si="0"/>
        <v/>
      </c>
      <c r="X45" s="276"/>
      <c r="Y45" s="206" t="str">
        <f>IFERROR(GETPIVOTDATA("BUDGET STIMATO ORE",'Altre Tabelle di dettaglio'!$B$5,"Fornitore .",X45),"non-visibile")</f>
        <v>non-visibile</v>
      </c>
      <c r="Z45" s="206" t="str">
        <f>IFERROR(GETPIVOTDATA("BUDGET STIMATO LUMP SUM",'Altre Tabelle di dettaglio'!$V$5,"Fornitore .",X45),"non-visibile")</f>
        <v>non-visibile</v>
      </c>
      <c r="AA45" s="279" t="str">
        <f>IF($Y45&lt;&gt;"non-visibile",'BUDGET STUDI -  IPOTESI 1'!$F41,"non-visibile")</f>
        <v>non-visibile</v>
      </c>
      <c r="AB45" s="279" t="str">
        <f>IF($Y45&lt;&gt;"non-visibile",'BUDGET STUDI -  IPOTESI 1'!$E41,"non-visibile")</f>
        <v>non-visibile</v>
      </c>
      <c r="AC45" s="207" t="str">
        <f>IFERROR(GETPIVOTDATA("Actual EURO ripartito",'Altre Tabelle di dettaglio'!$CH$5,"Fornitore .",X45),"non-visibile")</f>
        <v>non-visibile</v>
      </c>
      <c r="AD45" s="208" t="str">
        <f>IFERROR(GETPIVOTDATA("Actual LUMP ripartito",'Altre Tabelle di dettaglio'!$DC$5,"Fornitore .",X45),"non-visibile")</f>
        <v>non-visibile</v>
      </c>
      <c r="AE45" s="205" t="str">
        <f t="shared" si="1"/>
        <v/>
      </c>
      <c r="AG45" s="212" t="str">
        <f t="shared" si="2"/>
        <v/>
      </c>
      <c r="AH45" s="213"/>
      <c r="AI45" s="235" t="str">
        <f>IFERROR(GETPIVOTDATA("TOTALE ORE",'Altre Tabelle di dettaglio'!$AP$5,"Fornitore .",AH45),"non-visibile")</f>
        <v>non-visibile</v>
      </c>
      <c r="AJ45" s="235" t="str">
        <f>IF($AI45&lt;&gt;"non-visibile",'BUDGET STUDI -  IPOTESI 1'!$D41,"non-visibile")</f>
        <v>non-visibile</v>
      </c>
      <c r="AK45" s="235" t="str">
        <f>IF($Y45&lt;&gt;"non-visibile",'BUDGET STUDI -  IPOTESI 1'!$C41,"non-visibile")</f>
        <v>non-visibile</v>
      </c>
      <c r="AL45" s="211" t="str">
        <f>IFERROR(GETPIVOTDATA("Actual ORE ripartito",'Altre Tabelle di dettaglio'!$BK$5,"Fornitore .",AH45),"non-visibile")</f>
        <v>non-visibile</v>
      </c>
      <c r="AM45" s="212" t="str">
        <f t="shared" si="8"/>
        <v/>
      </c>
    </row>
    <row r="46" spans="1:39" x14ac:dyDescent="0.25">
      <c r="A46" s="256"/>
      <c r="B46" s="256"/>
      <c r="C46" s="256"/>
      <c r="D46" s="256"/>
      <c r="W46" s="205" t="str">
        <f t="shared" si="0"/>
        <v/>
      </c>
      <c r="X46" s="276"/>
      <c r="Y46" s="206" t="str">
        <f>IFERROR(GETPIVOTDATA("BUDGET STIMATO ORE",'Altre Tabelle di dettaglio'!$B$5,"Fornitore .",X46),"non-visibile")</f>
        <v>non-visibile</v>
      </c>
      <c r="Z46" s="206" t="str">
        <f>IFERROR(GETPIVOTDATA("BUDGET STIMATO LUMP SUM",'Altre Tabelle di dettaglio'!$V$5,"Fornitore .",X46),"non-visibile")</f>
        <v>non-visibile</v>
      </c>
      <c r="AA46" s="279" t="str">
        <f>IF($Y46&lt;&gt;"non-visibile",'BUDGET STUDI -  IPOTESI 1'!$F42,"non-visibile")</f>
        <v>non-visibile</v>
      </c>
      <c r="AB46" s="279" t="str">
        <f>IF($Y46&lt;&gt;"non-visibile",'BUDGET STUDI -  IPOTESI 1'!$E42,"non-visibile")</f>
        <v>non-visibile</v>
      </c>
      <c r="AC46" s="207" t="str">
        <f>IFERROR(GETPIVOTDATA("Actual EURO ripartito",'Altre Tabelle di dettaglio'!$CH$5,"Fornitore .",X46),"non-visibile")</f>
        <v>non-visibile</v>
      </c>
      <c r="AD46" s="208" t="str">
        <f>IFERROR(GETPIVOTDATA("Actual LUMP ripartito",'Altre Tabelle di dettaglio'!$DC$5,"Fornitore .",X46),"non-visibile")</f>
        <v>non-visibile</v>
      </c>
      <c r="AE46" s="205" t="str">
        <f t="shared" si="1"/>
        <v/>
      </c>
      <c r="AG46" s="212" t="str">
        <f t="shared" si="2"/>
        <v/>
      </c>
      <c r="AH46" s="213"/>
      <c r="AI46" s="235" t="str">
        <f>IFERROR(GETPIVOTDATA("TOTALE ORE",'Altre Tabelle di dettaglio'!$AP$5,"Fornitore .",AH46),"non-visibile")</f>
        <v>non-visibile</v>
      </c>
      <c r="AJ46" s="235" t="str">
        <f>IF($AI46&lt;&gt;"non-visibile",'BUDGET STUDI -  IPOTESI 1'!$D42,"non-visibile")</f>
        <v>non-visibile</v>
      </c>
      <c r="AK46" s="235" t="str">
        <f>IF($Y46&lt;&gt;"non-visibile",'BUDGET STUDI -  IPOTESI 1'!$C42,"non-visibile")</f>
        <v>non-visibile</v>
      </c>
      <c r="AL46" s="211" t="str">
        <f>IFERROR(GETPIVOTDATA("Actual ORE ripartito",'Altre Tabelle di dettaglio'!$BK$5,"Fornitore .",AH46),"non-visibile")</f>
        <v>non-visibile</v>
      </c>
      <c r="AM46" s="212" t="str">
        <f t="shared" si="8"/>
        <v/>
      </c>
    </row>
    <row r="47" spans="1:39" x14ac:dyDescent="0.25">
      <c r="A47" s="256"/>
      <c r="B47" s="256"/>
      <c r="C47" s="256"/>
      <c r="D47" s="256"/>
      <c r="W47" s="205" t="str">
        <f t="shared" si="0"/>
        <v/>
      </c>
      <c r="X47" s="276"/>
      <c r="Y47" s="206" t="str">
        <f>IFERROR(GETPIVOTDATA("BUDGET STIMATO ORE",'Altre Tabelle di dettaglio'!$B$5,"Fornitore .",X47),"non-visibile")</f>
        <v>non-visibile</v>
      </c>
      <c r="Z47" s="206" t="str">
        <f>IFERROR(GETPIVOTDATA("BUDGET STIMATO LUMP SUM",'Altre Tabelle di dettaglio'!$V$5,"Fornitore .",X47),"non-visibile")</f>
        <v>non-visibile</v>
      </c>
      <c r="AA47" s="279" t="str">
        <f>IF($Y47&lt;&gt;"non-visibile",'BUDGET STUDI -  IPOTESI 1'!$F43,"non-visibile")</f>
        <v>non-visibile</v>
      </c>
      <c r="AB47" s="279" t="str">
        <f>IF($Y47&lt;&gt;"non-visibile",'BUDGET STUDI -  IPOTESI 1'!$E43,"non-visibile")</f>
        <v>non-visibile</v>
      </c>
      <c r="AC47" s="207" t="str">
        <f>IFERROR(GETPIVOTDATA("Actual EURO ripartito",'Altre Tabelle di dettaglio'!$CH$5,"Fornitore .",X47),"non-visibile")</f>
        <v>non-visibile</v>
      </c>
      <c r="AD47" s="208" t="str">
        <f>IFERROR(GETPIVOTDATA("Actual LUMP ripartito",'Altre Tabelle di dettaglio'!$DC$5,"Fornitore .",X47),"non-visibile")</f>
        <v>non-visibile</v>
      </c>
      <c r="AE47" s="205" t="str">
        <f t="shared" si="1"/>
        <v/>
      </c>
      <c r="AG47" s="212" t="str">
        <f t="shared" si="2"/>
        <v/>
      </c>
      <c r="AH47" s="213"/>
      <c r="AI47" s="235" t="str">
        <f>IFERROR(GETPIVOTDATA("TOTALE ORE",'Altre Tabelle di dettaglio'!$AP$5,"Fornitore .",AH47),"non-visibile")</f>
        <v>non-visibile</v>
      </c>
      <c r="AJ47" s="235" t="str">
        <f>IF($AI47&lt;&gt;"non-visibile",'BUDGET STUDI -  IPOTESI 1'!$D43,"non-visibile")</f>
        <v>non-visibile</v>
      </c>
      <c r="AK47" s="235" t="str">
        <f>IF($Y47&lt;&gt;"non-visibile",'BUDGET STUDI -  IPOTESI 1'!$C43,"non-visibile")</f>
        <v>non-visibile</v>
      </c>
      <c r="AL47" s="211" t="str">
        <f>IFERROR(GETPIVOTDATA("Actual ORE ripartito",'Altre Tabelle di dettaglio'!$BK$5,"Fornitore .",AH47),"non-visibile")</f>
        <v>non-visibile</v>
      </c>
      <c r="AM47" s="212" t="str">
        <f t="shared" si="8"/>
        <v/>
      </c>
    </row>
    <row r="48" spans="1:39" x14ac:dyDescent="0.25">
      <c r="A48" s="192"/>
      <c r="B48" s="192"/>
      <c r="C48" s="192"/>
      <c r="D48" s="192"/>
      <c r="E48" s="255"/>
      <c r="W48" s="205" t="str">
        <f t="shared" si="0"/>
        <v/>
      </c>
      <c r="X48" s="276"/>
      <c r="Y48" s="206" t="str">
        <f>IFERROR(GETPIVOTDATA("BUDGET STIMATO ORE",'Altre Tabelle di dettaglio'!$B$5,"Fornitore .",X48),"non-visibile")</f>
        <v>non-visibile</v>
      </c>
      <c r="Z48" s="206" t="str">
        <f>IFERROR(GETPIVOTDATA("BUDGET STIMATO LUMP SUM",'Altre Tabelle di dettaglio'!$V$5,"Fornitore .",X48),"non-visibile")</f>
        <v>non-visibile</v>
      </c>
      <c r="AA48" s="279" t="str">
        <f>IF($Y48&lt;&gt;"non-visibile",'BUDGET STUDI -  IPOTESI 1'!$F44,"non-visibile")</f>
        <v>non-visibile</v>
      </c>
      <c r="AB48" s="279" t="str">
        <f>IF($Y48&lt;&gt;"non-visibile",'BUDGET STUDI -  IPOTESI 1'!$E44,"non-visibile")</f>
        <v>non-visibile</v>
      </c>
      <c r="AC48" s="207" t="str">
        <f>IFERROR(GETPIVOTDATA("Actual EURO ripartito",'Altre Tabelle di dettaglio'!$CH$5,"Fornitore .",X48),"non-visibile")</f>
        <v>non-visibile</v>
      </c>
      <c r="AD48" s="208" t="str">
        <f>IFERROR(GETPIVOTDATA("Actual LUMP ripartito",'Altre Tabelle di dettaglio'!$DC$5,"Fornitore .",X48),"non-visibile")</f>
        <v>non-visibile</v>
      </c>
      <c r="AE48" s="205" t="str">
        <f t="shared" si="1"/>
        <v/>
      </c>
      <c r="AG48" s="212" t="str">
        <f t="shared" si="2"/>
        <v/>
      </c>
      <c r="AH48" s="213"/>
      <c r="AI48" s="235" t="str">
        <f>IFERROR(GETPIVOTDATA("TOTALE ORE",'Altre Tabelle di dettaglio'!$AP$5,"Fornitore .",AH48),"non-visibile")</f>
        <v>non-visibile</v>
      </c>
      <c r="AJ48" s="235" t="str">
        <f>IF($AI48&lt;&gt;"non-visibile",'BUDGET STUDI -  IPOTESI 1'!$D44,"non-visibile")</f>
        <v>non-visibile</v>
      </c>
      <c r="AK48" s="235" t="str">
        <f>IF($Y48&lt;&gt;"non-visibile",'BUDGET STUDI -  IPOTESI 1'!$C44,"non-visibile")</f>
        <v>non-visibile</v>
      </c>
      <c r="AL48" s="211" t="str">
        <f>IFERROR(GETPIVOTDATA("Actual ORE ripartito",'Altre Tabelle di dettaglio'!$BK$5,"Fornitore .",AH48),"non-visibile")</f>
        <v>non-visibile</v>
      </c>
      <c r="AM48" s="212" t="str">
        <f t="shared" si="8"/>
        <v/>
      </c>
    </row>
    <row r="49" spans="1:39" x14ac:dyDescent="0.25">
      <c r="A49" s="256"/>
      <c r="B49" s="192"/>
      <c r="C49" s="192"/>
      <c r="D49" s="192"/>
      <c r="E49" s="192"/>
      <c r="W49" s="205" t="str">
        <f t="shared" si="0"/>
        <v/>
      </c>
      <c r="X49" s="276"/>
      <c r="Y49" s="206" t="str">
        <f>IFERROR(GETPIVOTDATA("BUDGET STIMATO ORE",'Altre Tabelle di dettaglio'!$B$5,"Fornitore .",X49),"non-visibile")</f>
        <v>non-visibile</v>
      </c>
      <c r="Z49" s="206" t="str">
        <f>IFERROR(GETPIVOTDATA("BUDGET STIMATO LUMP SUM",'Altre Tabelle di dettaglio'!$V$5,"Fornitore .",X49),"non-visibile")</f>
        <v>non-visibile</v>
      </c>
      <c r="AA49" s="279" t="str">
        <f>IF($Y49&lt;&gt;"non-visibile",'BUDGET STUDI -  IPOTESI 1'!$F45,"non-visibile")</f>
        <v>non-visibile</v>
      </c>
      <c r="AB49" s="279" t="str">
        <f>IF($Y49&lt;&gt;"non-visibile",'BUDGET STUDI -  IPOTESI 1'!$E45,"non-visibile")</f>
        <v>non-visibile</v>
      </c>
      <c r="AC49" s="207" t="str">
        <f>IFERROR(GETPIVOTDATA("Actual EURO ripartito",'Altre Tabelle di dettaglio'!$CH$5,"Fornitore .",X49),"non-visibile")</f>
        <v>non-visibile</v>
      </c>
      <c r="AD49" s="208" t="str">
        <f>IFERROR(GETPIVOTDATA("Actual LUMP ripartito",'Altre Tabelle di dettaglio'!$DC$5,"Fornitore .",X49),"non-visibile")</f>
        <v>non-visibile</v>
      </c>
      <c r="AE49" s="205" t="str">
        <f t="shared" si="1"/>
        <v/>
      </c>
      <c r="AG49" s="212" t="str">
        <f t="shared" si="2"/>
        <v/>
      </c>
      <c r="AH49" s="213"/>
      <c r="AI49" s="235" t="str">
        <f>IFERROR(GETPIVOTDATA("TOTALE ORE",'Altre Tabelle di dettaglio'!$AP$5,"Fornitore .",AH49),"non-visibile")</f>
        <v>non-visibile</v>
      </c>
      <c r="AJ49" s="235" t="str">
        <f>IF($AI49&lt;&gt;"non-visibile",'BUDGET STUDI -  IPOTESI 1'!$D45,"non-visibile")</f>
        <v>non-visibile</v>
      </c>
      <c r="AK49" s="235" t="str">
        <f>IF($Y49&lt;&gt;"non-visibile",'BUDGET STUDI -  IPOTESI 1'!$C45,"non-visibile")</f>
        <v>non-visibile</v>
      </c>
      <c r="AL49" s="211" t="str">
        <f>IFERROR(GETPIVOTDATA("Actual ORE ripartito",'Altre Tabelle di dettaglio'!$BK$5,"Fornitore .",AH49),"non-visibile")</f>
        <v>non-visibile</v>
      </c>
      <c r="AM49" s="212" t="str">
        <f t="shared" si="8"/>
        <v/>
      </c>
    </row>
    <row r="50" spans="1:39" x14ac:dyDescent="0.25">
      <c r="B50" s="257">
        <f>IFERROR(G23/J23,0)</f>
        <v>0.69950000000000001</v>
      </c>
      <c r="C50" s="257">
        <f>IFERROR(H23/K23,0)</f>
        <v>1.1014999999999999</v>
      </c>
      <c r="D50" s="257">
        <f>IFERROR(I23/L23,0)</f>
        <v>7.4560000000000004</v>
      </c>
      <c r="E50" s="256"/>
      <c r="W50" s="205" t="str">
        <f t="shared" si="0"/>
        <v/>
      </c>
      <c r="X50" s="276"/>
      <c r="Y50" s="206" t="str">
        <f>IFERROR(GETPIVOTDATA("BUDGET STIMATO ORE",'Altre Tabelle di dettaglio'!$B$5,"Fornitore .",X50),"non-visibile")</f>
        <v>non-visibile</v>
      </c>
      <c r="Z50" s="206" t="str">
        <f>IFERROR(GETPIVOTDATA("BUDGET STIMATO LUMP SUM",'Altre Tabelle di dettaglio'!$V$5,"Fornitore .",X50),"non-visibile")</f>
        <v>non-visibile</v>
      </c>
      <c r="AA50" s="279" t="str">
        <f>IF($Y50&lt;&gt;"non-visibile",'BUDGET STUDI -  IPOTESI 1'!$F46,"non-visibile")</f>
        <v>non-visibile</v>
      </c>
      <c r="AB50" s="279" t="str">
        <f>IF($Y50&lt;&gt;"non-visibile",'BUDGET STUDI -  IPOTESI 1'!$E46,"non-visibile")</f>
        <v>non-visibile</v>
      </c>
      <c r="AC50" s="207" t="str">
        <f>IFERROR(GETPIVOTDATA("Actual EURO ripartito",'Altre Tabelle di dettaglio'!$CH$5,"Fornitore .",X50),"non-visibile")</f>
        <v>non-visibile</v>
      </c>
      <c r="AD50" s="208" t="str">
        <f>IFERROR(GETPIVOTDATA("Actual LUMP ripartito",'Altre Tabelle di dettaglio'!$DC$5,"Fornitore .",X50),"non-visibile")</f>
        <v>non-visibile</v>
      </c>
      <c r="AE50" s="205" t="str">
        <f t="shared" si="1"/>
        <v/>
      </c>
      <c r="AG50" s="212" t="str">
        <f t="shared" si="2"/>
        <v/>
      </c>
      <c r="AH50" s="213"/>
      <c r="AI50" s="235" t="str">
        <f>IFERROR(GETPIVOTDATA("TOTALE ORE",'Altre Tabelle di dettaglio'!$AP$5,"Fornitore .",AH50),"non-visibile")</f>
        <v>non-visibile</v>
      </c>
      <c r="AJ50" s="235" t="str">
        <f>IF($AI50&lt;&gt;"non-visibile",'BUDGET STUDI -  IPOTESI 1'!$D46,"non-visibile")</f>
        <v>non-visibile</v>
      </c>
      <c r="AK50" s="235" t="str">
        <f>IF($Y50&lt;&gt;"non-visibile",'BUDGET STUDI -  IPOTESI 1'!$C46,"non-visibile")</f>
        <v>non-visibile</v>
      </c>
      <c r="AL50" s="211" t="str">
        <f>IFERROR(GETPIVOTDATA("Actual ORE ripartito",'Altre Tabelle di dettaglio'!$BK$5,"Fornitore .",AH50),"non-visibile")</f>
        <v>non-visibile</v>
      </c>
      <c r="AM50" s="212" t="str">
        <f t="shared" si="8"/>
        <v/>
      </c>
    </row>
    <row r="51" spans="1:39" x14ac:dyDescent="0.25">
      <c r="B51" s="257">
        <f>IF(B50&lt;=1,1-B50,0)</f>
        <v>0.30049999999999999</v>
      </c>
      <c r="C51" s="257">
        <f>IF(C50&lt;=1,1-C50,0)</f>
        <v>0</v>
      </c>
      <c r="D51" s="257">
        <f>IF(D50&lt;=1,1-D50,0)</f>
        <v>0</v>
      </c>
      <c r="E51" s="256"/>
      <c r="W51" s="205" t="str">
        <f t="shared" si="0"/>
        <v/>
      </c>
      <c r="X51" s="276"/>
      <c r="Y51" s="206" t="str">
        <f>IFERROR(GETPIVOTDATA("BUDGET STIMATO ORE",'Altre Tabelle di dettaglio'!$B$5,"Fornitore .",X51),"non-visibile")</f>
        <v>non-visibile</v>
      </c>
      <c r="Z51" s="206" t="str">
        <f>IFERROR(GETPIVOTDATA("BUDGET STIMATO LUMP SUM",'Altre Tabelle di dettaglio'!$V$5,"Fornitore .",X51),"non-visibile")</f>
        <v>non-visibile</v>
      </c>
      <c r="AA51" s="279" t="str">
        <f>IF($Y51&lt;&gt;"non-visibile",'BUDGET STUDI -  IPOTESI 1'!$F47,"non-visibile")</f>
        <v>non-visibile</v>
      </c>
      <c r="AB51" s="279" t="str">
        <f>IF($Y51&lt;&gt;"non-visibile",'BUDGET STUDI -  IPOTESI 1'!$E47,"non-visibile")</f>
        <v>non-visibile</v>
      </c>
      <c r="AC51" s="207" t="str">
        <f>IFERROR(GETPIVOTDATA("Actual EURO ripartito",'Altre Tabelle di dettaglio'!$CH$5,"Fornitore .",X51),"non-visibile")</f>
        <v>non-visibile</v>
      </c>
      <c r="AD51" s="208" t="str">
        <f>IFERROR(GETPIVOTDATA("Actual LUMP ripartito",'Altre Tabelle di dettaglio'!$DC$5,"Fornitore .",X51),"non-visibile")</f>
        <v>non-visibile</v>
      </c>
      <c r="AE51" s="205" t="str">
        <f t="shared" si="1"/>
        <v/>
      </c>
      <c r="AG51" s="212" t="str">
        <f t="shared" si="2"/>
        <v/>
      </c>
      <c r="AH51" s="213"/>
      <c r="AI51" s="235" t="str">
        <f>IFERROR(GETPIVOTDATA("TOTALE ORE",'Altre Tabelle di dettaglio'!$AP$5,"Fornitore .",AH51),"non-visibile")</f>
        <v>non-visibile</v>
      </c>
      <c r="AJ51" s="235" t="str">
        <f>IF($AI51&lt;&gt;"non-visibile",'BUDGET STUDI -  IPOTESI 1'!$D47,"non-visibile")</f>
        <v>non-visibile</v>
      </c>
      <c r="AK51" s="235" t="str">
        <f>IF($Y51&lt;&gt;"non-visibile",'BUDGET STUDI -  IPOTESI 1'!$C47,"non-visibile")</f>
        <v>non-visibile</v>
      </c>
      <c r="AL51" s="211" t="str">
        <f>IFERROR(GETPIVOTDATA("Actual ORE ripartito",'Altre Tabelle di dettaglio'!$BK$5,"Fornitore .",AH51),"non-visibile")</f>
        <v>non-visibile</v>
      </c>
      <c r="AM51" s="212" t="str">
        <f t="shared" si="8"/>
        <v/>
      </c>
    </row>
    <row r="52" spans="1:39" ht="16.5" customHeight="1" x14ac:dyDescent="0.25">
      <c r="B52" s="192"/>
      <c r="C52" s="192"/>
      <c r="D52" s="192"/>
      <c r="E52" s="256"/>
      <c r="F52" s="255"/>
      <c r="G52" s="255"/>
      <c r="H52" s="255"/>
      <c r="I52" s="255"/>
      <c r="J52" s="255"/>
      <c r="W52" s="205" t="str">
        <f t="shared" si="0"/>
        <v/>
      </c>
      <c r="X52" s="276"/>
      <c r="Y52" s="206" t="str">
        <f>IFERROR(GETPIVOTDATA("BUDGET STIMATO ORE",'Altre Tabelle di dettaglio'!$B$5,"Fornitore .",X52),"non-visibile")</f>
        <v>non-visibile</v>
      </c>
      <c r="Z52" s="206" t="str">
        <f>IFERROR(GETPIVOTDATA("BUDGET STIMATO LUMP SUM",'Altre Tabelle di dettaglio'!$V$5,"Fornitore .",X52),"non-visibile")</f>
        <v>non-visibile</v>
      </c>
      <c r="AA52" s="279" t="str">
        <f>IF($Y52&lt;&gt;"non-visibile",'BUDGET STUDI -  IPOTESI 1'!$F48,"non-visibile")</f>
        <v>non-visibile</v>
      </c>
      <c r="AB52" s="279" t="str">
        <f>IF($Y52&lt;&gt;"non-visibile",'BUDGET STUDI -  IPOTESI 1'!$E48,"non-visibile")</f>
        <v>non-visibile</v>
      </c>
      <c r="AC52" s="207" t="str">
        <f>IFERROR(GETPIVOTDATA("Actual EURO ripartito",'Altre Tabelle di dettaglio'!$CH$5,"Fornitore .",X52),"non-visibile")</f>
        <v>non-visibile</v>
      </c>
      <c r="AD52" s="208" t="str">
        <f>IFERROR(GETPIVOTDATA("Actual LUMP ripartito",'Altre Tabelle di dettaglio'!$DC$5,"Fornitore .",X52),"non-visibile")</f>
        <v>non-visibile</v>
      </c>
      <c r="AE52" s="205" t="str">
        <f t="shared" si="1"/>
        <v/>
      </c>
      <c r="AG52" s="212" t="str">
        <f t="shared" si="2"/>
        <v/>
      </c>
      <c r="AH52" s="213"/>
      <c r="AI52" s="235" t="str">
        <f>IFERROR(GETPIVOTDATA("TOTALE ORE",'Altre Tabelle di dettaglio'!$AP$5,"Fornitore .",AH52),"non-visibile")</f>
        <v>non-visibile</v>
      </c>
      <c r="AJ52" s="235" t="str">
        <f>IF($AI52&lt;&gt;"non-visibile",'BUDGET STUDI -  IPOTESI 1'!$D48,"non-visibile")</f>
        <v>non-visibile</v>
      </c>
      <c r="AK52" s="235" t="str">
        <f>IF($Y52&lt;&gt;"non-visibile",'BUDGET STUDI -  IPOTESI 1'!$C48,"non-visibile")</f>
        <v>non-visibile</v>
      </c>
      <c r="AL52" s="211" t="str">
        <f>IFERROR(GETPIVOTDATA("Actual ORE ripartito",'Altre Tabelle di dettaglio'!$BK$5,"Fornitore .",AH52),"non-visibile")</f>
        <v>non-visibile</v>
      </c>
      <c r="AM52" s="212" t="str">
        <f t="shared" si="8"/>
        <v/>
      </c>
    </row>
    <row r="53" spans="1:39" x14ac:dyDescent="0.25">
      <c r="B53" s="192"/>
      <c r="C53" s="192"/>
      <c r="D53" s="192"/>
      <c r="E53" s="256"/>
      <c r="F53" s="255"/>
      <c r="G53" s="255"/>
      <c r="H53" s="255"/>
      <c r="I53" s="255"/>
      <c r="J53" s="255"/>
      <c r="W53" s="205" t="str">
        <f t="shared" si="0"/>
        <v/>
      </c>
      <c r="X53" s="276"/>
      <c r="Y53" s="206" t="str">
        <f>IFERROR(GETPIVOTDATA("BUDGET STIMATO ORE",'Altre Tabelle di dettaglio'!$B$5,"Fornitore .",X53),"non-visibile")</f>
        <v>non-visibile</v>
      </c>
      <c r="Z53" s="206" t="str">
        <f>IFERROR(GETPIVOTDATA("BUDGET STIMATO LUMP SUM",'Altre Tabelle di dettaglio'!$V$5,"Fornitore .",X53),"non-visibile")</f>
        <v>non-visibile</v>
      </c>
      <c r="AA53" s="279" t="str">
        <f>IF($Y53&lt;&gt;"non-visibile",'BUDGET STUDI -  IPOTESI 1'!$F49,"non-visibile")</f>
        <v>non-visibile</v>
      </c>
      <c r="AB53" s="279" t="str">
        <f>IF($Y53&lt;&gt;"non-visibile",'BUDGET STUDI -  IPOTESI 1'!$E49,"non-visibile")</f>
        <v>non-visibile</v>
      </c>
      <c r="AC53" s="207" t="str">
        <f>IFERROR(GETPIVOTDATA("Actual EURO ripartito",'Altre Tabelle di dettaglio'!$CH$5,"Fornitore .",X53),"non-visibile")</f>
        <v>non-visibile</v>
      </c>
      <c r="AD53" s="208" t="str">
        <f>IFERROR(GETPIVOTDATA("Actual LUMP ripartito",'Altre Tabelle di dettaglio'!$DC$5,"Fornitore .",X53),"non-visibile")</f>
        <v>non-visibile</v>
      </c>
      <c r="AE53" s="205" t="str">
        <f t="shared" si="1"/>
        <v/>
      </c>
      <c r="AG53" s="212" t="str">
        <f t="shared" si="2"/>
        <v/>
      </c>
      <c r="AH53" s="213"/>
      <c r="AI53" s="235" t="str">
        <f>IFERROR(GETPIVOTDATA("TOTALE ORE",'Altre Tabelle di dettaglio'!$AP$5,"Fornitore .",AH53),"non-visibile")</f>
        <v>non-visibile</v>
      </c>
      <c r="AJ53" s="235" t="str">
        <f>IF($AI53&lt;&gt;"non-visibile",'BUDGET STUDI -  IPOTESI 1'!$D49,"non-visibile")</f>
        <v>non-visibile</v>
      </c>
      <c r="AK53" s="235" t="str">
        <f>IF($Y53&lt;&gt;"non-visibile",'BUDGET STUDI -  IPOTESI 1'!$C49,"non-visibile")</f>
        <v>non-visibile</v>
      </c>
      <c r="AL53" s="211" t="str">
        <f>IFERROR(GETPIVOTDATA("Actual ORE ripartito",'Altre Tabelle di dettaglio'!$BK$5,"Fornitore .",AH53),"non-visibile")</f>
        <v>non-visibile</v>
      </c>
      <c r="AM53" s="212" t="str">
        <f t="shared" si="8"/>
        <v/>
      </c>
    </row>
    <row r="54" spans="1:39" x14ac:dyDescent="0.25">
      <c r="B54" s="257">
        <f>IFERROR(AL92/AI92,0)</f>
        <v>3.4798949282683372E-2</v>
      </c>
      <c r="C54" s="257">
        <f>IFERROR(AC92/Y92,0)</f>
        <v>4.852686308492201E-2</v>
      </c>
      <c r="D54" s="257">
        <f>IFERROR(AD92/Z92,0)</f>
        <v>8.7692148973486027E-5</v>
      </c>
      <c r="E54" s="256"/>
      <c r="F54" s="255"/>
      <c r="G54" s="255"/>
      <c r="H54" s="255"/>
      <c r="I54" s="255"/>
      <c r="J54" s="255"/>
      <c r="W54" s="205" t="str">
        <f t="shared" si="0"/>
        <v/>
      </c>
      <c r="X54" s="276"/>
      <c r="Y54" s="206" t="str">
        <f>IFERROR(GETPIVOTDATA("BUDGET STIMATO ORE",'Altre Tabelle di dettaglio'!$B$5,"Fornitore .",X54),"non-visibile")</f>
        <v>non-visibile</v>
      </c>
      <c r="Z54" s="206" t="str">
        <f>IFERROR(GETPIVOTDATA("BUDGET STIMATO LUMP SUM",'Altre Tabelle di dettaglio'!$V$5,"Fornitore .",X54),"non-visibile")</f>
        <v>non-visibile</v>
      </c>
      <c r="AA54" s="279" t="str">
        <f>IF($Y54&lt;&gt;"non-visibile",'BUDGET STUDI -  IPOTESI 1'!$F50,"non-visibile")</f>
        <v>non-visibile</v>
      </c>
      <c r="AB54" s="279" t="str">
        <f>IF($Y54&lt;&gt;"non-visibile",'BUDGET STUDI -  IPOTESI 1'!$E50,"non-visibile")</f>
        <v>non-visibile</v>
      </c>
      <c r="AC54" s="207" t="str">
        <f>IFERROR(GETPIVOTDATA("Actual EURO ripartito",'Altre Tabelle di dettaglio'!$CH$5,"Fornitore .",X54),"non-visibile")</f>
        <v>non-visibile</v>
      </c>
      <c r="AD54" s="208" t="str">
        <f>IFERROR(GETPIVOTDATA("Actual LUMP ripartito",'Altre Tabelle di dettaglio'!$DC$5,"Fornitore .",X54),"non-visibile")</f>
        <v>non-visibile</v>
      </c>
      <c r="AE54" s="205" t="str">
        <f t="shared" si="1"/>
        <v/>
      </c>
      <c r="AG54" s="212" t="str">
        <f t="shared" si="2"/>
        <v/>
      </c>
      <c r="AH54" s="213"/>
      <c r="AI54" s="235" t="str">
        <f>IFERROR(GETPIVOTDATA("TOTALE ORE",'Altre Tabelle di dettaglio'!$AP$5,"Fornitore .",AH54),"non-visibile")</f>
        <v>non-visibile</v>
      </c>
      <c r="AJ54" s="235" t="str">
        <f>IF($AI54&lt;&gt;"non-visibile",'BUDGET STUDI -  IPOTESI 1'!$D50,"non-visibile")</f>
        <v>non-visibile</v>
      </c>
      <c r="AK54" s="235" t="str">
        <f>IF($Y54&lt;&gt;"non-visibile",'BUDGET STUDI -  IPOTESI 1'!$C50,"non-visibile")</f>
        <v>non-visibile</v>
      </c>
      <c r="AL54" s="211" t="str">
        <f>IFERROR(GETPIVOTDATA("Actual ORE ripartito",'Altre Tabelle di dettaglio'!$BK$5,"Fornitore .",AH54),"non-visibile")</f>
        <v>non-visibile</v>
      </c>
      <c r="AM54" s="212" t="str">
        <f t="shared" si="8"/>
        <v/>
      </c>
    </row>
    <row r="55" spans="1:39" x14ac:dyDescent="0.25">
      <c r="B55" s="257">
        <f>IF(B54&lt;=1,1-B54,0)</f>
        <v>0.96520105071731666</v>
      </c>
      <c r="C55" s="257">
        <f>IF(C54&lt;=1,1-C54,0)</f>
        <v>0.95147313691507795</v>
      </c>
      <c r="D55" s="257">
        <f>IF(D54&lt;=1,1-D54,0)</f>
        <v>0.99991230785102647</v>
      </c>
      <c r="E55" s="256"/>
      <c r="F55" s="255"/>
      <c r="G55" s="255"/>
      <c r="H55" s="255"/>
      <c r="I55" s="255"/>
      <c r="J55" s="255"/>
      <c r="W55" s="205" t="str">
        <f t="shared" si="0"/>
        <v/>
      </c>
      <c r="X55" s="276"/>
      <c r="Y55" s="206" t="str">
        <f>IFERROR(GETPIVOTDATA("BUDGET STIMATO ORE",'Altre Tabelle di dettaglio'!$B$5,"Fornitore .",X55),"non-visibile")</f>
        <v>non-visibile</v>
      </c>
      <c r="Z55" s="206" t="str">
        <f>IFERROR(GETPIVOTDATA("BUDGET STIMATO LUMP SUM",'Altre Tabelle di dettaglio'!$V$5,"Fornitore .",X55),"non-visibile")</f>
        <v>non-visibile</v>
      </c>
      <c r="AA55" s="279" t="str">
        <f>IF($Y55&lt;&gt;"non-visibile",'BUDGET STUDI -  IPOTESI 1'!$F51,"non-visibile")</f>
        <v>non-visibile</v>
      </c>
      <c r="AB55" s="279" t="str">
        <f>IF($Y55&lt;&gt;"non-visibile",'BUDGET STUDI -  IPOTESI 1'!$E51,"non-visibile")</f>
        <v>non-visibile</v>
      </c>
      <c r="AC55" s="207" t="str">
        <f>IFERROR(GETPIVOTDATA("Actual EURO ripartito",'Altre Tabelle di dettaglio'!$CH$5,"Fornitore .",X55),"non-visibile")</f>
        <v>non-visibile</v>
      </c>
      <c r="AD55" s="208" t="str">
        <f>IFERROR(GETPIVOTDATA("Actual LUMP ripartito",'Altre Tabelle di dettaglio'!$DC$5,"Fornitore .",X55),"non-visibile")</f>
        <v>non-visibile</v>
      </c>
      <c r="AE55" s="205" t="str">
        <f t="shared" si="1"/>
        <v/>
      </c>
      <c r="AG55" s="212" t="str">
        <f t="shared" si="2"/>
        <v/>
      </c>
      <c r="AH55" s="213"/>
      <c r="AI55" s="235" t="str">
        <f>IFERROR(GETPIVOTDATA("TOTALE ORE",'Altre Tabelle di dettaglio'!$AP$5,"Fornitore .",AH55),"non-visibile")</f>
        <v>non-visibile</v>
      </c>
      <c r="AJ55" s="235" t="str">
        <f>IF($AI55&lt;&gt;"non-visibile",'BUDGET STUDI -  IPOTESI 1'!$D51,"non-visibile")</f>
        <v>non-visibile</v>
      </c>
      <c r="AK55" s="235" t="str">
        <f>IF($Y55&lt;&gt;"non-visibile",'BUDGET STUDI -  IPOTESI 1'!$C51,"non-visibile")</f>
        <v>non-visibile</v>
      </c>
      <c r="AL55" s="211" t="str">
        <f>IFERROR(GETPIVOTDATA("Actual ORE ripartito",'Altre Tabelle di dettaglio'!$BK$5,"Fornitore .",AH55),"non-visibile")</f>
        <v>non-visibile</v>
      </c>
      <c r="AM55" s="212" t="str">
        <f t="shared" si="8"/>
        <v/>
      </c>
    </row>
    <row r="56" spans="1:39" x14ac:dyDescent="0.25">
      <c r="B56" s="257"/>
      <c r="C56" s="257"/>
      <c r="D56" s="257"/>
      <c r="E56" s="256"/>
      <c r="F56" s="255"/>
      <c r="G56" s="255"/>
      <c r="H56" s="255"/>
      <c r="I56" s="255"/>
      <c r="J56" s="255"/>
      <c r="W56" s="205" t="str">
        <f t="shared" si="0"/>
        <v/>
      </c>
      <c r="X56" s="276"/>
      <c r="Y56" s="206" t="str">
        <f>IFERROR(GETPIVOTDATA("BUDGET STIMATO ORE",'Altre Tabelle di dettaglio'!$B$5,"Fornitore .",X56),"non-visibile")</f>
        <v>non-visibile</v>
      </c>
      <c r="Z56" s="206" t="str">
        <f>IFERROR(GETPIVOTDATA("BUDGET STIMATO LUMP SUM",'Altre Tabelle di dettaglio'!$V$5,"Fornitore .",X56),"non-visibile")</f>
        <v>non-visibile</v>
      </c>
      <c r="AA56" s="279" t="str">
        <f>IF($Y56&lt;&gt;"non-visibile",'BUDGET STUDI -  IPOTESI 1'!$F52,"non-visibile")</f>
        <v>non-visibile</v>
      </c>
      <c r="AB56" s="279" t="str">
        <f>IF($Y56&lt;&gt;"non-visibile",'BUDGET STUDI -  IPOTESI 1'!$E52,"non-visibile")</f>
        <v>non-visibile</v>
      </c>
      <c r="AC56" s="207" t="str">
        <f>IFERROR(GETPIVOTDATA("Actual EURO ripartito",'Altre Tabelle di dettaglio'!$CH$5,"Fornitore .",X56),"non-visibile")</f>
        <v>non-visibile</v>
      </c>
      <c r="AD56" s="208" t="str">
        <f>IFERROR(GETPIVOTDATA("Actual LUMP ripartito",'Altre Tabelle di dettaglio'!$DC$5,"Fornitore .",X56),"non-visibile")</f>
        <v>non-visibile</v>
      </c>
      <c r="AE56" s="205" t="str">
        <f t="shared" si="1"/>
        <v/>
      </c>
      <c r="AG56" s="212" t="str">
        <f t="shared" si="2"/>
        <v/>
      </c>
      <c r="AH56" s="213"/>
      <c r="AI56" s="235" t="str">
        <f>IFERROR(GETPIVOTDATA("TOTALE ORE",'Altre Tabelle di dettaglio'!$AP$5,"Fornitore .",AH56),"non-visibile")</f>
        <v>non-visibile</v>
      </c>
      <c r="AJ56" s="235" t="str">
        <f>IF($AI56&lt;&gt;"non-visibile",'BUDGET STUDI -  IPOTESI 1'!$D52,"non-visibile")</f>
        <v>non-visibile</v>
      </c>
      <c r="AK56" s="235" t="str">
        <f>IF($Y56&lt;&gt;"non-visibile",'BUDGET STUDI -  IPOTESI 1'!$C52,"non-visibile")</f>
        <v>non-visibile</v>
      </c>
      <c r="AL56" s="211" t="str">
        <f>IFERROR(GETPIVOTDATA("Actual ORE ripartito",'Altre Tabelle di dettaglio'!$BK$5,"Fornitore .",AH56),"non-visibile")</f>
        <v>non-visibile</v>
      </c>
      <c r="AM56" s="212" t="str">
        <f t="shared" si="8"/>
        <v/>
      </c>
    </row>
    <row r="57" spans="1:39" x14ac:dyDescent="0.25">
      <c r="B57" s="257"/>
      <c r="C57" s="257"/>
      <c r="D57" s="257"/>
      <c r="E57" s="256"/>
      <c r="F57" s="255"/>
      <c r="G57" s="255"/>
      <c r="H57" s="255"/>
      <c r="I57" s="255"/>
      <c r="J57" s="255"/>
      <c r="W57" s="205" t="str">
        <f t="shared" si="0"/>
        <v/>
      </c>
      <c r="X57" s="276"/>
      <c r="Y57" s="206" t="str">
        <f>IFERROR(GETPIVOTDATA("BUDGET STIMATO ORE",'Altre Tabelle di dettaglio'!$B$5,"Fornitore .",X57),"non-visibile")</f>
        <v>non-visibile</v>
      </c>
      <c r="Z57" s="206" t="str">
        <f>IFERROR(GETPIVOTDATA("BUDGET STIMATO LUMP SUM",'Altre Tabelle di dettaglio'!$V$5,"Fornitore .",X57),"non-visibile")</f>
        <v>non-visibile</v>
      </c>
      <c r="AA57" s="279" t="str">
        <f>IF($Y57&lt;&gt;"non-visibile",'BUDGET STUDI -  IPOTESI 1'!$F53,"non-visibile")</f>
        <v>non-visibile</v>
      </c>
      <c r="AB57" s="279" t="str">
        <f>IF($Y57&lt;&gt;"non-visibile",'BUDGET STUDI -  IPOTESI 1'!$E53,"non-visibile")</f>
        <v>non-visibile</v>
      </c>
      <c r="AC57" s="207" t="str">
        <f>IFERROR(GETPIVOTDATA("Actual EURO ripartito",'Altre Tabelle di dettaglio'!$CH$5,"Fornitore .",X57),"non-visibile")</f>
        <v>non-visibile</v>
      </c>
      <c r="AD57" s="208" t="str">
        <f>IFERROR(GETPIVOTDATA("Actual LUMP ripartito",'Altre Tabelle di dettaglio'!$DC$5,"Fornitore .",X57),"non-visibile")</f>
        <v>non-visibile</v>
      </c>
      <c r="AE57" s="205" t="str">
        <f t="shared" si="1"/>
        <v/>
      </c>
      <c r="AG57" s="212" t="str">
        <f t="shared" si="2"/>
        <v/>
      </c>
      <c r="AH57" s="213"/>
      <c r="AI57" s="235" t="str">
        <f>IFERROR(GETPIVOTDATA("TOTALE ORE",'Altre Tabelle di dettaglio'!$AP$5,"Fornitore .",AH57),"non-visibile")</f>
        <v>non-visibile</v>
      </c>
      <c r="AJ57" s="235" t="str">
        <f>IF($AI57&lt;&gt;"non-visibile",'BUDGET STUDI -  IPOTESI 1'!$D53,"non-visibile")</f>
        <v>non-visibile</v>
      </c>
      <c r="AK57" s="235" t="str">
        <f>IF($Y57&lt;&gt;"non-visibile",'BUDGET STUDI -  IPOTESI 1'!$C53,"non-visibile")</f>
        <v>non-visibile</v>
      </c>
      <c r="AL57" s="211" t="str">
        <f>IFERROR(GETPIVOTDATA("Actual ORE ripartito",'Altre Tabelle di dettaglio'!$BK$5,"Fornitore .",AH57),"non-visibile")</f>
        <v>non-visibile</v>
      </c>
      <c r="AM57" s="212" t="str">
        <f t="shared" si="8"/>
        <v/>
      </c>
    </row>
    <row r="58" spans="1:39" x14ac:dyDescent="0.25">
      <c r="A58" s="256"/>
      <c r="B58" s="258"/>
      <c r="C58" s="258"/>
      <c r="D58" s="258"/>
      <c r="E58" s="256"/>
      <c r="F58" s="255"/>
      <c r="G58" s="255"/>
      <c r="H58" s="255"/>
      <c r="I58" s="255"/>
      <c r="J58" s="255"/>
      <c r="W58" s="205" t="str">
        <f t="shared" si="0"/>
        <v/>
      </c>
      <c r="X58" s="276"/>
      <c r="Y58" s="206" t="str">
        <f>IFERROR(GETPIVOTDATA("BUDGET STIMATO ORE",'Altre Tabelle di dettaglio'!$B$5,"Fornitore .",X58),"non-visibile")</f>
        <v>non-visibile</v>
      </c>
      <c r="Z58" s="206" t="str">
        <f>IFERROR(GETPIVOTDATA("BUDGET STIMATO LUMP SUM",'Altre Tabelle di dettaglio'!$V$5,"Fornitore .",X58),"non-visibile")</f>
        <v>non-visibile</v>
      </c>
      <c r="AA58" s="279" t="str">
        <f>IF($Y58&lt;&gt;"non-visibile",'BUDGET STUDI -  IPOTESI 1'!$F54,"non-visibile")</f>
        <v>non-visibile</v>
      </c>
      <c r="AB58" s="279" t="str">
        <f>IF($Y58&lt;&gt;"non-visibile",'BUDGET STUDI -  IPOTESI 1'!$E54,"non-visibile")</f>
        <v>non-visibile</v>
      </c>
      <c r="AC58" s="207" t="str">
        <f>IFERROR(GETPIVOTDATA("Actual EURO ripartito",'Altre Tabelle di dettaglio'!$CH$5,"Fornitore .",X58),"non-visibile")</f>
        <v>non-visibile</v>
      </c>
      <c r="AD58" s="208" t="str">
        <f>IFERROR(GETPIVOTDATA("Actual LUMP ripartito",'Altre Tabelle di dettaglio'!$DC$5,"Fornitore .",X58),"non-visibile")</f>
        <v>non-visibile</v>
      </c>
      <c r="AE58" s="205" t="str">
        <f t="shared" si="1"/>
        <v/>
      </c>
      <c r="AG58" s="212" t="str">
        <f t="shared" si="2"/>
        <v/>
      </c>
      <c r="AH58" s="213"/>
      <c r="AI58" s="235" t="str">
        <f>IFERROR(GETPIVOTDATA("TOTALE ORE",'Altre Tabelle di dettaglio'!$AP$5,"Fornitore .",AH58),"non-visibile")</f>
        <v>non-visibile</v>
      </c>
      <c r="AJ58" s="235" t="str">
        <f>IF($AI58&lt;&gt;"non-visibile",'BUDGET STUDI -  IPOTESI 1'!$D54,"non-visibile")</f>
        <v>non-visibile</v>
      </c>
      <c r="AK58" s="235" t="str">
        <f>IF($Y58&lt;&gt;"non-visibile",'BUDGET STUDI -  IPOTESI 1'!$C54,"non-visibile")</f>
        <v>non-visibile</v>
      </c>
      <c r="AL58" s="211" t="str">
        <f>IFERROR(GETPIVOTDATA("Actual ORE ripartito",'Altre Tabelle di dettaglio'!$BK$5,"Fornitore .",AH58),"non-visibile")</f>
        <v>non-visibile</v>
      </c>
      <c r="AM58" s="212" t="str">
        <f t="shared" si="8"/>
        <v/>
      </c>
    </row>
    <row r="59" spans="1:39" x14ac:dyDescent="0.25">
      <c r="A59" s="256"/>
      <c r="B59" s="258"/>
      <c r="C59" s="258"/>
      <c r="D59" s="258"/>
      <c r="E59" s="256"/>
      <c r="F59" s="255"/>
      <c r="G59" s="255"/>
      <c r="H59" s="255"/>
      <c r="I59" s="255"/>
      <c r="J59" s="255"/>
      <c r="W59" s="205" t="str">
        <f t="shared" si="0"/>
        <v/>
      </c>
      <c r="X59" s="276"/>
      <c r="Y59" s="206" t="str">
        <f>IFERROR(GETPIVOTDATA("BUDGET STIMATO ORE",'Altre Tabelle di dettaglio'!$B$5,"Fornitore .",X59),"non-visibile")</f>
        <v>non-visibile</v>
      </c>
      <c r="Z59" s="206" t="str">
        <f>IFERROR(GETPIVOTDATA("BUDGET STIMATO LUMP SUM",'Altre Tabelle di dettaglio'!$V$5,"Fornitore .",X59),"non-visibile")</f>
        <v>non-visibile</v>
      </c>
      <c r="AA59" s="279" t="str">
        <f>IF($Y59&lt;&gt;"non-visibile",'BUDGET STUDI -  IPOTESI 1'!$F55,"non-visibile")</f>
        <v>non-visibile</v>
      </c>
      <c r="AB59" s="279" t="str">
        <f>IF($Y59&lt;&gt;"non-visibile",'BUDGET STUDI -  IPOTESI 1'!$E55,"non-visibile")</f>
        <v>non-visibile</v>
      </c>
      <c r="AC59" s="207" t="str">
        <f>IFERROR(GETPIVOTDATA("Actual EURO ripartito",'Altre Tabelle di dettaglio'!$CH$5,"Fornitore .",X59),"non-visibile")</f>
        <v>non-visibile</v>
      </c>
      <c r="AD59" s="208" t="str">
        <f>IFERROR(GETPIVOTDATA("Actual LUMP ripartito",'Altre Tabelle di dettaglio'!$DC$5,"Fornitore .",X59),"non-visibile")</f>
        <v>non-visibile</v>
      </c>
      <c r="AE59" s="205" t="str">
        <f t="shared" si="1"/>
        <v/>
      </c>
      <c r="AG59" s="212" t="str">
        <f t="shared" si="2"/>
        <v/>
      </c>
      <c r="AH59" s="213"/>
      <c r="AI59" s="235" t="str">
        <f>IFERROR(GETPIVOTDATA("TOTALE ORE",'Altre Tabelle di dettaglio'!$AP$5,"Fornitore .",AH59),"non-visibile")</f>
        <v>non-visibile</v>
      </c>
      <c r="AJ59" s="235" t="str">
        <f>IF($AI59&lt;&gt;"non-visibile",'BUDGET STUDI -  IPOTESI 1'!$D55,"non-visibile")</f>
        <v>non-visibile</v>
      </c>
      <c r="AK59" s="235" t="str">
        <f>IF($Y59&lt;&gt;"non-visibile",'BUDGET STUDI -  IPOTESI 1'!$C55,"non-visibile")</f>
        <v>non-visibile</v>
      </c>
      <c r="AL59" s="211" t="str">
        <f>IFERROR(GETPIVOTDATA("Actual ORE ripartito",'Altre Tabelle di dettaglio'!$BK$5,"Fornitore .",AH59),"non-visibile")</f>
        <v>non-visibile</v>
      </c>
      <c r="AM59" s="212" t="str">
        <f t="shared" si="8"/>
        <v/>
      </c>
    </row>
    <row r="60" spans="1:39" x14ac:dyDescent="0.25">
      <c r="A60" s="256"/>
      <c r="B60" s="256"/>
      <c r="C60" s="256"/>
      <c r="D60" s="256"/>
      <c r="E60" s="256"/>
      <c r="F60" s="255"/>
      <c r="G60" s="255"/>
      <c r="H60" s="255"/>
      <c r="I60" s="255"/>
      <c r="J60" s="255"/>
      <c r="W60" s="205" t="str">
        <f t="shared" si="0"/>
        <v/>
      </c>
      <c r="X60" s="276"/>
      <c r="Y60" s="206" t="str">
        <f>IFERROR(GETPIVOTDATA("BUDGET STIMATO ORE",'Altre Tabelle di dettaglio'!$B$5,"Fornitore .",X60),"non-visibile")</f>
        <v>non-visibile</v>
      </c>
      <c r="Z60" s="206" t="str">
        <f>IFERROR(GETPIVOTDATA("BUDGET STIMATO LUMP SUM",'Altre Tabelle di dettaglio'!$V$5,"Fornitore .",X60),"non-visibile")</f>
        <v>non-visibile</v>
      </c>
      <c r="AA60" s="279" t="str">
        <f>IF($Y60&lt;&gt;"non-visibile",'BUDGET STUDI -  IPOTESI 1'!$F56,"non-visibile")</f>
        <v>non-visibile</v>
      </c>
      <c r="AB60" s="279" t="str">
        <f>IF($Y60&lt;&gt;"non-visibile",'BUDGET STUDI -  IPOTESI 1'!$E56,"non-visibile")</f>
        <v>non-visibile</v>
      </c>
      <c r="AC60" s="207" t="str">
        <f>IFERROR(GETPIVOTDATA("Actual EURO ripartito",'Altre Tabelle di dettaglio'!$CH$5,"Fornitore .",X60),"non-visibile")</f>
        <v>non-visibile</v>
      </c>
      <c r="AD60" s="208" t="str">
        <f>IFERROR(GETPIVOTDATA("Actual LUMP ripartito",'Altre Tabelle di dettaglio'!$DC$5,"Fornitore .",X60),"non-visibile")</f>
        <v>non-visibile</v>
      </c>
      <c r="AE60" s="205" t="str">
        <f t="shared" si="1"/>
        <v/>
      </c>
      <c r="AG60" s="212" t="str">
        <f t="shared" si="2"/>
        <v/>
      </c>
      <c r="AH60" s="213"/>
      <c r="AI60" s="235" t="str">
        <f>IFERROR(GETPIVOTDATA("TOTALE ORE",'Altre Tabelle di dettaglio'!$AP$5,"Fornitore .",AH60),"non-visibile")</f>
        <v>non-visibile</v>
      </c>
      <c r="AJ60" s="235" t="str">
        <f>IF($AI60&lt;&gt;"non-visibile",'BUDGET STUDI -  IPOTESI 1'!$D56,"non-visibile")</f>
        <v>non-visibile</v>
      </c>
      <c r="AK60" s="235" t="str">
        <f>IF($Y60&lt;&gt;"non-visibile",'BUDGET STUDI -  IPOTESI 1'!$C56,"non-visibile")</f>
        <v>non-visibile</v>
      </c>
      <c r="AL60" s="211" t="str">
        <f>IFERROR(GETPIVOTDATA("Actual ORE ripartito",'Altre Tabelle di dettaglio'!$BK$5,"Fornitore .",AH60),"non-visibile")</f>
        <v>non-visibile</v>
      </c>
      <c r="AM60" s="212" t="str">
        <f t="shared" si="8"/>
        <v/>
      </c>
    </row>
    <row r="61" spans="1:39" x14ac:dyDescent="0.25">
      <c r="A61" s="256"/>
      <c r="B61" s="256"/>
      <c r="C61" s="256"/>
      <c r="D61" s="256"/>
      <c r="E61" s="192"/>
      <c r="F61" s="255"/>
      <c r="G61" s="255"/>
      <c r="H61" s="255"/>
      <c r="I61" s="255"/>
      <c r="J61" s="255"/>
      <c r="W61" s="205" t="str">
        <f t="shared" si="0"/>
        <v/>
      </c>
      <c r="X61" s="276"/>
      <c r="Y61" s="206" t="str">
        <f>IFERROR(GETPIVOTDATA("BUDGET STIMATO ORE",'Altre Tabelle di dettaglio'!$B$5,"Fornitore .",X61),"non-visibile")</f>
        <v>non-visibile</v>
      </c>
      <c r="Z61" s="206" t="str">
        <f>IFERROR(GETPIVOTDATA("BUDGET STIMATO LUMP SUM",'Altre Tabelle di dettaglio'!$V$5,"Fornitore .",X61),"non-visibile")</f>
        <v>non-visibile</v>
      </c>
      <c r="AA61" s="279" t="str">
        <f>IF($Y61&lt;&gt;"non-visibile",'BUDGET STUDI -  IPOTESI 1'!$F57,"non-visibile")</f>
        <v>non-visibile</v>
      </c>
      <c r="AB61" s="279" t="str">
        <f>IF($Y61&lt;&gt;"non-visibile",'BUDGET STUDI -  IPOTESI 1'!$E57,"non-visibile")</f>
        <v>non-visibile</v>
      </c>
      <c r="AC61" s="207" t="str">
        <f>IFERROR(GETPIVOTDATA("Actual EURO ripartito",'Altre Tabelle di dettaglio'!$CH$5,"Fornitore .",X61),"non-visibile")</f>
        <v>non-visibile</v>
      </c>
      <c r="AD61" s="208" t="str">
        <f>IFERROR(GETPIVOTDATA("Actual LUMP ripartito",'Altre Tabelle di dettaglio'!$DC$5,"Fornitore .",X61),"non-visibile")</f>
        <v>non-visibile</v>
      </c>
      <c r="AE61" s="205" t="str">
        <f t="shared" si="1"/>
        <v/>
      </c>
      <c r="AG61" s="212" t="str">
        <f t="shared" si="2"/>
        <v/>
      </c>
      <c r="AH61" s="213"/>
      <c r="AI61" s="235" t="str">
        <f>IFERROR(GETPIVOTDATA("TOTALE ORE",'Altre Tabelle di dettaglio'!$AP$5,"Fornitore .",AH61),"non-visibile")</f>
        <v>non-visibile</v>
      </c>
      <c r="AJ61" s="235" t="str">
        <f>IF($AI61&lt;&gt;"non-visibile",'BUDGET STUDI -  IPOTESI 1'!$D57,"non-visibile")</f>
        <v>non-visibile</v>
      </c>
      <c r="AK61" s="235" t="str">
        <f>IF($Y61&lt;&gt;"non-visibile",'BUDGET STUDI -  IPOTESI 1'!$C57,"non-visibile")</f>
        <v>non-visibile</v>
      </c>
      <c r="AL61" s="211" t="str">
        <f>IFERROR(GETPIVOTDATA("Actual ORE ripartito",'Altre Tabelle di dettaglio'!$BK$5,"Fornitore .",AH61),"non-visibile")</f>
        <v>non-visibile</v>
      </c>
      <c r="AM61" s="212" t="str">
        <f t="shared" si="8"/>
        <v/>
      </c>
    </row>
    <row r="62" spans="1:39" x14ac:dyDescent="0.25">
      <c r="A62" s="256"/>
      <c r="B62" s="256"/>
      <c r="C62" s="256"/>
      <c r="D62" s="256"/>
      <c r="F62" s="255"/>
      <c r="G62" s="255"/>
      <c r="H62" s="255"/>
      <c r="I62" s="255"/>
      <c r="J62" s="255"/>
      <c r="W62" s="205" t="str">
        <f t="shared" si="0"/>
        <v/>
      </c>
      <c r="X62" s="276"/>
      <c r="Y62" s="206" t="str">
        <f>IFERROR(GETPIVOTDATA("BUDGET STIMATO ORE",'Altre Tabelle di dettaglio'!$B$5,"Fornitore .",X62),"non-visibile")</f>
        <v>non-visibile</v>
      </c>
      <c r="Z62" s="206" t="str">
        <f>IFERROR(GETPIVOTDATA("BUDGET STIMATO LUMP SUM",'Altre Tabelle di dettaglio'!$V$5,"Fornitore .",X62),"non-visibile")</f>
        <v>non-visibile</v>
      </c>
      <c r="AA62" s="279" t="str">
        <f>IF($Y62&lt;&gt;"non-visibile",'BUDGET STUDI -  IPOTESI 1'!$F58,"non-visibile")</f>
        <v>non-visibile</v>
      </c>
      <c r="AB62" s="279" t="str">
        <f>IF($Y62&lt;&gt;"non-visibile",'BUDGET STUDI -  IPOTESI 1'!$E58,"non-visibile")</f>
        <v>non-visibile</v>
      </c>
      <c r="AC62" s="207" t="str">
        <f>IFERROR(GETPIVOTDATA("Actual EURO ripartito",'Altre Tabelle di dettaglio'!$CH$5,"Fornitore .",X62),"non-visibile")</f>
        <v>non-visibile</v>
      </c>
      <c r="AD62" s="208" t="str">
        <f>IFERROR(GETPIVOTDATA("Actual LUMP ripartito",'Altre Tabelle di dettaglio'!$DC$5,"Fornitore .",X62),"non-visibile")</f>
        <v>non-visibile</v>
      </c>
      <c r="AE62" s="205" t="str">
        <f t="shared" si="1"/>
        <v/>
      </c>
      <c r="AG62" s="212" t="str">
        <f t="shared" si="2"/>
        <v/>
      </c>
      <c r="AH62" s="213"/>
      <c r="AI62" s="235" t="str">
        <f>IFERROR(GETPIVOTDATA("TOTALE ORE",'Altre Tabelle di dettaglio'!$AP$5,"Fornitore .",AH62),"non-visibile")</f>
        <v>non-visibile</v>
      </c>
      <c r="AJ62" s="235" t="str">
        <f>IF($AI62&lt;&gt;"non-visibile",'BUDGET STUDI -  IPOTESI 1'!$D58,"non-visibile")</f>
        <v>non-visibile</v>
      </c>
      <c r="AK62" s="235" t="str">
        <f>IF($Y62&lt;&gt;"non-visibile",'BUDGET STUDI -  IPOTESI 1'!$C58,"non-visibile")</f>
        <v>non-visibile</v>
      </c>
      <c r="AL62" s="211" t="str">
        <f>IFERROR(GETPIVOTDATA("Actual ORE ripartito",'Altre Tabelle di dettaglio'!$BK$5,"Fornitore .",AH62),"non-visibile")</f>
        <v>non-visibile</v>
      </c>
      <c r="AM62" s="212" t="str">
        <f t="shared" si="8"/>
        <v/>
      </c>
    </row>
    <row r="63" spans="1:39" x14ac:dyDescent="0.25">
      <c r="A63" s="256"/>
      <c r="B63" s="256"/>
      <c r="C63" s="256"/>
      <c r="D63" s="256"/>
      <c r="F63" s="255"/>
      <c r="G63" s="255"/>
      <c r="H63" s="255"/>
      <c r="I63" s="255"/>
      <c r="J63" s="255"/>
      <c r="W63" s="205" t="str">
        <f t="shared" si="0"/>
        <v/>
      </c>
      <c r="X63" s="276"/>
      <c r="Y63" s="206" t="str">
        <f>IFERROR(GETPIVOTDATA("BUDGET STIMATO ORE",'Altre Tabelle di dettaglio'!$B$5,"Fornitore .",X63),"non-visibile")</f>
        <v>non-visibile</v>
      </c>
      <c r="Z63" s="206" t="str">
        <f>IFERROR(GETPIVOTDATA("BUDGET STIMATO LUMP SUM",'Altre Tabelle di dettaglio'!$V$5,"Fornitore .",X63),"non-visibile")</f>
        <v>non-visibile</v>
      </c>
      <c r="AA63" s="279" t="str">
        <f>IF($Y63&lt;&gt;"non-visibile",'BUDGET STUDI -  IPOTESI 1'!$F59,"non-visibile")</f>
        <v>non-visibile</v>
      </c>
      <c r="AB63" s="279" t="str">
        <f>IF($Y63&lt;&gt;"non-visibile",'BUDGET STUDI -  IPOTESI 1'!$E59,"non-visibile")</f>
        <v>non-visibile</v>
      </c>
      <c r="AC63" s="207" t="str">
        <f>IFERROR(GETPIVOTDATA("Actual EURO ripartito",'Altre Tabelle di dettaglio'!$CH$5,"Fornitore .",X63),"non-visibile")</f>
        <v>non-visibile</v>
      </c>
      <c r="AD63" s="208" t="str">
        <f>IFERROR(GETPIVOTDATA("Actual LUMP ripartito",'Altre Tabelle di dettaglio'!$DC$5,"Fornitore .",X63),"non-visibile")</f>
        <v>non-visibile</v>
      </c>
      <c r="AE63" s="205" t="str">
        <f t="shared" si="1"/>
        <v/>
      </c>
      <c r="AG63" s="212" t="str">
        <f t="shared" si="2"/>
        <v/>
      </c>
      <c r="AH63" s="213"/>
      <c r="AI63" s="235" t="str">
        <f>IFERROR(GETPIVOTDATA("TOTALE ORE",'Altre Tabelle di dettaglio'!$AP$5,"Fornitore .",AH63),"non-visibile")</f>
        <v>non-visibile</v>
      </c>
      <c r="AJ63" s="235" t="str">
        <f>IF($AI63&lt;&gt;"non-visibile",'BUDGET STUDI -  IPOTESI 1'!$D59,"non-visibile")</f>
        <v>non-visibile</v>
      </c>
      <c r="AK63" s="235" t="str">
        <f>IF($Y63&lt;&gt;"non-visibile",'BUDGET STUDI -  IPOTESI 1'!$C59,"non-visibile")</f>
        <v>non-visibile</v>
      </c>
      <c r="AL63" s="211" t="str">
        <f>IFERROR(GETPIVOTDATA("Actual ORE ripartito",'Altre Tabelle di dettaglio'!$BK$5,"Fornitore .",AH63),"non-visibile")</f>
        <v>non-visibile</v>
      </c>
      <c r="AM63" s="212" t="str">
        <f t="shared" si="8"/>
        <v/>
      </c>
    </row>
    <row r="64" spans="1:39" x14ac:dyDescent="0.25">
      <c r="F64" s="255"/>
      <c r="G64" s="255"/>
      <c r="H64" s="255"/>
      <c r="I64" s="255"/>
      <c r="J64" s="255"/>
      <c r="W64" s="205" t="str">
        <f t="shared" si="0"/>
        <v/>
      </c>
      <c r="X64" s="276"/>
      <c r="Y64" s="206" t="str">
        <f>IFERROR(GETPIVOTDATA("BUDGET STIMATO ORE",'Altre Tabelle di dettaglio'!$B$5,"Fornitore .",X64),"non-visibile")</f>
        <v>non-visibile</v>
      </c>
      <c r="Z64" s="206" t="str">
        <f>IFERROR(GETPIVOTDATA("BUDGET STIMATO LUMP SUM",'Altre Tabelle di dettaglio'!$V$5,"Fornitore .",X64),"non-visibile")</f>
        <v>non-visibile</v>
      </c>
      <c r="AA64" s="279" t="str">
        <f>IF($Y64&lt;&gt;"non-visibile",'BUDGET STUDI -  IPOTESI 1'!$F60,"non-visibile")</f>
        <v>non-visibile</v>
      </c>
      <c r="AB64" s="279" t="str">
        <f>IF($Y64&lt;&gt;"non-visibile",'BUDGET STUDI -  IPOTESI 1'!$E60,"non-visibile")</f>
        <v>non-visibile</v>
      </c>
      <c r="AC64" s="207" t="str">
        <f>IFERROR(GETPIVOTDATA("Actual EURO ripartito",'Altre Tabelle di dettaglio'!$CH$5,"Fornitore .",X64),"non-visibile")</f>
        <v>non-visibile</v>
      </c>
      <c r="AD64" s="208" t="str">
        <f>IFERROR(GETPIVOTDATA("Actual LUMP ripartito",'Altre Tabelle di dettaglio'!$DC$5,"Fornitore .",X64),"non-visibile")</f>
        <v>non-visibile</v>
      </c>
      <c r="AE64" s="205" t="str">
        <f t="shared" si="1"/>
        <v/>
      </c>
      <c r="AG64" s="212" t="str">
        <f t="shared" si="2"/>
        <v/>
      </c>
      <c r="AH64" s="213"/>
      <c r="AI64" s="235" t="str">
        <f>IFERROR(GETPIVOTDATA("TOTALE ORE",'Altre Tabelle di dettaglio'!$AP$5,"Fornitore .",AH64),"non-visibile")</f>
        <v>non-visibile</v>
      </c>
      <c r="AJ64" s="235" t="str">
        <f>IF($AI64&lt;&gt;"non-visibile",'BUDGET STUDI -  IPOTESI 1'!$D60,"non-visibile")</f>
        <v>non-visibile</v>
      </c>
      <c r="AK64" s="235" t="str">
        <f>IF($Y64&lt;&gt;"non-visibile",'BUDGET STUDI -  IPOTESI 1'!$C60,"non-visibile")</f>
        <v>non-visibile</v>
      </c>
      <c r="AL64" s="211" t="str">
        <f>IFERROR(GETPIVOTDATA("Actual ORE ripartito",'Altre Tabelle di dettaglio'!$BK$5,"Fornitore .",AH64),"non-visibile")</f>
        <v>non-visibile</v>
      </c>
      <c r="AM64" s="212" t="str">
        <f t="shared" si="8"/>
        <v/>
      </c>
    </row>
    <row r="65" spans="6:39" x14ac:dyDescent="0.25">
      <c r="H65" s="255"/>
      <c r="I65" s="255"/>
      <c r="J65" s="255"/>
      <c r="W65" s="205" t="str">
        <f t="shared" si="0"/>
        <v/>
      </c>
      <c r="X65" s="276"/>
      <c r="Y65" s="206" t="str">
        <f>IFERROR(GETPIVOTDATA("BUDGET STIMATO ORE",'Altre Tabelle di dettaglio'!$B$5,"Fornitore .",X65),"non-visibile")</f>
        <v>non-visibile</v>
      </c>
      <c r="Z65" s="206" t="str">
        <f>IFERROR(GETPIVOTDATA("BUDGET STIMATO LUMP SUM",'Altre Tabelle di dettaglio'!$V$5,"Fornitore .",X65),"non-visibile")</f>
        <v>non-visibile</v>
      </c>
      <c r="AA65" s="279" t="str">
        <f>IF($Y65&lt;&gt;"non-visibile",'BUDGET STUDI -  IPOTESI 1'!$F61,"non-visibile")</f>
        <v>non-visibile</v>
      </c>
      <c r="AB65" s="279" t="str">
        <f>IF($Y65&lt;&gt;"non-visibile",'BUDGET STUDI -  IPOTESI 1'!$E61,"non-visibile")</f>
        <v>non-visibile</v>
      </c>
      <c r="AC65" s="207" t="str">
        <f>IFERROR(GETPIVOTDATA("Actual EURO ripartito",'Altre Tabelle di dettaglio'!$CH$5,"Fornitore .",X65),"non-visibile")</f>
        <v>non-visibile</v>
      </c>
      <c r="AD65" s="208" t="str">
        <f>IFERROR(GETPIVOTDATA("Actual LUMP ripartito",'Altre Tabelle di dettaglio'!$DC$5,"Fornitore .",X65),"non-visibile")</f>
        <v>non-visibile</v>
      </c>
      <c r="AE65" s="205" t="str">
        <f t="shared" si="1"/>
        <v/>
      </c>
      <c r="AG65" s="212" t="str">
        <f t="shared" si="2"/>
        <v/>
      </c>
      <c r="AH65" s="213"/>
      <c r="AI65" s="235" t="str">
        <f>IFERROR(GETPIVOTDATA("TOTALE ORE",'Altre Tabelle di dettaglio'!$AP$5,"Fornitore .",AH65),"non-visibile")</f>
        <v>non-visibile</v>
      </c>
      <c r="AJ65" s="235" t="str">
        <f>IF($AI65&lt;&gt;"non-visibile",'BUDGET STUDI -  IPOTESI 1'!$D61,"non-visibile")</f>
        <v>non-visibile</v>
      </c>
      <c r="AK65" s="235" t="str">
        <f>IF($Y65&lt;&gt;"non-visibile",'BUDGET STUDI -  IPOTESI 1'!$C61,"non-visibile")</f>
        <v>non-visibile</v>
      </c>
      <c r="AL65" s="211" t="str">
        <f>IFERROR(GETPIVOTDATA("Actual ORE ripartito",'Altre Tabelle di dettaglio'!$BK$5,"Fornitore .",AH65),"non-visibile")</f>
        <v>non-visibile</v>
      </c>
      <c r="AM65" s="212" t="str">
        <f t="shared" si="8"/>
        <v/>
      </c>
    </row>
    <row r="66" spans="6:39" x14ac:dyDescent="0.25">
      <c r="H66" s="255"/>
      <c r="I66" s="255"/>
      <c r="J66" s="255"/>
      <c r="W66" s="205" t="str">
        <f t="shared" si="0"/>
        <v/>
      </c>
      <c r="X66" s="276"/>
      <c r="Y66" s="206" t="str">
        <f>IFERROR(GETPIVOTDATA("BUDGET STIMATO ORE",'Altre Tabelle di dettaglio'!$B$5,"Fornitore .",X66),"non-visibile")</f>
        <v>non-visibile</v>
      </c>
      <c r="Z66" s="206" t="str">
        <f>IFERROR(GETPIVOTDATA("BUDGET STIMATO LUMP SUM",'Altre Tabelle di dettaglio'!$V$5,"Fornitore .",X66),"non-visibile")</f>
        <v>non-visibile</v>
      </c>
      <c r="AA66" s="279" t="str">
        <f>IF($Y66&lt;&gt;"non-visibile",'BUDGET STUDI -  IPOTESI 1'!$F62,"non-visibile")</f>
        <v>non-visibile</v>
      </c>
      <c r="AB66" s="279" t="str">
        <f>IF($Y66&lt;&gt;"non-visibile",'BUDGET STUDI -  IPOTESI 1'!$E62,"non-visibile")</f>
        <v>non-visibile</v>
      </c>
      <c r="AC66" s="207" t="str">
        <f>IFERROR(GETPIVOTDATA("Actual EURO ripartito",'Altre Tabelle di dettaglio'!$CH$5,"Fornitore .",X66),"non-visibile")</f>
        <v>non-visibile</v>
      </c>
      <c r="AD66" s="208" t="str">
        <f>IFERROR(GETPIVOTDATA("Actual LUMP ripartito",'Altre Tabelle di dettaglio'!$DC$5,"Fornitore .",X66),"non-visibile")</f>
        <v>non-visibile</v>
      </c>
      <c r="AE66" s="205" t="str">
        <f t="shared" si="1"/>
        <v/>
      </c>
      <c r="AG66" s="212" t="str">
        <f t="shared" si="2"/>
        <v/>
      </c>
      <c r="AH66" s="213"/>
      <c r="AI66" s="235" t="str">
        <f>IFERROR(GETPIVOTDATA("TOTALE ORE",'Altre Tabelle di dettaglio'!$AP$5,"Fornitore .",AH66),"non-visibile")</f>
        <v>non-visibile</v>
      </c>
      <c r="AJ66" s="235" t="str">
        <f>IF($AI66&lt;&gt;"non-visibile",'BUDGET STUDI -  IPOTESI 1'!$D62,"non-visibile")</f>
        <v>non-visibile</v>
      </c>
      <c r="AK66" s="235" t="str">
        <f>IF($Y66&lt;&gt;"non-visibile",'BUDGET STUDI -  IPOTESI 1'!$C62,"non-visibile")</f>
        <v>non-visibile</v>
      </c>
      <c r="AL66" s="211" t="str">
        <f>IFERROR(GETPIVOTDATA("Actual ORE ripartito",'Altre Tabelle di dettaglio'!$BK$5,"Fornitore .",AH66),"non-visibile")</f>
        <v>non-visibile</v>
      </c>
      <c r="AM66" s="212" t="str">
        <f t="shared" si="8"/>
        <v/>
      </c>
    </row>
    <row r="67" spans="6:39" x14ac:dyDescent="0.25">
      <c r="F67" s="255"/>
      <c r="G67" s="255"/>
      <c r="H67" s="255"/>
      <c r="I67" s="255"/>
      <c r="J67" s="255"/>
      <c r="W67" s="205" t="str">
        <f t="shared" si="0"/>
        <v/>
      </c>
      <c r="X67" s="276"/>
      <c r="Y67" s="206" t="str">
        <f>IFERROR(GETPIVOTDATA("BUDGET STIMATO ORE",'Altre Tabelle di dettaglio'!$B$5,"Fornitore .",X67),"non-visibile")</f>
        <v>non-visibile</v>
      </c>
      <c r="Z67" s="206" t="str">
        <f>IFERROR(GETPIVOTDATA("BUDGET STIMATO LUMP SUM",'Altre Tabelle di dettaglio'!$V$5,"Fornitore .",X67),"non-visibile")</f>
        <v>non-visibile</v>
      </c>
      <c r="AA67" s="279" t="str">
        <f>IF($Y67&lt;&gt;"non-visibile",'BUDGET STUDI -  IPOTESI 1'!$F63,"non-visibile")</f>
        <v>non-visibile</v>
      </c>
      <c r="AB67" s="279" t="str">
        <f>IF($Y67&lt;&gt;"non-visibile",'BUDGET STUDI -  IPOTESI 1'!$E63,"non-visibile")</f>
        <v>non-visibile</v>
      </c>
      <c r="AC67" s="207" t="str">
        <f>IFERROR(GETPIVOTDATA("Actual EURO ripartito",'Altre Tabelle di dettaglio'!$CH$5,"Fornitore .",X67),"non-visibile")</f>
        <v>non-visibile</v>
      </c>
      <c r="AD67" s="208" t="str">
        <f>IFERROR(GETPIVOTDATA("Actual LUMP ripartito",'Altre Tabelle di dettaglio'!$DC$5,"Fornitore .",X67),"non-visibile")</f>
        <v>non-visibile</v>
      </c>
      <c r="AE67" s="205" t="str">
        <f t="shared" si="1"/>
        <v/>
      </c>
      <c r="AG67" s="212" t="str">
        <f t="shared" si="2"/>
        <v/>
      </c>
      <c r="AH67" s="213"/>
      <c r="AI67" s="235" t="str">
        <f>IFERROR(GETPIVOTDATA("TOTALE ORE",'Altre Tabelle di dettaglio'!$AP$5,"Fornitore .",AH67),"non-visibile")</f>
        <v>non-visibile</v>
      </c>
      <c r="AJ67" s="235" t="str">
        <f>IF($AI67&lt;&gt;"non-visibile",'BUDGET STUDI -  IPOTESI 1'!$D63,"non-visibile")</f>
        <v>non-visibile</v>
      </c>
      <c r="AK67" s="235" t="str">
        <f>IF($Y67&lt;&gt;"non-visibile",'BUDGET STUDI -  IPOTESI 1'!$C63,"non-visibile")</f>
        <v>non-visibile</v>
      </c>
      <c r="AL67" s="211" t="str">
        <f>IFERROR(GETPIVOTDATA("Actual ORE ripartito",'Altre Tabelle di dettaglio'!$BK$5,"Fornitore .",AH67),"non-visibile")</f>
        <v>non-visibile</v>
      </c>
      <c r="AM67" s="212" t="str">
        <f t="shared" si="8"/>
        <v/>
      </c>
    </row>
    <row r="68" spans="6:39" x14ac:dyDescent="0.25">
      <c r="W68" s="205" t="str">
        <f t="shared" si="0"/>
        <v/>
      </c>
      <c r="X68" s="276"/>
      <c r="Y68" s="206" t="str">
        <f>IFERROR(GETPIVOTDATA("BUDGET STIMATO ORE",'Altre Tabelle di dettaglio'!$B$5,"Fornitore .",X68),"non-visibile")</f>
        <v>non-visibile</v>
      </c>
      <c r="Z68" s="206" t="str">
        <f>IFERROR(GETPIVOTDATA("BUDGET STIMATO LUMP SUM",'Altre Tabelle di dettaglio'!$V$5,"Fornitore .",X68),"non-visibile")</f>
        <v>non-visibile</v>
      </c>
      <c r="AA68" s="279" t="str">
        <f>IF($Y68&lt;&gt;"non-visibile",'BUDGET STUDI -  IPOTESI 1'!$F64,"non-visibile")</f>
        <v>non-visibile</v>
      </c>
      <c r="AB68" s="279" t="str">
        <f>IF($Y68&lt;&gt;"non-visibile",'BUDGET STUDI -  IPOTESI 1'!$E64,"non-visibile")</f>
        <v>non-visibile</v>
      </c>
      <c r="AC68" s="207" t="str">
        <f>IFERROR(GETPIVOTDATA("Actual EURO ripartito",'Altre Tabelle di dettaglio'!$CH$5,"Fornitore .",X68),"non-visibile")</f>
        <v>non-visibile</v>
      </c>
      <c r="AD68" s="208" t="str">
        <f>IFERROR(GETPIVOTDATA("Actual LUMP ripartito",'Altre Tabelle di dettaglio'!$DC$5,"Fornitore .",X68),"non-visibile")</f>
        <v>non-visibile</v>
      </c>
      <c r="AE68" s="205" t="str">
        <f t="shared" si="1"/>
        <v/>
      </c>
      <c r="AG68" s="212" t="str">
        <f t="shared" si="2"/>
        <v/>
      </c>
      <c r="AH68" s="213"/>
      <c r="AI68" s="235" t="str">
        <f>IFERROR(GETPIVOTDATA("TOTALE ORE",'Altre Tabelle di dettaglio'!$AP$5,"Fornitore .",AH68),"non-visibile")</f>
        <v>non-visibile</v>
      </c>
      <c r="AJ68" s="235" t="str">
        <f>IF($AI68&lt;&gt;"non-visibile",'BUDGET STUDI -  IPOTESI 1'!$D64,"non-visibile")</f>
        <v>non-visibile</v>
      </c>
      <c r="AK68" s="235" t="str">
        <f>IF($Y68&lt;&gt;"non-visibile",'BUDGET STUDI -  IPOTESI 1'!$C64,"non-visibile")</f>
        <v>non-visibile</v>
      </c>
      <c r="AL68" s="211" t="str">
        <f>IFERROR(GETPIVOTDATA("Actual ORE ripartito",'Altre Tabelle di dettaglio'!$BK$5,"Fornitore .",AH68),"non-visibile")</f>
        <v>non-visibile</v>
      </c>
      <c r="AM68" s="212" t="str">
        <f t="shared" si="8"/>
        <v/>
      </c>
    </row>
    <row r="69" spans="6:39" x14ac:dyDescent="0.25">
      <c r="W69" s="205" t="str">
        <f t="shared" si="0"/>
        <v/>
      </c>
      <c r="X69" s="276"/>
      <c r="Y69" s="206" t="str">
        <f>IFERROR(GETPIVOTDATA("BUDGET STIMATO ORE",'Altre Tabelle di dettaglio'!$B$5,"Fornitore .",X69),"non-visibile")</f>
        <v>non-visibile</v>
      </c>
      <c r="Z69" s="206" t="str">
        <f>IFERROR(GETPIVOTDATA("BUDGET STIMATO LUMP SUM",'Altre Tabelle di dettaglio'!$V$5,"Fornitore .",X69),"non-visibile")</f>
        <v>non-visibile</v>
      </c>
      <c r="AA69" s="279" t="str">
        <f>IF($Y69&lt;&gt;"non-visibile",'BUDGET STUDI -  IPOTESI 1'!$F65,"non-visibile")</f>
        <v>non-visibile</v>
      </c>
      <c r="AB69" s="279" t="str">
        <f>IF($Y69&lt;&gt;"non-visibile",'BUDGET STUDI -  IPOTESI 1'!$E65,"non-visibile")</f>
        <v>non-visibile</v>
      </c>
      <c r="AC69" s="207" t="str">
        <f>IFERROR(GETPIVOTDATA("Actual EURO ripartito",'Altre Tabelle di dettaglio'!$CH$5,"Fornitore .",X69),"non-visibile")</f>
        <v>non-visibile</v>
      </c>
      <c r="AD69" s="208" t="str">
        <f>IFERROR(GETPIVOTDATA("Actual LUMP ripartito",'Altre Tabelle di dettaglio'!$DC$5,"Fornitore .",X69),"non-visibile")</f>
        <v>non-visibile</v>
      </c>
      <c r="AE69" s="205" t="str">
        <f t="shared" si="1"/>
        <v/>
      </c>
      <c r="AG69" s="212" t="str">
        <f t="shared" si="2"/>
        <v/>
      </c>
      <c r="AH69" s="213"/>
      <c r="AI69" s="235" t="str">
        <f>IFERROR(GETPIVOTDATA("TOTALE ORE",'Altre Tabelle di dettaglio'!$AP$5,"Fornitore .",AH69),"non-visibile")</f>
        <v>non-visibile</v>
      </c>
      <c r="AJ69" s="235" t="str">
        <f>IF($AI69&lt;&gt;"non-visibile",'BUDGET STUDI -  IPOTESI 1'!$D65,"non-visibile")</f>
        <v>non-visibile</v>
      </c>
      <c r="AK69" s="235" t="str">
        <f>IF($Y69&lt;&gt;"non-visibile",'BUDGET STUDI -  IPOTESI 1'!$C65,"non-visibile")</f>
        <v>non-visibile</v>
      </c>
      <c r="AL69" s="211" t="str">
        <f>IFERROR(GETPIVOTDATA("Actual ORE ripartito",'Altre Tabelle di dettaglio'!$BK$5,"Fornitore .",AH69),"non-visibile")</f>
        <v>non-visibile</v>
      </c>
      <c r="AM69" s="212" t="str">
        <f t="shared" si="8"/>
        <v/>
      </c>
    </row>
    <row r="70" spans="6:39" x14ac:dyDescent="0.25">
      <c r="W70" s="205" t="str">
        <f t="shared" si="0"/>
        <v/>
      </c>
      <c r="X70" s="276"/>
      <c r="Y70" s="206" t="str">
        <f>IFERROR(GETPIVOTDATA("BUDGET STIMATO ORE",'Altre Tabelle di dettaglio'!$B$5,"Fornitore .",X70),"non-visibile")</f>
        <v>non-visibile</v>
      </c>
      <c r="Z70" s="206" t="str">
        <f>IFERROR(GETPIVOTDATA("BUDGET STIMATO LUMP SUM",'Altre Tabelle di dettaglio'!$V$5,"Fornitore .",X70),"non-visibile")</f>
        <v>non-visibile</v>
      </c>
      <c r="AA70" s="279" t="str">
        <f>IF($Y70&lt;&gt;"non-visibile",'BUDGET STUDI -  IPOTESI 1'!$F66,"non-visibile")</f>
        <v>non-visibile</v>
      </c>
      <c r="AB70" s="279" t="str">
        <f>IF($Y70&lt;&gt;"non-visibile",'BUDGET STUDI -  IPOTESI 1'!$E66,"non-visibile")</f>
        <v>non-visibile</v>
      </c>
      <c r="AC70" s="207" t="str">
        <f>IFERROR(GETPIVOTDATA("Actual EURO ripartito",'Altre Tabelle di dettaglio'!$CH$5,"Fornitore .",X70),"non-visibile")</f>
        <v>non-visibile</v>
      </c>
      <c r="AD70" s="208" t="str">
        <f>IFERROR(GETPIVOTDATA("Actual LUMP ripartito",'Altre Tabelle di dettaglio'!$DC$5,"Fornitore .",X70),"non-visibile")</f>
        <v>non-visibile</v>
      </c>
      <c r="AE70" s="205" t="str">
        <f t="shared" si="1"/>
        <v/>
      </c>
      <c r="AG70" s="212" t="str">
        <f t="shared" si="2"/>
        <v/>
      </c>
      <c r="AH70" s="213"/>
      <c r="AI70" s="235" t="str">
        <f>IFERROR(GETPIVOTDATA("TOTALE ORE",'Altre Tabelle di dettaglio'!$AP$5,"Fornitore .",AH70),"non-visibile")</f>
        <v>non-visibile</v>
      </c>
      <c r="AJ70" s="235" t="str">
        <f>IF($AI70&lt;&gt;"non-visibile",'BUDGET STUDI -  IPOTESI 1'!$D66,"non-visibile")</f>
        <v>non-visibile</v>
      </c>
      <c r="AK70" s="235" t="str">
        <f>IF($Y70&lt;&gt;"non-visibile",'BUDGET STUDI -  IPOTESI 1'!$C66,"non-visibile")</f>
        <v>non-visibile</v>
      </c>
      <c r="AL70" s="211" t="str">
        <f>IFERROR(GETPIVOTDATA("Actual ORE ripartito",'Altre Tabelle di dettaglio'!$BK$5,"Fornitore .",AH70),"non-visibile")</f>
        <v>non-visibile</v>
      </c>
      <c r="AM70" s="212" t="str">
        <f t="shared" si="8"/>
        <v/>
      </c>
    </row>
    <row r="71" spans="6:39" x14ac:dyDescent="0.25">
      <c r="W71" s="205" t="str">
        <f t="shared" si="0"/>
        <v/>
      </c>
      <c r="X71" s="276"/>
      <c r="Y71" s="206" t="str">
        <f>IFERROR(GETPIVOTDATA("BUDGET STIMATO ORE",'Altre Tabelle di dettaglio'!$B$5,"Fornitore .",X71),"non-visibile")</f>
        <v>non-visibile</v>
      </c>
      <c r="Z71" s="206" t="str">
        <f>IFERROR(GETPIVOTDATA("BUDGET STIMATO LUMP SUM",'Altre Tabelle di dettaglio'!$V$5,"Fornitore .",X71),"non-visibile")</f>
        <v>non-visibile</v>
      </c>
      <c r="AA71" s="279" t="str">
        <f>IF($Y71&lt;&gt;"non-visibile",'BUDGET STUDI -  IPOTESI 1'!$F67,"non-visibile")</f>
        <v>non-visibile</v>
      </c>
      <c r="AB71" s="279" t="str">
        <f>IF($Y71&lt;&gt;"non-visibile",'BUDGET STUDI -  IPOTESI 1'!$E67,"non-visibile")</f>
        <v>non-visibile</v>
      </c>
      <c r="AC71" s="207" t="str">
        <f>IFERROR(GETPIVOTDATA("Actual EURO ripartito",'Altre Tabelle di dettaglio'!$CH$5,"Fornitore .",X71),"non-visibile")</f>
        <v>non-visibile</v>
      </c>
      <c r="AD71" s="208" t="str">
        <f>IFERROR(GETPIVOTDATA("Actual LUMP ripartito",'Altre Tabelle di dettaglio'!$DC$5,"Fornitore .",X71),"non-visibile")</f>
        <v>non-visibile</v>
      </c>
      <c r="AE71" s="205" t="str">
        <f t="shared" si="1"/>
        <v/>
      </c>
      <c r="AG71" s="212" t="str">
        <f t="shared" si="2"/>
        <v/>
      </c>
      <c r="AH71" s="213"/>
      <c r="AI71" s="235" t="str">
        <f>IFERROR(GETPIVOTDATA("TOTALE ORE",'Altre Tabelle di dettaglio'!$AP$5,"Fornitore .",AH71),"non-visibile")</f>
        <v>non-visibile</v>
      </c>
      <c r="AJ71" s="235" t="str">
        <f>IF($AI71&lt;&gt;"non-visibile",'BUDGET STUDI -  IPOTESI 1'!$D67,"non-visibile")</f>
        <v>non-visibile</v>
      </c>
      <c r="AK71" s="235" t="str">
        <f>IF($Y71&lt;&gt;"non-visibile",'BUDGET STUDI -  IPOTESI 1'!$C67,"non-visibile")</f>
        <v>non-visibile</v>
      </c>
      <c r="AL71" s="211" t="str">
        <f>IFERROR(GETPIVOTDATA("Actual ORE ripartito",'Altre Tabelle di dettaglio'!$BK$5,"Fornitore .",AH71),"non-visibile")</f>
        <v>non-visibile</v>
      </c>
      <c r="AM71" s="212" t="str">
        <f t="shared" si="8"/>
        <v/>
      </c>
    </row>
    <row r="72" spans="6:39" x14ac:dyDescent="0.25">
      <c r="W72" s="205" t="str">
        <f t="shared" si="0"/>
        <v/>
      </c>
      <c r="X72" s="276"/>
      <c r="Y72" s="206" t="str">
        <f>IFERROR(GETPIVOTDATA("BUDGET STIMATO ORE",'Altre Tabelle di dettaglio'!$B$5,"Fornitore .",X72),"non-visibile")</f>
        <v>non-visibile</v>
      </c>
      <c r="Z72" s="206" t="str">
        <f>IFERROR(GETPIVOTDATA("BUDGET STIMATO LUMP SUM",'Altre Tabelle di dettaglio'!$V$5,"Fornitore .",X72),"non-visibile")</f>
        <v>non-visibile</v>
      </c>
      <c r="AA72" s="279" t="str">
        <f>IF($Y72&lt;&gt;"non-visibile",'BUDGET STUDI -  IPOTESI 1'!$F68,"non-visibile")</f>
        <v>non-visibile</v>
      </c>
      <c r="AB72" s="279" t="str">
        <f>IF($Y72&lt;&gt;"non-visibile",'BUDGET STUDI -  IPOTESI 1'!$E68,"non-visibile")</f>
        <v>non-visibile</v>
      </c>
      <c r="AC72" s="207" t="str">
        <f>IFERROR(GETPIVOTDATA("Actual EURO ripartito",'Altre Tabelle di dettaglio'!$CH$5,"Fornitore .",X72),"non-visibile")</f>
        <v>non-visibile</v>
      </c>
      <c r="AD72" s="208" t="str">
        <f>IFERROR(GETPIVOTDATA("Actual LUMP ripartito",'Altre Tabelle di dettaglio'!$DC$5,"Fornitore .",X72),"non-visibile")</f>
        <v>non-visibile</v>
      </c>
      <c r="AE72" s="205" t="str">
        <f t="shared" si="1"/>
        <v/>
      </c>
      <c r="AG72" s="212" t="str">
        <f t="shared" si="2"/>
        <v/>
      </c>
      <c r="AH72" s="213"/>
      <c r="AI72" s="235" t="str">
        <f>IFERROR(GETPIVOTDATA("TOTALE ORE",'Altre Tabelle di dettaglio'!$AP$5,"Fornitore .",AH72),"non-visibile")</f>
        <v>non-visibile</v>
      </c>
      <c r="AJ72" s="235" t="str">
        <f>IF($AI72&lt;&gt;"non-visibile",'BUDGET STUDI -  IPOTESI 1'!$D68,"non-visibile")</f>
        <v>non-visibile</v>
      </c>
      <c r="AK72" s="235" t="str">
        <f>IF($Y72&lt;&gt;"non-visibile",'BUDGET STUDI -  IPOTESI 1'!$C68,"non-visibile")</f>
        <v>non-visibile</v>
      </c>
      <c r="AL72" s="211" t="str">
        <f>IFERROR(GETPIVOTDATA("Actual ORE ripartito",'Altre Tabelle di dettaglio'!$BK$5,"Fornitore .",AH72),"non-visibile")</f>
        <v>non-visibile</v>
      </c>
      <c r="AM72" s="212" t="str">
        <f t="shared" si="8"/>
        <v/>
      </c>
    </row>
    <row r="73" spans="6:39" x14ac:dyDescent="0.25">
      <c r="W73" s="205" t="str">
        <f t="shared" ref="W73:W91" si="10">IF($Y73&lt;&gt;"non-visibile",IF(OR($AC73&gt;$Y73,$AD73&gt;$Z73),1,0),"")</f>
        <v/>
      </c>
      <c r="X73" s="276"/>
      <c r="Y73" s="206" t="str">
        <f>IFERROR(GETPIVOTDATA("BUDGET STIMATO ORE",'Altre Tabelle di dettaglio'!$B$5,"Fornitore .",X73),"non-visibile")</f>
        <v>non-visibile</v>
      </c>
      <c r="Z73" s="206" t="str">
        <f>IFERROR(GETPIVOTDATA("BUDGET STIMATO LUMP SUM",'Altre Tabelle di dettaglio'!$V$5,"Fornitore .",X73),"non-visibile")</f>
        <v>non-visibile</v>
      </c>
      <c r="AA73" s="279" t="str">
        <f>IF($Y73&lt;&gt;"non-visibile",'BUDGET STUDI -  IPOTESI 1'!$F69,"non-visibile")</f>
        <v>non-visibile</v>
      </c>
      <c r="AB73" s="279" t="str">
        <f>IF($Y73&lt;&gt;"non-visibile",'BUDGET STUDI -  IPOTESI 1'!$E69,"non-visibile")</f>
        <v>non-visibile</v>
      </c>
      <c r="AC73" s="207" t="str">
        <f>IFERROR(GETPIVOTDATA("Actual EURO ripartito",'Altre Tabelle di dettaglio'!$CH$5,"Fornitore .",X73),"non-visibile")</f>
        <v>non-visibile</v>
      </c>
      <c r="AD73" s="208" t="str">
        <f>IFERROR(GETPIVOTDATA("Actual LUMP ripartito",'Altre Tabelle di dettaglio'!$DC$5,"Fornitore .",X73),"non-visibile")</f>
        <v>non-visibile</v>
      </c>
      <c r="AE73" s="205" t="str">
        <f t="shared" ref="AE73:AE91" si="11">$W73</f>
        <v/>
      </c>
      <c r="AG73" s="212" t="str">
        <f t="shared" ref="AG73:AG91" si="12">IF($AI73&lt;&gt;"non-visibile",IF($AL73&gt;$AI73,1,0),"")</f>
        <v/>
      </c>
      <c r="AH73" s="213"/>
      <c r="AI73" s="235" t="str">
        <f>IFERROR(GETPIVOTDATA("TOTALE ORE",'Altre Tabelle di dettaglio'!$AP$5,"Fornitore .",AH73),"non-visibile")</f>
        <v>non-visibile</v>
      </c>
      <c r="AJ73" s="235" t="str">
        <f>IF($AI73&lt;&gt;"non-visibile",'BUDGET STUDI -  IPOTESI 1'!$D69,"non-visibile")</f>
        <v>non-visibile</v>
      </c>
      <c r="AK73" s="235" t="str">
        <f>IF($Y73&lt;&gt;"non-visibile",'BUDGET STUDI -  IPOTESI 1'!$C69,"non-visibile")</f>
        <v>non-visibile</v>
      </c>
      <c r="AL73" s="211" t="str">
        <f>IFERROR(GETPIVOTDATA("Actual ORE ripartito",'Altre Tabelle di dettaglio'!$BK$5,"Fornitore .",AH73),"non-visibile")</f>
        <v>non-visibile</v>
      </c>
      <c r="AM73" s="212" t="str">
        <f t="shared" si="8"/>
        <v/>
      </c>
    </row>
    <row r="74" spans="6:39" x14ac:dyDescent="0.25">
      <c r="W74" s="205" t="str">
        <f t="shared" si="10"/>
        <v/>
      </c>
      <c r="X74" s="276"/>
      <c r="Y74" s="206" t="str">
        <f>IFERROR(GETPIVOTDATA("BUDGET STIMATO ORE",'Altre Tabelle di dettaglio'!$B$5,"Fornitore .",X74),"non-visibile")</f>
        <v>non-visibile</v>
      </c>
      <c r="Z74" s="206" t="str">
        <f>IFERROR(GETPIVOTDATA("BUDGET STIMATO LUMP SUM",'Altre Tabelle di dettaglio'!$V$5,"Fornitore .",X74),"non-visibile")</f>
        <v>non-visibile</v>
      </c>
      <c r="AA74" s="279" t="str">
        <f>IF($Y74&lt;&gt;"non-visibile",'BUDGET STUDI -  IPOTESI 1'!$F70,"non-visibile")</f>
        <v>non-visibile</v>
      </c>
      <c r="AB74" s="279" t="str">
        <f>IF($Y74&lt;&gt;"non-visibile",'BUDGET STUDI -  IPOTESI 1'!$E70,"non-visibile")</f>
        <v>non-visibile</v>
      </c>
      <c r="AC74" s="207" t="str">
        <f>IFERROR(GETPIVOTDATA("Actual EURO ripartito",'Altre Tabelle di dettaglio'!$CH$5,"Fornitore .",X74),"non-visibile")</f>
        <v>non-visibile</v>
      </c>
      <c r="AD74" s="208" t="str">
        <f>IFERROR(GETPIVOTDATA("Actual LUMP ripartito",'Altre Tabelle di dettaglio'!$DC$5,"Fornitore .",X74),"non-visibile")</f>
        <v>non-visibile</v>
      </c>
      <c r="AE74" s="205" t="str">
        <f t="shared" si="11"/>
        <v/>
      </c>
      <c r="AG74" s="212" t="str">
        <f t="shared" si="12"/>
        <v/>
      </c>
      <c r="AH74" s="213"/>
      <c r="AI74" s="235" t="str">
        <f>IFERROR(GETPIVOTDATA("TOTALE ORE",'Altre Tabelle di dettaglio'!$AP$5,"Fornitore .",AH74),"non-visibile")</f>
        <v>non-visibile</v>
      </c>
      <c r="AJ74" s="235" t="str">
        <f>IF($AI74&lt;&gt;"non-visibile",'BUDGET STUDI -  IPOTESI 1'!$D70,"non-visibile")</f>
        <v>non-visibile</v>
      </c>
      <c r="AK74" s="235" t="str">
        <f>IF($Y74&lt;&gt;"non-visibile",'BUDGET STUDI -  IPOTESI 1'!$C70,"non-visibile")</f>
        <v>non-visibile</v>
      </c>
      <c r="AL74" s="211" t="str">
        <f>IFERROR(GETPIVOTDATA("Actual ORE ripartito",'Altre Tabelle di dettaglio'!$BK$5,"Fornitore .",AH74),"non-visibile")</f>
        <v>non-visibile</v>
      </c>
      <c r="AM74" s="212" t="str">
        <f t="shared" si="8"/>
        <v/>
      </c>
    </row>
    <row r="75" spans="6:39" x14ac:dyDescent="0.25">
      <c r="W75" s="205" t="str">
        <f t="shared" si="10"/>
        <v/>
      </c>
      <c r="X75" s="276"/>
      <c r="Y75" s="206" t="str">
        <f>IFERROR(GETPIVOTDATA("BUDGET STIMATO ORE",'Altre Tabelle di dettaglio'!$B$5,"Fornitore .",X75),"non-visibile")</f>
        <v>non-visibile</v>
      </c>
      <c r="Z75" s="206" t="str">
        <f>IFERROR(GETPIVOTDATA("BUDGET STIMATO LUMP SUM",'Altre Tabelle di dettaglio'!$V$5,"Fornitore .",X75),"non-visibile")</f>
        <v>non-visibile</v>
      </c>
      <c r="AA75" s="279" t="str">
        <f>IF($Y75&lt;&gt;"non-visibile",'BUDGET STUDI -  IPOTESI 1'!$F71,"non-visibile")</f>
        <v>non-visibile</v>
      </c>
      <c r="AB75" s="279" t="str">
        <f>IF($Y75&lt;&gt;"non-visibile",'BUDGET STUDI -  IPOTESI 1'!$E71,"non-visibile")</f>
        <v>non-visibile</v>
      </c>
      <c r="AC75" s="207" t="str">
        <f>IFERROR(GETPIVOTDATA("Actual EURO ripartito",'Altre Tabelle di dettaglio'!$CH$5,"Fornitore .",X75),"non-visibile")</f>
        <v>non-visibile</v>
      </c>
      <c r="AD75" s="208" t="str">
        <f>IFERROR(GETPIVOTDATA("Actual LUMP ripartito",'Altre Tabelle di dettaglio'!$DC$5,"Fornitore .",X75),"non-visibile")</f>
        <v>non-visibile</v>
      </c>
      <c r="AE75" s="205" t="str">
        <f t="shared" si="11"/>
        <v/>
      </c>
      <c r="AG75" s="212" t="str">
        <f t="shared" si="12"/>
        <v/>
      </c>
      <c r="AH75" s="213"/>
      <c r="AI75" s="235" t="str">
        <f>IFERROR(GETPIVOTDATA("TOTALE ORE",'Altre Tabelle di dettaglio'!$AP$5,"Fornitore .",AH75),"non-visibile")</f>
        <v>non-visibile</v>
      </c>
      <c r="AJ75" s="235" t="str">
        <f>IF($AI75&lt;&gt;"non-visibile",'BUDGET STUDI -  IPOTESI 1'!$D71,"non-visibile")</f>
        <v>non-visibile</v>
      </c>
      <c r="AK75" s="235" t="str">
        <f>IF($Y75&lt;&gt;"non-visibile",'BUDGET STUDI -  IPOTESI 1'!$C71,"non-visibile")</f>
        <v>non-visibile</v>
      </c>
      <c r="AL75" s="211" t="str">
        <f>IFERROR(GETPIVOTDATA("Actual ORE ripartito",'Altre Tabelle di dettaglio'!$BK$5,"Fornitore .",AH75),"non-visibile")</f>
        <v>non-visibile</v>
      </c>
      <c r="AM75" s="212" t="str">
        <f t="shared" si="8"/>
        <v/>
      </c>
    </row>
    <row r="76" spans="6:39" x14ac:dyDescent="0.25">
      <c r="W76" s="205" t="str">
        <f t="shared" si="10"/>
        <v/>
      </c>
      <c r="X76" s="276"/>
      <c r="Y76" s="206" t="str">
        <f>IFERROR(GETPIVOTDATA("BUDGET STIMATO ORE",'Altre Tabelle di dettaglio'!$B$5,"Fornitore .",X76),"non-visibile")</f>
        <v>non-visibile</v>
      </c>
      <c r="Z76" s="206" t="str">
        <f>IFERROR(GETPIVOTDATA("BUDGET STIMATO LUMP SUM",'Altre Tabelle di dettaglio'!$V$5,"Fornitore .",X76),"non-visibile")</f>
        <v>non-visibile</v>
      </c>
      <c r="AA76" s="279" t="str">
        <f>IF($Y76&lt;&gt;"non-visibile",'BUDGET STUDI -  IPOTESI 1'!$F72,"non-visibile")</f>
        <v>non-visibile</v>
      </c>
      <c r="AB76" s="279" t="str">
        <f>IF($Y76&lt;&gt;"non-visibile",'BUDGET STUDI -  IPOTESI 1'!$E72,"non-visibile")</f>
        <v>non-visibile</v>
      </c>
      <c r="AC76" s="207" t="str">
        <f>IFERROR(GETPIVOTDATA("Actual EURO ripartito",'Altre Tabelle di dettaglio'!$CH$5,"Fornitore .",X76),"non-visibile")</f>
        <v>non-visibile</v>
      </c>
      <c r="AD76" s="208" t="str">
        <f>IFERROR(GETPIVOTDATA("Actual LUMP ripartito",'Altre Tabelle di dettaglio'!$DC$5,"Fornitore .",X76),"non-visibile")</f>
        <v>non-visibile</v>
      </c>
      <c r="AE76" s="205" t="str">
        <f t="shared" si="11"/>
        <v/>
      </c>
      <c r="AG76" s="212" t="str">
        <f t="shared" si="12"/>
        <v/>
      </c>
      <c r="AH76" s="213"/>
      <c r="AI76" s="235" t="str">
        <f>IFERROR(GETPIVOTDATA("TOTALE ORE",'Altre Tabelle di dettaglio'!$AP$5,"Fornitore .",AH76),"non-visibile")</f>
        <v>non-visibile</v>
      </c>
      <c r="AJ76" s="235" t="str">
        <f>IF($AI76&lt;&gt;"non-visibile",'BUDGET STUDI -  IPOTESI 1'!$D72,"non-visibile")</f>
        <v>non-visibile</v>
      </c>
      <c r="AK76" s="235" t="str">
        <f>IF($Y76&lt;&gt;"non-visibile",'BUDGET STUDI -  IPOTESI 1'!$C72,"non-visibile")</f>
        <v>non-visibile</v>
      </c>
      <c r="AL76" s="211" t="str">
        <f>IFERROR(GETPIVOTDATA("Actual ORE ripartito",'Altre Tabelle di dettaglio'!$BK$5,"Fornitore .",AH76),"non-visibile")</f>
        <v>non-visibile</v>
      </c>
      <c r="AM76" s="212" t="str">
        <f t="shared" si="8"/>
        <v/>
      </c>
    </row>
    <row r="77" spans="6:39" x14ac:dyDescent="0.25">
      <c r="W77" s="205" t="str">
        <f t="shared" si="10"/>
        <v/>
      </c>
      <c r="X77" s="276"/>
      <c r="Y77" s="206" t="str">
        <f>IFERROR(GETPIVOTDATA("BUDGET STIMATO ORE",'Altre Tabelle di dettaglio'!$B$5,"Fornitore .",X77),"non-visibile")</f>
        <v>non-visibile</v>
      </c>
      <c r="Z77" s="206" t="str">
        <f>IFERROR(GETPIVOTDATA("BUDGET STIMATO LUMP SUM",'Altre Tabelle di dettaglio'!$V$5,"Fornitore .",X77),"non-visibile")</f>
        <v>non-visibile</v>
      </c>
      <c r="AA77" s="279" t="str">
        <f>IF($Y77&lt;&gt;"non-visibile",'BUDGET STUDI -  IPOTESI 1'!$F73,"non-visibile")</f>
        <v>non-visibile</v>
      </c>
      <c r="AB77" s="279" t="str">
        <f>IF($Y77&lt;&gt;"non-visibile",'BUDGET STUDI -  IPOTESI 1'!$E73,"non-visibile")</f>
        <v>non-visibile</v>
      </c>
      <c r="AC77" s="207" t="str">
        <f>IFERROR(GETPIVOTDATA("Actual EURO ripartito",'Altre Tabelle di dettaglio'!$CH$5,"Fornitore .",X77),"non-visibile")</f>
        <v>non-visibile</v>
      </c>
      <c r="AD77" s="208" t="str">
        <f>IFERROR(GETPIVOTDATA("Actual LUMP ripartito",'Altre Tabelle di dettaglio'!$DC$5,"Fornitore .",X77),"non-visibile")</f>
        <v>non-visibile</v>
      </c>
      <c r="AE77" s="205" t="str">
        <f t="shared" si="11"/>
        <v/>
      </c>
      <c r="AG77" s="212" t="str">
        <f t="shared" si="12"/>
        <v/>
      </c>
      <c r="AH77" s="213"/>
      <c r="AI77" s="235" t="str">
        <f>IFERROR(GETPIVOTDATA("TOTALE ORE",'Altre Tabelle di dettaglio'!$AP$5,"Fornitore .",AH77),"non-visibile")</f>
        <v>non-visibile</v>
      </c>
      <c r="AJ77" s="235" t="str">
        <f>IF($AI77&lt;&gt;"non-visibile",'BUDGET STUDI -  IPOTESI 1'!$D73,"non-visibile")</f>
        <v>non-visibile</v>
      </c>
      <c r="AK77" s="235" t="str">
        <f>IF($Y77&lt;&gt;"non-visibile",'BUDGET STUDI -  IPOTESI 1'!$C73,"non-visibile")</f>
        <v>non-visibile</v>
      </c>
      <c r="AL77" s="211" t="str">
        <f>IFERROR(GETPIVOTDATA("Actual ORE ripartito",'Altre Tabelle di dettaglio'!$BK$5,"Fornitore .",AH77),"non-visibile")</f>
        <v>non-visibile</v>
      </c>
      <c r="AM77" s="212" t="str">
        <f t="shared" si="8"/>
        <v/>
      </c>
    </row>
    <row r="78" spans="6:39" x14ac:dyDescent="0.25">
      <c r="W78" s="205" t="str">
        <f t="shared" si="10"/>
        <v/>
      </c>
      <c r="X78" s="276"/>
      <c r="Y78" s="206" t="str">
        <f>IFERROR(GETPIVOTDATA("BUDGET STIMATO ORE",'Altre Tabelle di dettaglio'!$B$5,"Fornitore .",X78),"non-visibile")</f>
        <v>non-visibile</v>
      </c>
      <c r="Z78" s="206" t="str">
        <f>IFERROR(GETPIVOTDATA("BUDGET STIMATO LUMP SUM",'Altre Tabelle di dettaglio'!$V$5,"Fornitore .",X78),"non-visibile")</f>
        <v>non-visibile</v>
      </c>
      <c r="AA78" s="279" t="str">
        <f>IF($Y78&lt;&gt;"non-visibile",'BUDGET STUDI -  IPOTESI 1'!$F74,"non-visibile")</f>
        <v>non-visibile</v>
      </c>
      <c r="AB78" s="279" t="str">
        <f>IF($Y78&lt;&gt;"non-visibile",'BUDGET STUDI -  IPOTESI 1'!$E74,"non-visibile")</f>
        <v>non-visibile</v>
      </c>
      <c r="AC78" s="207" t="str">
        <f>IFERROR(GETPIVOTDATA("Actual EURO ripartito",'Altre Tabelle di dettaglio'!$CH$5,"Fornitore .",X78),"non-visibile")</f>
        <v>non-visibile</v>
      </c>
      <c r="AD78" s="208" t="str">
        <f>IFERROR(GETPIVOTDATA("Actual LUMP ripartito",'Altre Tabelle di dettaglio'!$DC$5,"Fornitore .",X78),"non-visibile")</f>
        <v>non-visibile</v>
      </c>
      <c r="AE78" s="205" t="str">
        <f t="shared" si="11"/>
        <v/>
      </c>
      <c r="AG78" s="212" t="str">
        <f t="shared" si="12"/>
        <v/>
      </c>
      <c r="AH78" s="213"/>
      <c r="AI78" s="235" t="str">
        <f>IFERROR(GETPIVOTDATA("TOTALE ORE",'Altre Tabelle di dettaglio'!$AP$5,"Fornitore .",AH78),"non-visibile")</f>
        <v>non-visibile</v>
      </c>
      <c r="AJ78" s="235" t="str">
        <f>IF($AI78&lt;&gt;"non-visibile",'BUDGET STUDI -  IPOTESI 1'!$D74,"non-visibile")</f>
        <v>non-visibile</v>
      </c>
      <c r="AK78" s="235" t="str">
        <f>IF($Y78&lt;&gt;"non-visibile",'BUDGET STUDI -  IPOTESI 1'!$C74,"non-visibile")</f>
        <v>non-visibile</v>
      </c>
      <c r="AL78" s="211" t="str">
        <f>IFERROR(GETPIVOTDATA("Actual ORE ripartito",'Altre Tabelle di dettaglio'!$BK$5,"Fornitore .",AH78),"non-visibile")</f>
        <v>non-visibile</v>
      </c>
      <c r="AM78" s="212" t="str">
        <f t="shared" si="8"/>
        <v/>
      </c>
    </row>
    <row r="79" spans="6:39" x14ac:dyDescent="0.25">
      <c r="W79" s="205" t="str">
        <f t="shared" si="10"/>
        <v/>
      </c>
      <c r="X79" s="276"/>
      <c r="Y79" s="206" t="str">
        <f>IFERROR(GETPIVOTDATA("BUDGET STIMATO ORE",'Altre Tabelle di dettaglio'!$B$5,"Fornitore .",X79),"non-visibile")</f>
        <v>non-visibile</v>
      </c>
      <c r="Z79" s="206" t="str">
        <f>IFERROR(GETPIVOTDATA("BUDGET STIMATO LUMP SUM",'Altre Tabelle di dettaglio'!$V$5,"Fornitore .",X79),"non-visibile")</f>
        <v>non-visibile</v>
      </c>
      <c r="AA79" s="279" t="str">
        <f>IF($Y79&lt;&gt;"non-visibile",'BUDGET STUDI -  IPOTESI 1'!$F75,"non-visibile")</f>
        <v>non-visibile</v>
      </c>
      <c r="AB79" s="279" t="str">
        <f>IF($Y79&lt;&gt;"non-visibile",'BUDGET STUDI -  IPOTESI 1'!$E75,"non-visibile")</f>
        <v>non-visibile</v>
      </c>
      <c r="AC79" s="207" t="str">
        <f>IFERROR(GETPIVOTDATA("Actual EURO ripartito",'Altre Tabelle di dettaglio'!$CH$5,"Fornitore .",X79),"non-visibile")</f>
        <v>non-visibile</v>
      </c>
      <c r="AD79" s="208" t="str">
        <f>IFERROR(GETPIVOTDATA("Actual LUMP ripartito",'Altre Tabelle di dettaglio'!$DC$5,"Fornitore .",X79),"non-visibile")</f>
        <v>non-visibile</v>
      </c>
      <c r="AE79" s="205" t="str">
        <f t="shared" si="11"/>
        <v/>
      </c>
      <c r="AG79" s="212" t="str">
        <f t="shared" si="12"/>
        <v/>
      </c>
      <c r="AH79" s="213"/>
      <c r="AI79" s="235" t="str">
        <f>IFERROR(GETPIVOTDATA("TOTALE ORE",'Altre Tabelle di dettaglio'!$AP$5,"Fornitore .",AH79),"non-visibile")</f>
        <v>non-visibile</v>
      </c>
      <c r="AJ79" s="235" t="str">
        <f>IF($AI79&lt;&gt;"non-visibile",'BUDGET STUDI -  IPOTESI 1'!$D75,"non-visibile")</f>
        <v>non-visibile</v>
      </c>
      <c r="AK79" s="235" t="str">
        <f>IF($Y79&lt;&gt;"non-visibile",'BUDGET STUDI -  IPOTESI 1'!$C75,"non-visibile")</f>
        <v>non-visibile</v>
      </c>
      <c r="AL79" s="211" t="str">
        <f>IFERROR(GETPIVOTDATA("Actual ORE ripartito",'Altre Tabelle di dettaglio'!$BK$5,"Fornitore .",AH79),"non-visibile")</f>
        <v>non-visibile</v>
      </c>
      <c r="AM79" s="212" t="str">
        <f t="shared" si="8"/>
        <v/>
      </c>
    </row>
    <row r="80" spans="6:39" x14ac:dyDescent="0.25">
      <c r="W80" s="205" t="str">
        <f t="shared" si="10"/>
        <v/>
      </c>
      <c r="X80" s="276"/>
      <c r="Y80" s="206" t="str">
        <f>IFERROR(GETPIVOTDATA("BUDGET STIMATO ORE",'Altre Tabelle di dettaglio'!$B$5,"Fornitore .",X80),"non-visibile")</f>
        <v>non-visibile</v>
      </c>
      <c r="Z80" s="206" t="str">
        <f>IFERROR(GETPIVOTDATA("BUDGET STIMATO LUMP SUM",'Altre Tabelle di dettaglio'!$V$5,"Fornitore .",X80),"non-visibile")</f>
        <v>non-visibile</v>
      </c>
      <c r="AA80" s="279" t="str">
        <f>IF($Y80&lt;&gt;"non-visibile",'BUDGET STUDI -  IPOTESI 1'!$F76,"non-visibile")</f>
        <v>non-visibile</v>
      </c>
      <c r="AB80" s="279" t="str">
        <f>IF($Y80&lt;&gt;"non-visibile",'BUDGET STUDI -  IPOTESI 1'!$E76,"non-visibile")</f>
        <v>non-visibile</v>
      </c>
      <c r="AC80" s="207" t="str">
        <f>IFERROR(GETPIVOTDATA("Actual EURO ripartito",'Altre Tabelle di dettaglio'!$CH$5,"Fornitore .",X80),"non-visibile")</f>
        <v>non-visibile</v>
      </c>
      <c r="AD80" s="208" t="str">
        <f>IFERROR(GETPIVOTDATA("Actual LUMP ripartito",'Altre Tabelle di dettaglio'!$DC$5,"Fornitore .",X80),"non-visibile")</f>
        <v>non-visibile</v>
      </c>
      <c r="AE80" s="205" t="str">
        <f t="shared" si="11"/>
        <v/>
      </c>
      <c r="AG80" s="212" t="str">
        <f t="shared" si="12"/>
        <v/>
      </c>
      <c r="AH80" s="213"/>
      <c r="AI80" s="235" t="str">
        <f>IFERROR(GETPIVOTDATA("TOTALE ORE",'Altre Tabelle di dettaglio'!$AP$5,"Fornitore .",AH80),"non-visibile")</f>
        <v>non-visibile</v>
      </c>
      <c r="AJ80" s="235" t="str">
        <f>IF($AI80&lt;&gt;"non-visibile",'BUDGET STUDI -  IPOTESI 1'!$D76,"non-visibile")</f>
        <v>non-visibile</v>
      </c>
      <c r="AK80" s="235" t="str">
        <f>IF($Y80&lt;&gt;"non-visibile",'BUDGET STUDI -  IPOTESI 1'!$C76,"non-visibile")</f>
        <v>non-visibile</v>
      </c>
      <c r="AL80" s="211" t="str">
        <f>IFERROR(GETPIVOTDATA("Actual ORE ripartito",'Altre Tabelle di dettaglio'!$BK$5,"Fornitore .",AH80),"non-visibile")</f>
        <v>non-visibile</v>
      </c>
      <c r="AM80" s="212" t="str">
        <f t="shared" si="8"/>
        <v/>
      </c>
    </row>
    <row r="81" spans="23:39" x14ac:dyDescent="0.25">
      <c r="W81" s="205" t="str">
        <f t="shared" si="10"/>
        <v/>
      </c>
      <c r="X81" s="276"/>
      <c r="Y81" s="206" t="str">
        <f>IFERROR(GETPIVOTDATA("BUDGET STIMATO ORE",'Altre Tabelle di dettaglio'!$B$5,"Fornitore .",X81),"non-visibile")</f>
        <v>non-visibile</v>
      </c>
      <c r="Z81" s="206" t="str">
        <f>IFERROR(GETPIVOTDATA("BUDGET STIMATO LUMP SUM",'Altre Tabelle di dettaglio'!$V$5,"Fornitore .",X81),"non-visibile")</f>
        <v>non-visibile</v>
      </c>
      <c r="AA81" s="279" t="str">
        <f>IF($Y81&lt;&gt;"non-visibile",'BUDGET STUDI -  IPOTESI 1'!$F77,"non-visibile")</f>
        <v>non-visibile</v>
      </c>
      <c r="AB81" s="279" t="str">
        <f>IF($Y81&lt;&gt;"non-visibile",'BUDGET STUDI -  IPOTESI 1'!$E77,"non-visibile")</f>
        <v>non-visibile</v>
      </c>
      <c r="AC81" s="207" t="str">
        <f>IFERROR(GETPIVOTDATA("Actual EURO ripartito",'Altre Tabelle di dettaglio'!$CH$5,"Fornitore .",X81),"non-visibile")</f>
        <v>non-visibile</v>
      </c>
      <c r="AD81" s="208" t="str">
        <f>IFERROR(GETPIVOTDATA("Actual LUMP ripartito",'Altre Tabelle di dettaglio'!$DC$5,"Fornitore .",X81),"non-visibile")</f>
        <v>non-visibile</v>
      </c>
      <c r="AE81" s="205" t="str">
        <f t="shared" si="11"/>
        <v/>
      </c>
      <c r="AG81" s="212" t="str">
        <f t="shared" si="12"/>
        <v/>
      </c>
      <c r="AH81" s="213"/>
      <c r="AI81" s="235" t="str">
        <f>IFERROR(GETPIVOTDATA("TOTALE ORE",'Altre Tabelle di dettaglio'!$AP$5,"Fornitore .",AH81),"non-visibile")</f>
        <v>non-visibile</v>
      </c>
      <c r="AJ81" s="235" t="str">
        <f>IF($AI81&lt;&gt;"non-visibile",'BUDGET STUDI -  IPOTESI 1'!$D77,"non-visibile")</f>
        <v>non-visibile</v>
      </c>
      <c r="AK81" s="235" t="str">
        <f>IF($Y81&lt;&gt;"non-visibile",'BUDGET STUDI -  IPOTESI 1'!$C77,"non-visibile")</f>
        <v>non-visibile</v>
      </c>
      <c r="AL81" s="211" t="str">
        <f>IFERROR(GETPIVOTDATA("Actual ORE ripartito",'Altre Tabelle di dettaglio'!$BK$5,"Fornitore .",AH81),"non-visibile")</f>
        <v>non-visibile</v>
      </c>
      <c r="AM81" s="212" t="str">
        <f t="shared" si="8"/>
        <v/>
      </c>
    </row>
    <row r="82" spans="23:39" x14ac:dyDescent="0.25">
      <c r="W82" s="205" t="str">
        <f t="shared" si="10"/>
        <v/>
      </c>
      <c r="X82" s="276"/>
      <c r="Y82" s="206" t="str">
        <f>IFERROR(GETPIVOTDATA("BUDGET STIMATO ORE",'Altre Tabelle di dettaglio'!$B$5,"Fornitore .",X82),"non-visibile")</f>
        <v>non-visibile</v>
      </c>
      <c r="Z82" s="206" t="str">
        <f>IFERROR(GETPIVOTDATA("BUDGET STIMATO LUMP SUM",'Altre Tabelle di dettaglio'!$V$5,"Fornitore .",X82),"non-visibile")</f>
        <v>non-visibile</v>
      </c>
      <c r="AA82" s="279" t="str">
        <f>IF($Y82&lt;&gt;"non-visibile",'BUDGET STUDI -  IPOTESI 1'!$F78,"non-visibile")</f>
        <v>non-visibile</v>
      </c>
      <c r="AB82" s="279" t="str">
        <f>IF($Y82&lt;&gt;"non-visibile",'BUDGET STUDI -  IPOTESI 1'!$E78,"non-visibile")</f>
        <v>non-visibile</v>
      </c>
      <c r="AC82" s="207" t="str">
        <f>IFERROR(GETPIVOTDATA("Actual EURO ripartito",'Altre Tabelle di dettaglio'!$CH$5,"Fornitore .",X82),"non-visibile")</f>
        <v>non-visibile</v>
      </c>
      <c r="AD82" s="208" t="str">
        <f>IFERROR(GETPIVOTDATA("Actual LUMP ripartito",'Altre Tabelle di dettaglio'!$DC$5,"Fornitore .",X82),"non-visibile")</f>
        <v>non-visibile</v>
      </c>
      <c r="AE82" s="205" t="str">
        <f t="shared" si="11"/>
        <v/>
      </c>
      <c r="AG82" s="212" t="str">
        <f t="shared" si="12"/>
        <v/>
      </c>
      <c r="AH82" s="213"/>
      <c r="AI82" s="235" t="str">
        <f>IFERROR(GETPIVOTDATA("TOTALE ORE",'Altre Tabelle di dettaglio'!$AP$5,"Fornitore .",AH82),"non-visibile")</f>
        <v>non-visibile</v>
      </c>
      <c r="AJ82" s="235" t="str">
        <f>IF($AI82&lt;&gt;"non-visibile",'BUDGET STUDI -  IPOTESI 1'!$D78,"non-visibile")</f>
        <v>non-visibile</v>
      </c>
      <c r="AK82" s="235" t="str">
        <f>IF($Y82&lt;&gt;"non-visibile",'BUDGET STUDI -  IPOTESI 1'!$C78,"non-visibile")</f>
        <v>non-visibile</v>
      </c>
      <c r="AL82" s="211" t="str">
        <f>IFERROR(GETPIVOTDATA("Actual ORE ripartito",'Altre Tabelle di dettaglio'!$BK$5,"Fornitore .",AH82),"non-visibile")</f>
        <v>non-visibile</v>
      </c>
      <c r="AM82" s="212" t="str">
        <f t="shared" si="8"/>
        <v/>
      </c>
    </row>
    <row r="83" spans="23:39" x14ac:dyDescent="0.25">
      <c r="W83" s="205" t="str">
        <f t="shared" si="10"/>
        <v/>
      </c>
      <c r="X83" s="276"/>
      <c r="Y83" s="206" t="str">
        <f>IFERROR(GETPIVOTDATA("BUDGET STIMATO ORE",'Altre Tabelle di dettaglio'!$B$5,"Fornitore .",X83),"non-visibile")</f>
        <v>non-visibile</v>
      </c>
      <c r="Z83" s="206" t="str">
        <f>IFERROR(GETPIVOTDATA("BUDGET STIMATO LUMP SUM",'Altre Tabelle di dettaglio'!$V$5,"Fornitore .",X83),"non-visibile")</f>
        <v>non-visibile</v>
      </c>
      <c r="AA83" s="279" t="str">
        <f>IF($Y83&lt;&gt;"non-visibile",'BUDGET STUDI -  IPOTESI 1'!$F79,"non-visibile")</f>
        <v>non-visibile</v>
      </c>
      <c r="AB83" s="279" t="str">
        <f>IF($Y83&lt;&gt;"non-visibile",'BUDGET STUDI -  IPOTESI 1'!$E79,"non-visibile")</f>
        <v>non-visibile</v>
      </c>
      <c r="AC83" s="207" t="str">
        <f>IFERROR(GETPIVOTDATA("Actual EURO ripartito",'Altre Tabelle di dettaglio'!$CH$5,"Fornitore .",X83),"non-visibile")</f>
        <v>non-visibile</v>
      </c>
      <c r="AD83" s="208" t="str">
        <f>IFERROR(GETPIVOTDATA("Actual LUMP ripartito",'Altre Tabelle di dettaglio'!$DC$5,"Fornitore .",X83),"non-visibile")</f>
        <v>non-visibile</v>
      </c>
      <c r="AE83" s="205" t="str">
        <f t="shared" si="11"/>
        <v/>
      </c>
      <c r="AG83" s="212" t="str">
        <f t="shared" si="12"/>
        <v/>
      </c>
      <c r="AH83" s="213"/>
      <c r="AI83" s="235" t="str">
        <f>IFERROR(GETPIVOTDATA("TOTALE ORE",'Altre Tabelle di dettaglio'!$AP$5,"Fornitore .",AH83),"non-visibile")</f>
        <v>non-visibile</v>
      </c>
      <c r="AJ83" s="235" t="str">
        <f>IF($AI83&lt;&gt;"non-visibile",'BUDGET STUDI -  IPOTESI 1'!$D79,"non-visibile")</f>
        <v>non-visibile</v>
      </c>
      <c r="AK83" s="235" t="str">
        <f>IF($Y83&lt;&gt;"non-visibile",'BUDGET STUDI -  IPOTESI 1'!$C79,"non-visibile")</f>
        <v>non-visibile</v>
      </c>
      <c r="AL83" s="211" t="str">
        <f>IFERROR(GETPIVOTDATA("Actual ORE ripartito",'Altre Tabelle di dettaglio'!$BK$5,"Fornitore .",AH83),"non-visibile")</f>
        <v>non-visibile</v>
      </c>
      <c r="AM83" s="212" t="str">
        <f t="shared" si="8"/>
        <v/>
      </c>
    </row>
    <row r="84" spans="23:39" x14ac:dyDescent="0.25">
      <c r="W84" s="205" t="str">
        <f t="shared" si="10"/>
        <v/>
      </c>
      <c r="X84" s="276"/>
      <c r="Y84" s="206" t="str">
        <f>IFERROR(GETPIVOTDATA("BUDGET STIMATO ORE",'Altre Tabelle di dettaglio'!$B$5,"Fornitore .",X84),"non-visibile")</f>
        <v>non-visibile</v>
      </c>
      <c r="Z84" s="206" t="str">
        <f>IFERROR(GETPIVOTDATA("BUDGET STIMATO LUMP SUM",'Altre Tabelle di dettaglio'!$V$5,"Fornitore .",X84),"non-visibile")</f>
        <v>non-visibile</v>
      </c>
      <c r="AA84" s="279" t="str">
        <f>IF($Y84&lt;&gt;"non-visibile",'BUDGET STUDI -  IPOTESI 1'!$F80,"non-visibile")</f>
        <v>non-visibile</v>
      </c>
      <c r="AB84" s="279" t="str">
        <f>IF($Y84&lt;&gt;"non-visibile",'BUDGET STUDI -  IPOTESI 1'!$E80,"non-visibile")</f>
        <v>non-visibile</v>
      </c>
      <c r="AC84" s="207" t="str">
        <f>IFERROR(GETPIVOTDATA("Actual EURO ripartito",'Altre Tabelle di dettaglio'!$CH$5,"Fornitore .",X84),"non-visibile")</f>
        <v>non-visibile</v>
      </c>
      <c r="AD84" s="208" t="str">
        <f>IFERROR(GETPIVOTDATA("Actual LUMP ripartito",'Altre Tabelle di dettaglio'!$DC$5,"Fornitore .",X84),"non-visibile")</f>
        <v>non-visibile</v>
      </c>
      <c r="AE84" s="205" t="str">
        <f t="shared" si="11"/>
        <v/>
      </c>
      <c r="AG84" s="212" t="str">
        <f t="shared" si="12"/>
        <v/>
      </c>
      <c r="AH84" s="213"/>
      <c r="AI84" s="235" t="str">
        <f>IFERROR(GETPIVOTDATA("TOTALE ORE",'Altre Tabelle di dettaglio'!$AP$5,"Fornitore .",AH84),"non-visibile")</f>
        <v>non-visibile</v>
      </c>
      <c r="AJ84" s="235" t="str">
        <f>IF($AI84&lt;&gt;"non-visibile",'BUDGET STUDI -  IPOTESI 1'!$D80,"non-visibile")</f>
        <v>non-visibile</v>
      </c>
      <c r="AK84" s="235" t="str">
        <f>IF($Y84&lt;&gt;"non-visibile",'BUDGET STUDI -  IPOTESI 1'!$C80,"non-visibile")</f>
        <v>non-visibile</v>
      </c>
      <c r="AL84" s="211" t="str">
        <f>IFERROR(GETPIVOTDATA("Actual ORE ripartito",'Altre Tabelle di dettaglio'!$BK$5,"Fornitore .",AH84),"non-visibile")</f>
        <v>non-visibile</v>
      </c>
      <c r="AM84" s="212" t="str">
        <f t="shared" si="8"/>
        <v/>
      </c>
    </row>
    <row r="85" spans="23:39" x14ac:dyDescent="0.25">
      <c r="W85" s="205" t="str">
        <f t="shared" si="10"/>
        <v/>
      </c>
      <c r="X85" s="276"/>
      <c r="Y85" s="206" t="str">
        <f>IFERROR(GETPIVOTDATA("BUDGET STIMATO ORE",'Altre Tabelle di dettaglio'!$B$5,"Fornitore .",X85),"non-visibile")</f>
        <v>non-visibile</v>
      </c>
      <c r="Z85" s="206" t="str">
        <f>IFERROR(GETPIVOTDATA("BUDGET STIMATO LUMP SUM",'Altre Tabelle di dettaglio'!$V$5,"Fornitore .",X85),"non-visibile")</f>
        <v>non-visibile</v>
      </c>
      <c r="AA85" s="279" t="str">
        <f>IF($Y85&lt;&gt;"non-visibile",'BUDGET STUDI -  IPOTESI 1'!$F81,"non-visibile")</f>
        <v>non-visibile</v>
      </c>
      <c r="AB85" s="279" t="str">
        <f>IF($Y85&lt;&gt;"non-visibile",'BUDGET STUDI -  IPOTESI 1'!$E81,"non-visibile")</f>
        <v>non-visibile</v>
      </c>
      <c r="AC85" s="207" t="str">
        <f>IFERROR(GETPIVOTDATA("Actual EURO ripartito",'Altre Tabelle di dettaglio'!$CH$5,"Fornitore .",X85),"non-visibile")</f>
        <v>non-visibile</v>
      </c>
      <c r="AD85" s="208" t="str">
        <f>IFERROR(GETPIVOTDATA("Actual LUMP ripartito",'Altre Tabelle di dettaglio'!$DC$5,"Fornitore .",X85),"non-visibile")</f>
        <v>non-visibile</v>
      </c>
      <c r="AE85" s="205" t="str">
        <f t="shared" si="11"/>
        <v/>
      </c>
      <c r="AG85" s="212" t="str">
        <f t="shared" si="12"/>
        <v/>
      </c>
      <c r="AH85" s="213"/>
      <c r="AI85" s="235" t="str">
        <f>IFERROR(GETPIVOTDATA("TOTALE ORE",'Altre Tabelle di dettaglio'!$AP$5,"Fornitore .",AH85),"non-visibile")</f>
        <v>non-visibile</v>
      </c>
      <c r="AJ85" s="235" t="str">
        <f>IF($AI85&lt;&gt;"non-visibile",'BUDGET STUDI -  IPOTESI 1'!$D81,"non-visibile")</f>
        <v>non-visibile</v>
      </c>
      <c r="AK85" s="235" t="str">
        <f>IF($Y85&lt;&gt;"non-visibile",'BUDGET STUDI -  IPOTESI 1'!$C81,"non-visibile")</f>
        <v>non-visibile</v>
      </c>
      <c r="AL85" s="211" t="str">
        <f>IFERROR(GETPIVOTDATA("Actual ORE ripartito",'Altre Tabelle di dettaglio'!$BK$5,"Fornitore .",AH85),"non-visibile")</f>
        <v>non-visibile</v>
      </c>
      <c r="AM85" s="212" t="str">
        <f t="shared" si="8"/>
        <v/>
      </c>
    </row>
    <row r="86" spans="23:39" x14ac:dyDescent="0.25">
      <c r="W86" s="205" t="str">
        <f t="shared" si="10"/>
        <v/>
      </c>
      <c r="X86" s="276"/>
      <c r="Y86" s="206" t="str">
        <f>IFERROR(GETPIVOTDATA("BUDGET STIMATO ORE",'Altre Tabelle di dettaglio'!$B$5,"Fornitore .",X86),"non-visibile")</f>
        <v>non-visibile</v>
      </c>
      <c r="Z86" s="206" t="str">
        <f>IFERROR(GETPIVOTDATA("BUDGET STIMATO LUMP SUM",'Altre Tabelle di dettaglio'!$V$5,"Fornitore .",X86),"non-visibile")</f>
        <v>non-visibile</v>
      </c>
      <c r="AA86" s="279" t="str">
        <f>IF($Y86&lt;&gt;"non-visibile",'BUDGET STUDI -  IPOTESI 1'!$F82,"non-visibile")</f>
        <v>non-visibile</v>
      </c>
      <c r="AB86" s="279" t="str">
        <f>IF($Y86&lt;&gt;"non-visibile",'BUDGET STUDI -  IPOTESI 1'!$E82,"non-visibile")</f>
        <v>non-visibile</v>
      </c>
      <c r="AC86" s="207" t="str">
        <f>IFERROR(GETPIVOTDATA("Actual EURO ripartito",'Altre Tabelle di dettaglio'!$CH$5,"Fornitore .",X86),"non-visibile")</f>
        <v>non-visibile</v>
      </c>
      <c r="AD86" s="208" t="str">
        <f>IFERROR(GETPIVOTDATA("Actual LUMP ripartito",'Altre Tabelle di dettaglio'!$DC$5,"Fornitore .",X86),"non-visibile")</f>
        <v>non-visibile</v>
      </c>
      <c r="AE86" s="205" t="str">
        <f t="shared" si="11"/>
        <v/>
      </c>
      <c r="AG86" s="212" t="str">
        <f t="shared" si="12"/>
        <v/>
      </c>
      <c r="AH86" s="213"/>
      <c r="AI86" s="235" t="str">
        <f>IFERROR(GETPIVOTDATA("TOTALE ORE",'Altre Tabelle di dettaglio'!$AP$5,"Fornitore .",AH86),"non-visibile")</f>
        <v>non-visibile</v>
      </c>
      <c r="AJ86" s="235" t="str">
        <f>IF($AI86&lt;&gt;"non-visibile",'BUDGET STUDI -  IPOTESI 1'!$D82,"non-visibile")</f>
        <v>non-visibile</v>
      </c>
      <c r="AK86" s="235" t="str">
        <f>IF($Y86&lt;&gt;"non-visibile",'BUDGET STUDI -  IPOTESI 1'!$C82,"non-visibile")</f>
        <v>non-visibile</v>
      </c>
      <c r="AL86" s="211" t="str">
        <f>IFERROR(GETPIVOTDATA("Actual ORE ripartito",'Altre Tabelle di dettaglio'!$BK$5,"Fornitore .",AH86),"non-visibile")</f>
        <v>non-visibile</v>
      </c>
      <c r="AM86" s="212" t="str">
        <f t="shared" ref="AM86:AM91" si="13">AG86</f>
        <v/>
      </c>
    </row>
    <row r="87" spans="23:39" x14ac:dyDescent="0.25">
      <c r="W87" s="205" t="str">
        <f t="shared" si="10"/>
        <v/>
      </c>
      <c r="X87" s="276"/>
      <c r="Y87" s="206" t="str">
        <f>IFERROR(GETPIVOTDATA("BUDGET STIMATO ORE",'Altre Tabelle di dettaglio'!$B$5,"Fornitore .",X87),"non-visibile")</f>
        <v>non-visibile</v>
      </c>
      <c r="Z87" s="206" t="str">
        <f>IFERROR(GETPIVOTDATA("BUDGET STIMATO LUMP SUM",'Altre Tabelle di dettaglio'!$V$5,"Fornitore .",X87),"non-visibile")</f>
        <v>non-visibile</v>
      </c>
      <c r="AA87" s="279" t="str">
        <f>IF($Y87&lt;&gt;"non-visibile",'BUDGET STUDI -  IPOTESI 1'!$F83,"non-visibile")</f>
        <v>non-visibile</v>
      </c>
      <c r="AB87" s="279" t="str">
        <f>IF($Y87&lt;&gt;"non-visibile",'BUDGET STUDI -  IPOTESI 1'!$E83,"non-visibile")</f>
        <v>non-visibile</v>
      </c>
      <c r="AC87" s="207" t="str">
        <f>IFERROR(GETPIVOTDATA("Actual EURO ripartito",'Altre Tabelle di dettaglio'!$CH$5,"Fornitore .",X87),"non-visibile")</f>
        <v>non-visibile</v>
      </c>
      <c r="AD87" s="208" t="str">
        <f>IFERROR(GETPIVOTDATA("Actual LUMP ripartito",'Altre Tabelle di dettaglio'!$DC$5,"Fornitore .",X87),"non-visibile")</f>
        <v>non-visibile</v>
      </c>
      <c r="AE87" s="205" t="str">
        <f t="shared" si="11"/>
        <v/>
      </c>
      <c r="AG87" s="212" t="str">
        <f t="shared" si="12"/>
        <v/>
      </c>
      <c r="AH87" s="213"/>
      <c r="AI87" s="235" t="str">
        <f>IFERROR(GETPIVOTDATA("TOTALE ORE",'Altre Tabelle di dettaglio'!$AP$5,"Fornitore .",AH87),"non-visibile")</f>
        <v>non-visibile</v>
      </c>
      <c r="AJ87" s="235" t="str">
        <f>IF($AI87&lt;&gt;"non-visibile",'BUDGET STUDI -  IPOTESI 1'!$D83,"non-visibile")</f>
        <v>non-visibile</v>
      </c>
      <c r="AK87" s="235" t="str">
        <f>IF($Y87&lt;&gt;"non-visibile",'BUDGET STUDI -  IPOTESI 1'!$C83,"non-visibile")</f>
        <v>non-visibile</v>
      </c>
      <c r="AL87" s="211" t="str">
        <f>IFERROR(GETPIVOTDATA("Actual ORE ripartito",'Altre Tabelle di dettaglio'!$BK$5,"Fornitore .",AH87),"non-visibile")</f>
        <v>non-visibile</v>
      </c>
      <c r="AM87" s="212" t="str">
        <f t="shared" si="13"/>
        <v/>
      </c>
    </row>
    <row r="88" spans="23:39" x14ac:dyDescent="0.25">
      <c r="W88" s="205" t="str">
        <f t="shared" si="10"/>
        <v/>
      </c>
      <c r="X88" s="276"/>
      <c r="Y88" s="206" t="str">
        <f>IFERROR(GETPIVOTDATA("BUDGET STIMATO ORE",'Altre Tabelle di dettaglio'!$B$5,"Fornitore .",X88),"non-visibile")</f>
        <v>non-visibile</v>
      </c>
      <c r="Z88" s="206" t="str">
        <f>IFERROR(GETPIVOTDATA("BUDGET STIMATO LUMP SUM",'Altre Tabelle di dettaglio'!$V$5,"Fornitore .",X88),"non-visibile")</f>
        <v>non-visibile</v>
      </c>
      <c r="AA88" s="279" t="str">
        <f>IF($Y88&lt;&gt;"non-visibile",'BUDGET STUDI -  IPOTESI 1'!$F84,"non-visibile")</f>
        <v>non-visibile</v>
      </c>
      <c r="AB88" s="279" t="str">
        <f>IF($Y88&lt;&gt;"non-visibile",'BUDGET STUDI -  IPOTESI 1'!$E84,"non-visibile")</f>
        <v>non-visibile</v>
      </c>
      <c r="AC88" s="207" t="str">
        <f>IFERROR(GETPIVOTDATA("Actual EURO ripartito",'Altre Tabelle di dettaglio'!$CH$5,"Fornitore .",X88),"non-visibile")</f>
        <v>non-visibile</v>
      </c>
      <c r="AD88" s="208" t="str">
        <f>IFERROR(GETPIVOTDATA("Actual LUMP ripartito",'Altre Tabelle di dettaglio'!$DC$5,"Fornitore .",X88),"non-visibile")</f>
        <v>non-visibile</v>
      </c>
      <c r="AE88" s="205" t="str">
        <f t="shared" si="11"/>
        <v/>
      </c>
      <c r="AG88" s="212" t="str">
        <f t="shared" si="12"/>
        <v/>
      </c>
      <c r="AH88" s="213"/>
      <c r="AI88" s="235" t="str">
        <f>IFERROR(GETPIVOTDATA("TOTALE ORE",'Altre Tabelle di dettaglio'!$AP$5,"Fornitore .",AH88),"non-visibile")</f>
        <v>non-visibile</v>
      </c>
      <c r="AJ88" s="235" t="str">
        <f>IF($AI88&lt;&gt;"non-visibile",'BUDGET STUDI -  IPOTESI 1'!$D84,"non-visibile")</f>
        <v>non-visibile</v>
      </c>
      <c r="AK88" s="235" t="str">
        <f>IF($Y88&lt;&gt;"non-visibile",'BUDGET STUDI -  IPOTESI 1'!$C84,"non-visibile")</f>
        <v>non-visibile</v>
      </c>
      <c r="AL88" s="211" t="str">
        <f>IFERROR(GETPIVOTDATA("Actual ORE ripartito",'Altre Tabelle di dettaglio'!$BK$5,"Fornitore .",AH88),"non-visibile")</f>
        <v>non-visibile</v>
      </c>
      <c r="AM88" s="212" t="str">
        <f t="shared" si="13"/>
        <v/>
      </c>
    </row>
    <row r="89" spans="23:39" x14ac:dyDescent="0.25">
      <c r="W89" s="205" t="str">
        <f t="shared" si="10"/>
        <v/>
      </c>
      <c r="X89" s="276"/>
      <c r="Y89" s="206" t="str">
        <f>IFERROR(GETPIVOTDATA("BUDGET STIMATO ORE",'Altre Tabelle di dettaglio'!$B$5,"Fornitore .",X89),"non-visibile")</f>
        <v>non-visibile</v>
      </c>
      <c r="Z89" s="206" t="str">
        <f>IFERROR(GETPIVOTDATA("BUDGET STIMATO LUMP SUM",'Altre Tabelle di dettaglio'!$V$5,"Fornitore .",X89),"non-visibile")</f>
        <v>non-visibile</v>
      </c>
      <c r="AA89" s="279" t="str">
        <f>IF($Y89&lt;&gt;"non-visibile",'BUDGET STUDI -  IPOTESI 1'!$F85,"non-visibile")</f>
        <v>non-visibile</v>
      </c>
      <c r="AB89" s="279" t="str">
        <f>IF($Y89&lt;&gt;"non-visibile",'BUDGET STUDI -  IPOTESI 1'!$E85,"non-visibile")</f>
        <v>non-visibile</v>
      </c>
      <c r="AC89" s="207" t="str">
        <f>IFERROR(GETPIVOTDATA("Actual EURO ripartito",'Altre Tabelle di dettaglio'!$CH$5,"Fornitore .",X89),"non-visibile")</f>
        <v>non-visibile</v>
      </c>
      <c r="AD89" s="208" t="str">
        <f>IFERROR(GETPIVOTDATA("Actual LUMP ripartito",'Altre Tabelle di dettaglio'!$DC$5,"Fornitore .",X89),"non-visibile")</f>
        <v>non-visibile</v>
      </c>
      <c r="AE89" s="205" t="str">
        <f t="shared" si="11"/>
        <v/>
      </c>
      <c r="AG89" s="212" t="str">
        <f t="shared" si="12"/>
        <v/>
      </c>
      <c r="AH89" s="213"/>
      <c r="AI89" s="235" t="str">
        <f>IFERROR(GETPIVOTDATA("TOTALE ORE",'Altre Tabelle di dettaglio'!$AP$5,"Fornitore .",AH89),"non-visibile")</f>
        <v>non-visibile</v>
      </c>
      <c r="AJ89" s="235" t="str">
        <f>IF($AI89&lt;&gt;"non-visibile",'BUDGET STUDI -  IPOTESI 1'!$D85,"non-visibile")</f>
        <v>non-visibile</v>
      </c>
      <c r="AK89" s="235" t="str">
        <f>IF($Y89&lt;&gt;"non-visibile",'BUDGET STUDI -  IPOTESI 1'!$C85,"non-visibile")</f>
        <v>non-visibile</v>
      </c>
      <c r="AL89" s="211" t="str">
        <f>IFERROR(GETPIVOTDATA("Actual ORE ripartito",'Altre Tabelle di dettaglio'!$BK$5,"Fornitore .",AH89),"non-visibile")</f>
        <v>non-visibile</v>
      </c>
      <c r="AM89" s="212" t="str">
        <f t="shared" si="13"/>
        <v/>
      </c>
    </row>
    <row r="90" spans="23:39" x14ac:dyDescent="0.25">
      <c r="W90" s="205" t="str">
        <f t="shared" si="10"/>
        <v/>
      </c>
      <c r="X90" s="276"/>
      <c r="Y90" s="206" t="str">
        <f>IFERROR(GETPIVOTDATA("BUDGET STIMATO ORE",'Altre Tabelle di dettaglio'!$B$5,"Fornitore .",X90),"non-visibile")</f>
        <v>non-visibile</v>
      </c>
      <c r="Z90" s="206" t="str">
        <f>IFERROR(GETPIVOTDATA("BUDGET STIMATO LUMP SUM",'Altre Tabelle di dettaglio'!$V$5,"Fornitore .",X90),"non-visibile")</f>
        <v>non-visibile</v>
      </c>
      <c r="AA90" s="279" t="str">
        <f>IF($Y90&lt;&gt;"non-visibile",'BUDGET STUDI -  IPOTESI 1'!$F86,"non-visibile")</f>
        <v>non-visibile</v>
      </c>
      <c r="AB90" s="279" t="str">
        <f>IF($Y90&lt;&gt;"non-visibile",'BUDGET STUDI -  IPOTESI 1'!$E86,"non-visibile")</f>
        <v>non-visibile</v>
      </c>
      <c r="AC90" s="207" t="str">
        <f>IFERROR(GETPIVOTDATA("Actual EURO ripartito",'Altre Tabelle di dettaglio'!$CH$5,"Fornitore .",X90),"non-visibile")</f>
        <v>non-visibile</v>
      </c>
      <c r="AD90" s="208" t="str">
        <f>IFERROR(GETPIVOTDATA("Actual LUMP ripartito",'Altre Tabelle di dettaglio'!$DC$5,"Fornitore .",X90),"non-visibile")</f>
        <v>non-visibile</v>
      </c>
      <c r="AE90" s="205" t="str">
        <f t="shared" si="11"/>
        <v/>
      </c>
      <c r="AG90" s="212" t="str">
        <f t="shared" si="12"/>
        <v/>
      </c>
      <c r="AH90" s="213"/>
      <c r="AI90" s="235" t="str">
        <f>IFERROR(GETPIVOTDATA("TOTALE ORE",'Altre Tabelle di dettaglio'!$AP$5,"Fornitore .",AH90),"non-visibile")</f>
        <v>non-visibile</v>
      </c>
      <c r="AJ90" s="235" t="str">
        <f>IF($AI90&lt;&gt;"non-visibile",'BUDGET STUDI -  IPOTESI 1'!$D86,"non-visibile")</f>
        <v>non-visibile</v>
      </c>
      <c r="AK90" s="235" t="str">
        <f>IF($Y90&lt;&gt;"non-visibile",'BUDGET STUDI -  IPOTESI 1'!$C86,"non-visibile")</f>
        <v>non-visibile</v>
      </c>
      <c r="AL90" s="211" t="str">
        <f>IFERROR(GETPIVOTDATA("Actual ORE ripartito",'Altre Tabelle di dettaglio'!$BK$5,"Fornitore .",AH90),"non-visibile")</f>
        <v>non-visibile</v>
      </c>
      <c r="AM90" s="212" t="str">
        <f t="shared" si="13"/>
        <v/>
      </c>
    </row>
    <row r="91" spans="23:39" x14ac:dyDescent="0.25">
      <c r="W91" s="205" t="str">
        <f t="shared" si="10"/>
        <v/>
      </c>
      <c r="X91" s="276"/>
      <c r="Y91" s="206" t="str">
        <f>IFERROR(GETPIVOTDATA("BUDGET STIMATO ORE",'Altre Tabelle di dettaglio'!$B$5,"Fornitore .",X91),"non-visibile")</f>
        <v>non-visibile</v>
      </c>
      <c r="Z91" s="206" t="str">
        <f>IFERROR(GETPIVOTDATA("BUDGET STIMATO LUMP SUM",'Altre Tabelle di dettaglio'!$V$5,"Fornitore .",X91),"non-visibile")</f>
        <v>non-visibile</v>
      </c>
      <c r="AA91" s="279" t="str">
        <f>IF($Y91&lt;&gt;"non-visibile",'BUDGET STUDI -  IPOTESI 1'!$F87,"non-visibile")</f>
        <v>non-visibile</v>
      </c>
      <c r="AB91" s="279" t="str">
        <f>IF($Y91&lt;&gt;"non-visibile",'BUDGET STUDI -  IPOTESI 1'!$E87,"non-visibile")</f>
        <v>non-visibile</v>
      </c>
      <c r="AC91" s="207" t="str">
        <f>IFERROR(GETPIVOTDATA("Actual EURO ripartito",'Altre Tabelle di dettaglio'!$CH$5,"Fornitore .",X91),"non-visibile")</f>
        <v>non-visibile</v>
      </c>
      <c r="AD91" s="208" t="str">
        <f>IFERROR(GETPIVOTDATA("Actual LUMP ripartito",'Altre Tabelle di dettaglio'!$DC$5,"Fornitore .",X91),"non-visibile")</f>
        <v>non-visibile</v>
      </c>
      <c r="AE91" s="205" t="str">
        <f t="shared" si="11"/>
        <v/>
      </c>
      <c r="AG91" s="212" t="str">
        <f t="shared" si="12"/>
        <v/>
      </c>
      <c r="AH91" s="213"/>
      <c r="AI91" s="235" t="str">
        <f>IFERROR(GETPIVOTDATA("TOTALE ORE",'Altre Tabelle di dettaglio'!$AP$5,"Fornitore .",AH91),"non-visibile")</f>
        <v>non-visibile</v>
      </c>
      <c r="AJ91" s="235" t="str">
        <f>IF($AI91&lt;&gt;"non-visibile",'BUDGET STUDI -  IPOTESI 1'!$D87,"non-visibile")</f>
        <v>non-visibile</v>
      </c>
      <c r="AK91" s="235" t="str">
        <f>IF($Y91&lt;&gt;"non-visibile",'BUDGET STUDI -  IPOTESI 1'!$C87,"non-visibile")</f>
        <v>non-visibile</v>
      </c>
      <c r="AL91" s="211" t="str">
        <f>IFERROR(GETPIVOTDATA("Actual ORE ripartito",'Altre Tabelle di dettaglio'!$BK$5,"Fornitore .",AH91),"non-visibile")</f>
        <v>non-visibile</v>
      </c>
      <c r="AM91" s="212" t="str">
        <f t="shared" si="13"/>
        <v/>
      </c>
    </row>
    <row r="92" spans="23:39" ht="18.75" x14ac:dyDescent="0.25">
      <c r="X92" s="259"/>
      <c r="Y92" s="260">
        <f>SUM(Y8:Y91)</f>
        <v>23080</v>
      </c>
      <c r="Z92" s="260">
        <f t="shared" ref="Z92:AD92" si="14">SUM(Z8:Z91)</f>
        <v>193860</v>
      </c>
      <c r="AA92" s="260">
        <f t="shared" si="14"/>
        <v>0</v>
      </c>
      <c r="AB92" s="260">
        <f t="shared" si="14"/>
        <v>0</v>
      </c>
      <c r="AC92" s="260">
        <f t="shared" si="14"/>
        <v>1120</v>
      </c>
      <c r="AD92" s="260">
        <f t="shared" si="14"/>
        <v>17</v>
      </c>
      <c r="AH92" s="259"/>
      <c r="AI92" s="261">
        <f>SUM(AI8:AI91)</f>
        <v>14140</v>
      </c>
      <c r="AJ92" s="261">
        <f>SUM(AJ8:AJ21)</f>
        <v>0</v>
      </c>
      <c r="AK92" s="261">
        <f>SUM(AK8:AK21)</f>
        <v>0</v>
      </c>
      <c r="AL92" s="515">
        <f>SUM(AL8:AL91)</f>
        <v>492.05714285714288</v>
      </c>
    </row>
    <row r="93" spans="23:39" ht="21" x14ac:dyDescent="0.3">
      <c r="Y93" s="661" t="s">
        <v>187</v>
      </c>
      <c r="Z93" s="662"/>
      <c r="AA93" s="262"/>
      <c r="AB93" s="272" t="s">
        <v>158</v>
      </c>
      <c r="AC93" s="663" t="s">
        <v>188</v>
      </c>
      <c r="AD93" s="664"/>
      <c r="AI93" s="273" t="s">
        <v>189</v>
      </c>
      <c r="AJ93" s="87"/>
      <c r="AK93" s="273" t="s">
        <v>160</v>
      </c>
      <c r="AL93" s="196" t="s">
        <v>161</v>
      </c>
    </row>
    <row r="94" spans="23:39" ht="26.25" x14ac:dyDescent="0.25">
      <c r="Y94" s="263">
        <f t="shared" ref="Y94:AD94" si="15">Y92</f>
        <v>23080</v>
      </c>
      <c r="Z94" s="263">
        <f t="shared" si="15"/>
        <v>193860</v>
      </c>
      <c r="AA94" s="264">
        <f t="shared" si="15"/>
        <v>0</v>
      </c>
      <c r="AB94" s="264">
        <f t="shared" si="15"/>
        <v>0</v>
      </c>
      <c r="AC94" s="264">
        <f t="shared" si="15"/>
        <v>1120</v>
      </c>
      <c r="AD94" s="264">
        <f t="shared" si="15"/>
        <v>17</v>
      </c>
      <c r="AI94" s="265">
        <f>AI92</f>
        <v>14140</v>
      </c>
      <c r="AJ94" s="266">
        <f t="shared" ref="AJ94:AL94" si="16">AJ92</f>
        <v>0</v>
      </c>
      <c r="AK94" s="266">
        <f t="shared" si="16"/>
        <v>0</v>
      </c>
      <c r="AL94" s="266">
        <f t="shared" si="16"/>
        <v>492.05714285714288</v>
      </c>
    </row>
    <row r="96" spans="23:39" x14ac:dyDescent="0.25">
      <c r="Y96" s="267"/>
      <c r="Z96" s="268"/>
      <c r="AA96" s="269"/>
      <c r="AB96" s="269"/>
      <c r="AC96" s="270"/>
    </row>
    <row r="97" spans="25:29" x14ac:dyDescent="0.25">
      <c r="Y97" s="259"/>
      <c r="Z97" s="271"/>
      <c r="AA97" s="271"/>
      <c r="AB97" s="271"/>
      <c r="AC97" s="271"/>
    </row>
  </sheetData>
  <mergeCells count="25">
    <mergeCell ref="Y93:Z93"/>
    <mergeCell ref="AC93:AD93"/>
    <mergeCell ref="T24:U24"/>
    <mergeCell ref="G24:I24"/>
    <mergeCell ref="J24:L24"/>
    <mergeCell ref="M24:O24"/>
    <mergeCell ref="P24:Q24"/>
    <mergeCell ref="R24:S24"/>
    <mergeCell ref="G9:I9"/>
    <mergeCell ref="J9:L9"/>
    <mergeCell ref="M9:O9"/>
    <mergeCell ref="P9:P10"/>
    <mergeCell ref="Q9:Q10"/>
    <mergeCell ref="R9:R10"/>
    <mergeCell ref="AC5:AD5"/>
    <mergeCell ref="Y6:Z6"/>
    <mergeCell ref="AC6:AD6"/>
    <mergeCell ref="M7:O7"/>
    <mergeCell ref="M8:O8"/>
    <mergeCell ref="P8:Q8"/>
    <mergeCell ref="R8:S8"/>
    <mergeCell ref="T8:U8"/>
    <mergeCell ref="S9:S10"/>
    <mergeCell ref="T9:T10"/>
    <mergeCell ref="U9:U10"/>
  </mergeCells>
  <phoneticPr fontId="33" type="noConversion"/>
  <conditionalFormatting sqref="J11:L21 G11:I22 M11:U22">
    <cfRule type="expression" dxfId="20" priority="1">
      <formula>$G11="non-visibile"</formula>
    </cfRule>
  </conditionalFormatting>
  <conditionalFormatting sqref="L33:O33">
    <cfRule type="iconSet" priority="30">
      <iconSet iconSet="3Flags">
        <cfvo type="percent" val="0"/>
        <cfvo type="percent" val="33"/>
        <cfvo type="percent" val="67"/>
      </iconSet>
    </cfRule>
  </conditionalFormatting>
  <conditionalFormatting sqref="M22:O22">
    <cfRule type="expression" dxfId="19" priority="7">
      <formula>$G22="non-visibile"</formula>
    </cfRule>
  </conditionalFormatting>
  <conditionalFormatting sqref="P11:Q22">
    <cfRule type="expression" dxfId="18" priority="6">
      <formula>$P11&gt;=$Q11</formula>
    </cfRule>
    <cfRule type="expression" dxfId="17" priority="11">
      <formula>$P11&lt;$Q11</formula>
    </cfRule>
  </conditionalFormatting>
  <conditionalFormatting sqref="R11:S22">
    <cfRule type="expression" dxfId="16" priority="4">
      <formula>$R11&gt;=$S11</formula>
    </cfRule>
    <cfRule type="expression" dxfId="15" priority="5">
      <formula>$R11&lt;$S11</formula>
    </cfRule>
  </conditionalFormatting>
  <conditionalFormatting sqref="T11:U22">
    <cfRule type="expression" dxfId="14" priority="2">
      <formula>$T11&gt;=$U11</formula>
    </cfRule>
    <cfRule type="expression" dxfId="13" priority="3">
      <formula>$T11&lt;$U11</formula>
    </cfRule>
  </conditionalFormatting>
  <conditionalFormatting sqref="X8:X91 AH8:AH91">
    <cfRule type="expression" dxfId="12" priority="27">
      <formula>$Y8="non-visibile"</formula>
    </cfRule>
  </conditionalFormatting>
  <conditionalFormatting sqref="Y8:AD91">
    <cfRule type="expression" dxfId="11" priority="21">
      <formula>$Y8="non-visibile"</formula>
    </cfRule>
  </conditionalFormatting>
  <conditionalFormatting sqref="AA8:AB91">
    <cfRule type="cellIs" dxfId="10" priority="25" operator="greaterThanOrEqual">
      <formula>$Y8+$Z8</formula>
    </cfRule>
    <cfRule type="cellIs" dxfId="9" priority="26" operator="lessThan">
      <formula>$Y8+$Z8</formula>
    </cfRule>
  </conditionalFormatting>
  <conditionalFormatting sqref="AC8:AC91">
    <cfRule type="cellIs" dxfId="8" priority="23" operator="lessThanOrEqual">
      <formula>$Y8</formula>
    </cfRule>
    <cfRule type="cellIs" dxfId="7" priority="28" operator="greaterThan">
      <formula>$Y8</formula>
    </cfRule>
  </conditionalFormatting>
  <conditionalFormatting sqref="AD8:AD91">
    <cfRule type="cellIs" dxfId="6" priority="22" operator="lessThanOrEqual">
      <formula>$Z8</formula>
    </cfRule>
    <cfRule type="cellIs" dxfId="5" priority="24" operator="greaterThan">
      <formula>$Z8</formula>
    </cfRule>
  </conditionalFormatting>
  <conditionalFormatting sqref="AI8:AL91">
    <cfRule type="expression" dxfId="4" priority="16">
      <formula>$AI8="non-visibile"</formula>
    </cfRule>
  </conditionalFormatting>
  <conditionalFormatting sqref="AJ8:AK91">
    <cfRule type="cellIs" dxfId="3" priority="18" operator="greaterThanOrEqual">
      <formula>$AI8</formula>
    </cfRule>
    <cfRule type="cellIs" dxfId="2" priority="19" operator="lessThan">
      <formula>$AI8</formula>
    </cfRule>
  </conditionalFormatting>
  <conditionalFormatting sqref="AL8:AL91">
    <cfRule type="cellIs" dxfId="1" priority="17" operator="lessThanOrEqual">
      <formula>$AI8</formula>
    </cfRule>
    <cfRule type="cellIs" dxfId="0" priority="20" operator="greaterThan">
      <formula>$AI8</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9" id="{C931CE4A-CF49-4D92-B6AE-2115580C2713}">
            <x14:iconSet custom="1">
              <x14:cfvo type="percent">
                <xm:f>0</xm:f>
              </x14:cfvo>
              <x14:cfvo type="num">
                <xm:f>0</xm:f>
              </x14:cfvo>
              <x14:cfvo type="num">
                <xm:f>0</xm:f>
              </x14:cfvo>
              <x14:cfIcon iconSet="3Flags" iconId="0"/>
              <x14:cfIcon iconSet="3Flags" iconId="1"/>
              <x14:cfIcon iconSet="3Flags" iconId="2"/>
            </x14:iconSet>
          </x14:cfRule>
          <xm:sqref>P24:U24</xm:sqref>
        </x14:conditionalFormatting>
        <x14:conditionalFormatting xmlns:xm="http://schemas.microsoft.com/office/excel/2006/main">
          <x14:cfRule type="iconSet" priority="46" id="{B2DE0A84-A58C-42B0-A641-EEA561FA8C48}">
            <x14:iconSet showValue="0" custom="1">
              <x14:cfvo type="percent">
                <xm:f>0</xm:f>
              </x14:cfvo>
              <x14:cfvo type="num" gte="0">
                <xm:f>0</xm:f>
              </x14:cfvo>
              <x14:cfvo type="num">
                <xm:f>1</xm:f>
              </x14:cfvo>
              <x14:cfIcon iconSet="NoIcons" iconId="0"/>
              <x14:cfIcon iconSet="NoIcons" iconId="0"/>
              <x14:cfIcon iconSet="3TrafficLights1" iconId="0"/>
            </x14:iconSet>
          </x14:cfRule>
          <xm:sqref>W8:W91 AE8:AE91 AG8:AG91 AM8:AM91</xm:sqref>
        </x14:conditionalFormatting>
        <x14:conditionalFormatting xmlns:xm="http://schemas.microsoft.com/office/excel/2006/main">
          <x14:cfRule type="iconSet" priority="12" id="{044D2584-23C1-41A3-91DD-60B0E76CC445}">
            <x14:iconSet iconSet="3Arrows" showValue="0" custom="1">
              <x14:cfvo type="percent">
                <xm:f>0</xm:f>
              </x14:cfvo>
              <x14:cfvo type="formula">
                <xm:f>0</xm:f>
              </x14:cfvo>
              <x14:cfvo type="formula">
                <xm:f>$Y$94+$Z$94</xm:f>
              </x14:cfvo>
              <x14:cfIcon iconSet="NoIcons" iconId="0"/>
              <x14:cfIcon iconSet="3Arrows" iconId="0"/>
              <x14:cfIcon iconSet="3Arrows" iconId="2"/>
            </x14:iconSet>
          </x14:cfRule>
          <xm:sqref>AA94</xm:sqref>
        </x14:conditionalFormatting>
        <x14:conditionalFormatting xmlns:xm="http://schemas.microsoft.com/office/excel/2006/main">
          <x14:cfRule type="iconSet" priority="13" id="{B1314DC4-F94C-4DB5-B4AE-C5F2873AF67E}">
            <x14:iconSet iconSet="3Arrows" showValue="0" custom="1">
              <x14:cfvo type="percent">
                <xm:f>0</xm:f>
              </x14:cfvo>
              <x14:cfvo type="num">
                <xm:f>0</xm:f>
              </x14:cfvo>
              <x14:cfvo type="formula">
                <xm:f>$Y$94+$Z$94</xm:f>
              </x14:cfvo>
              <x14:cfIcon iconSet="NoIcons" iconId="0"/>
              <x14:cfIcon iconSet="3Arrows" iconId="0"/>
              <x14:cfIcon iconSet="3Arrows" iconId="2"/>
            </x14:iconSet>
          </x14:cfRule>
          <xm:sqref>AB94</xm:sqref>
        </x14:conditionalFormatting>
        <x14:conditionalFormatting xmlns:xm="http://schemas.microsoft.com/office/excel/2006/main">
          <x14:cfRule type="iconSet" priority="14" id="{E1382BE8-0C80-42A0-8980-C4EE0352ABB1}">
            <x14:iconSet iconSet="3Arrows" showValue="0" custom="1">
              <x14:cfvo type="percent">
                <xm:f>0</xm:f>
              </x14:cfvo>
              <x14:cfvo type="num">
                <xm:f>$Y$94</xm:f>
              </x14:cfvo>
              <x14:cfvo type="num" gte="0">
                <xm:f>$Y$94</xm:f>
              </x14:cfvo>
              <x14:cfIcon iconSet="3Arrows" iconId="2"/>
              <x14:cfIcon iconSet="3Signs" iconId="1"/>
              <x14:cfIcon iconSet="3Arrows" iconId="0"/>
            </x14:iconSet>
          </x14:cfRule>
          <xm:sqref>AC94</xm:sqref>
        </x14:conditionalFormatting>
        <x14:conditionalFormatting xmlns:xm="http://schemas.microsoft.com/office/excel/2006/main">
          <x14:cfRule type="iconSet" priority="15" id="{D0BBB97F-9768-4547-94C8-67230CD2415D}">
            <x14:iconSet iconSet="3Arrows" showValue="0" custom="1">
              <x14:cfvo type="percent">
                <xm:f>0</xm:f>
              </x14:cfvo>
              <x14:cfvo type="num">
                <xm:f>$Z$94</xm:f>
              </x14:cfvo>
              <x14:cfvo type="num" gte="0">
                <xm:f>$Z$94</xm:f>
              </x14:cfvo>
              <x14:cfIcon iconSet="3Arrows" iconId="2"/>
              <x14:cfIcon iconSet="3Signs" iconId="1"/>
              <x14:cfIcon iconSet="3Arrows" iconId="0"/>
            </x14:iconSet>
          </x14:cfRule>
          <xm:sqref>AD94</xm:sqref>
        </x14:conditionalFormatting>
        <x14:conditionalFormatting xmlns:xm="http://schemas.microsoft.com/office/excel/2006/main">
          <x14:cfRule type="iconSet" priority="8" id="{3AC38A0D-0167-4B1D-8F80-21A7713EA8B9}">
            <x14:iconSet iconSet="3Arrows" showValue="0" custom="1">
              <x14:cfvo type="percent">
                <xm:f>0</xm:f>
              </x14:cfvo>
              <x14:cfvo type="num">
                <xm:f>0</xm:f>
              </x14:cfvo>
              <x14:cfvo type="num">
                <xm:f>$AI$94</xm:f>
              </x14:cfvo>
              <x14:cfIcon iconSet="NoIcons" iconId="0"/>
              <x14:cfIcon iconSet="3Arrows" iconId="0"/>
              <x14:cfIcon iconSet="3Arrows" iconId="2"/>
            </x14:iconSet>
          </x14:cfRule>
          <xm:sqref>AJ94</xm:sqref>
        </x14:conditionalFormatting>
        <x14:conditionalFormatting xmlns:xm="http://schemas.microsoft.com/office/excel/2006/main">
          <x14:cfRule type="iconSet" priority="9" id="{5CF9CF3B-4F61-4AE4-9E13-32B69E2D574F}">
            <x14:iconSet iconSet="3Arrows" showValue="0" custom="1">
              <x14:cfvo type="percent">
                <xm:f>0</xm:f>
              </x14:cfvo>
              <x14:cfvo type="num">
                <xm:f>0</xm:f>
              </x14:cfvo>
              <x14:cfvo type="num">
                <xm:f>$AI$94</xm:f>
              </x14:cfvo>
              <x14:cfIcon iconSet="NoIcons" iconId="0"/>
              <x14:cfIcon iconSet="3Arrows" iconId="0"/>
              <x14:cfIcon iconSet="3Arrows" iconId="2"/>
            </x14:iconSet>
          </x14:cfRule>
          <xm:sqref>AK94</xm:sqref>
        </x14:conditionalFormatting>
        <x14:conditionalFormatting xmlns:xm="http://schemas.microsoft.com/office/excel/2006/main">
          <x14:cfRule type="iconSet" priority="10" id="{F1BCA273-1B8A-4F79-8535-86A6A728508C}">
            <x14:iconSet iconSet="3Arrows" showValue="0" custom="1">
              <x14:cfvo type="percent">
                <xm:f>0</xm:f>
              </x14:cfvo>
              <x14:cfvo type="num">
                <xm:f>$AI$94</xm:f>
              </x14:cfvo>
              <x14:cfvo type="num">
                <xm:f>$AI$94</xm:f>
              </x14:cfvo>
              <x14:cfIcon iconSet="3Arrows" iconId="2"/>
              <x14:cfIcon iconSet="3Signs" iconId="1"/>
              <x14:cfIcon iconSet="3Arrows" iconId="0"/>
            </x14:iconSet>
          </x14:cfRule>
          <xm:sqref>AL94</xm:sqref>
        </x14:conditionalFormatting>
      </x14:conditionalFormattings>
    </ex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4129-3E2C-4DCC-95DC-E8B04CB957A9}">
  <sheetPr>
    <tabColor rgb="FFC00000"/>
  </sheetPr>
  <dimension ref="A1:Q89"/>
  <sheetViews>
    <sheetView zoomScale="110" zoomScaleNormal="110" workbookViewId="0">
      <selection activeCell="I6" sqref="I6"/>
    </sheetView>
  </sheetViews>
  <sheetFormatPr defaultColWidth="8.85546875" defaultRowHeight="15" x14ac:dyDescent="0.25"/>
  <cols>
    <col min="1" max="1" width="30.140625" style="453" customWidth="1"/>
    <col min="2" max="2" width="6.85546875" style="453" customWidth="1"/>
    <col min="3" max="7" width="8.85546875" style="453"/>
    <col min="8" max="8" width="12" style="453" customWidth="1"/>
    <col min="9" max="9" width="31.7109375" style="453" customWidth="1"/>
    <col min="10" max="10" width="9" style="453" bestFit="1" customWidth="1"/>
    <col min="11" max="11" width="12" style="453" bestFit="1" customWidth="1"/>
    <col min="12" max="12" width="11.7109375" style="453" bestFit="1" customWidth="1"/>
    <col min="13" max="13" width="12" style="453" bestFit="1" customWidth="1"/>
    <col min="14" max="14" width="10.7109375" style="453" bestFit="1" customWidth="1"/>
    <col min="15" max="16" width="12" style="453" bestFit="1" customWidth="1"/>
    <col min="17" max="17" width="13.7109375" style="453" customWidth="1"/>
    <col min="18" max="16384" width="8.85546875" style="453"/>
  </cols>
  <sheetData>
    <row r="1" spans="1:17" ht="24.6" customHeight="1" x14ac:dyDescent="0.25">
      <c r="A1" s="452"/>
      <c r="B1" s="672"/>
      <c r="C1" s="672"/>
      <c r="D1" s="672"/>
      <c r="E1" s="672"/>
      <c r="F1" s="672"/>
      <c r="G1" s="672"/>
      <c r="H1" s="672"/>
      <c r="I1" s="672"/>
    </row>
    <row r="2" spans="1:17" ht="3.6" customHeight="1" thickBot="1" x14ac:dyDescent="0.3"/>
    <row r="3" spans="1:17" ht="21" customHeight="1" thickBot="1" x14ac:dyDescent="0.3">
      <c r="A3" s="454"/>
      <c r="I3" s="673" t="s">
        <v>249</v>
      </c>
      <c r="J3" s="675" t="s">
        <v>250</v>
      </c>
      <c r="K3" s="676"/>
      <c r="L3" s="676"/>
      <c r="M3" s="677"/>
      <c r="N3" s="675" t="s">
        <v>251</v>
      </c>
      <c r="O3" s="676"/>
      <c r="P3" s="676"/>
      <c r="Q3" s="677"/>
    </row>
    <row r="4" spans="1:17" ht="15" customHeight="1" thickBot="1" x14ac:dyDescent="0.3">
      <c r="A4" s="454"/>
      <c r="I4" s="674"/>
      <c r="J4" s="455" t="s">
        <v>180</v>
      </c>
      <c r="K4" s="456" t="s">
        <v>252</v>
      </c>
      <c r="L4" s="457" t="s">
        <v>253</v>
      </c>
      <c r="M4" s="458" t="s">
        <v>254</v>
      </c>
      <c r="N4" s="459" t="s">
        <v>180</v>
      </c>
      <c r="O4" s="456" t="s">
        <v>252</v>
      </c>
      <c r="P4" s="457" t="s">
        <v>253</v>
      </c>
      <c r="Q4" s="458" t="s">
        <v>254</v>
      </c>
    </row>
    <row r="5" spans="1:17" ht="17.45" customHeight="1" x14ac:dyDescent="0.25">
      <c r="A5" s="454"/>
      <c r="I5" s="460" t="s">
        <v>52</v>
      </c>
      <c r="J5" s="461">
        <f>IFERROR(GETPIVOTDATA("Actual ORE ripartito",'Altre Tabelle di dettaglio'!$BK$5,"Fornitore .","S1"),0)+
IFERROR(GETPIVOTDATA("Actual ORE ripartito",'Altre Tabelle di dettaglio'!$BK$5,"Fornitore .","S10"),0)+
IFERROR(GETPIVOTDATA("Actual ORE ripartito",'Altre Tabelle di dettaglio'!$BK$5,"Fornitore .","S11"),0)+
IFERROR(GETPIVOTDATA("Actual ORE ripartito",'Altre Tabelle di dettaglio'!$BK$5,"Fornitore .","S12"),0)+
IFERROR(GETPIVOTDATA("Actual ORE ripartito",'Altre Tabelle di dettaglio'!$BK$5,"Fornitore .","S2"),0)+
IFERROR(GETPIVOTDATA("Actual ORE ripartito",'Altre Tabelle di dettaglio'!$BK$5,"Fornitore .","S3"),0)+
IFERROR(GETPIVOTDATA("Actual ORE ripartito",'Altre Tabelle di dettaglio'!$BK$5,"Fornitore .","S4"),0)+
IFERROR(GETPIVOTDATA("Actual ORE ripartito",'Altre Tabelle di dettaglio'!$BK$5,"Fornitore .","S5"),0)+
IFERROR(GETPIVOTDATA("Actual ORE ripartito",'Altre Tabelle di dettaglio'!$BK$5,"Fornitore .","S6"),0)</f>
        <v>446.62857142857143</v>
      </c>
      <c r="K5" s="462">
        <f>IFERROR(GETPIVOTDATA("Actual EURO ripartito",'Altre Tabelle di dettaglio'!$CH$5,"Fornitore .","S1"),0)+
IFERROR(GETPIVOTDATA("Actual EURO ripartito",'Altre Tabelle di dettaglio'!$CH$5,"Fornitore .","S10"),0)+
IFERROR(GETPIVOTDATA("Actual EURO ripartito",'Altre Tabelle di dettaglio'!$CH$5,"Fornitore .","S11"),0)+
IFERROR(GETPIVOTDATA("Actual EURO ripartito",'Altre Tabelle di dettaglio'!$CH$5,"Fornitore .","S12"),0)+
IFERROR(GETPIVOTDATA("Actual EURO ripartito",'Altre Tabelle di dettaglio'!$CH$5,"Fornitore .","S2"),0)+
IFERROR(GETPIVOTDATA("Actual EURO ripartito",'Altre Tabelle di dettaglio'!$CH$5,"Fornitore .","S3"),0)+
IFERROR(GETPIVOTDATA("Actual EURO ripartito",'Altre Tabelle di dettaglio'!$CH$5,"Fornitore .","S4"),0)+
IFERROR(GETPIVOTDATA("Actual EURO ripartito",'Altre Tabelle di dettaglio'!$CH$5,"Fornitore .","S5"),0)+
IFERROR(GETPIVOTDATA("Actual EURO ripartito",'Altre Tabelle di dettaglio'!$CH$5,"Fornitore .","S6"),0)</f>
        <v>802</v>
      </c>
      <c r="L5" s="463">
        <f>IFERROR(GETPIVOTDATA("Actual LUMP ripartito",'Altre Tabelle di dettaglio'!$DC$5,"Fornitore .","S1"),0)+
IFERROR(GETPIVOTDATA("Actual LUMP ripartito",'Altre Tabelle di dettaglio'!$DC$5,"Fornitore .","S10"),0)+
IFERROR(GETPIVOTDATA("Actual LUMP ripartito",'Altre Tabelle di dettaglio'!$DC$5,"Fornitore .","S11"),0)+
IFERROR(GETPIVOTDATA("Actual LUMP ripartito",'Altre Tabelle di dettaglio'!$DC$5,"Fornitore .","S12"),0)+
IFERROR(GETPIVOTDATA("Actual LUMP ripartito",'Altre Tabelle di dettaglio'!$DC$5,"Fornitore .","S2"),0)+
IFERROR(GETPIVOTDATA("Actual LUMP ripartito",'Altre Tabelle di dettaglio'!$DC$5,"Fornitore .","S3"),0)+
IFERROR(GETPIVOTDATA("Actual LUMP ripartito",'Altre Tabelle di dettaglio'!$DC$5,"Fornitore .","S4"),0)+
IFERROR(GETPIVOTDATA("Actual LUMP ripartito",'Altre Tabelle di dettaglio'!$DC$5,"Fornitore .","S5"),0)+
IFERROR(GETPIVOTDATA("Actual LUMP ripartito",'Altre Tabelle di dettaglio'!$DC$5,"Fornitore .","S6"),0)</f>
        <v>11</v>
      </c>
      <c r="M5" s="464">
        <f>K5+L5</f>
        <v>813</v>
      </c>
      <c r="N5" s="465">
        <f>IFERROR(GETPIVOTDATA("TOTALE ORE",'Altre Tabelle di dettaglio'!$AP$5,"Fornitore .","S1"),0)+
IFERROR(GETPIVOTDATA("TOTALE ORE",'Altre Tabelle di dettaglio'!$AP$5,"Fornitore .","S10"),0)+
IFERROR(GETPIVOTDATA("TOTALE ORE",'Altre Tabelle di dettaglio'!$AP$5,"Fornitore .","S11"),0)+
IFERROR(GETPIVOTDATA("TOTALE ORE",'Altre Tabelle di dettaglio'!$AP$5,"Fornitore .","S12"),0)+
IFERROR(GETPIVOTDATA("TOTALE ORE",'Altre Tabelle di dettaglio'!$AP$5,"Fornitore .","S2"),0)+
IFERROR(GETPIVOTDATA("TOTALE ORE",'Altre Tabelle di dettaglio'!$AP$5,"Fornitore .","S3"),0)+
IFERROR(GETPIVOTDATA("TOTALE ORE",'Altre Tabelle di dettaglio'!$AP$5,"Fornitore .","S4"),0)+
IFERROR(GETPIVOTDATA("TOTALE ORE",'Altre Tabelle di dettaglio'!$AP$5,"Fornitore .","S5"),0)+
IFERROR(GETPIVOTDATA("TOTALE ORE",'Altre Tabelle di dettaglio'!$AP$5,"Fornitore .","S6"),0)</f>
        <v>13990</v>
      </c>
      <c r="O5" s="466">
        <f>IFERROR(GETPIVOTDATA("BUDGET STIMATO ORE",'Altre Tabelle di dettaglio'!$B$5,"Fornitore .","S1"),0)+
IFERROR(GETPIVOTDATA("BUDGET STIMATO ORE",'Altre Tabelle di dettaglio'!$B$5,"Fornitore .","S10"),0)+
IFERROR(GETPIVOTDATA("BUDGET STIMATO ORE",'Altre Tabelle di dettaglio'!$B$5,"Fornitore .","S11"),0)+
IFERROR(GETPIVOTDATA("BUDGET STIMATO ORE",'Altre Tabelle di dettaglio'!$B$5,"Fornitore .","S12"),0)+
IFERROR(GETPIVOTDATA("BUDGET STIMATO ORE",'Altre Tabelle di dettaglio'!$B$5,"Fornitore .","S2"),0)+
IFERROR(GETPIVOTDATA("BUDGET STIMATO ORE",'Altre Tabelle di dettaglio'!$B$5,"Fornitore .","S3"),0)+
IFERROR(GETPIVOTDATA("BUDGET STIMATO ORE",'Altre Tabelle di dettaglio'!$B$5,"Fornitore .","S4"),0)+
IFERROR(GETPIVOTDATA("BUDGET STIMATO ORE",'Altre Tabelle di dettaglio'!$B$5,"Fornitore .","S5"),0)+
IFERROR(GETPIVOTDATA("BUDGET STIMATO ORE",'Altre Tabelle di dettaglio'!$B$5,"Fornitore .","S6"),0)</f>
        <v>22030</v>
      </c>
      <c r="P5" s="467">
        <f>IFERROR(GETPIVOTDATA("BUDGET STIMATO LUMP SUM",'Altre Tabelle di dettaglio'!$V$5,"Fornitore .","S1"),0)+
IFERROR(GETPIVOTDATA("BUDGET STIMATO LUMP SUM",'Altre Tabelle di dettaglio'!$V$5,"Fornitore .","S10"),0)+
IFERROR(GETPIVOTDATA("BUDGET STIMATO LUMP SUM",'Altre Tabelle di dettaglio'!$V$5,"Fornitore .","S11"),0)+
IFERROR(GETPIVOTDATA("BUDGET STIMATO LUMP SUM",'Altre Tabelle di dettaglio'!$V$5,"Fornitore .","S12"),0)+
IFERROR(GETPIVOTDATA("BUDGET STIMATO LUMP SUM",'Altre Tabelle di dettaglio'!$V$5,"Fornitore .","S2"),0)+
IFERROR(GETPIVOTDATA("BUDGET STIMATO LUMP SUM",'Altre Tabelle di dettaglio'!$V$5,"Fornitore .","S3"),0)+
IFERROR(GETPIVOTDATA("BUDGET STIMATO LUMP SUM",'Altre Tabelle di dettaglio'!$V$5,"Fornitore .","S4"),0)+
IFERROR(GETPIVOTDATA("BUDGET STIMATO LUMP SUM",'Altre Tabelle di dettaglio'!$V$5,"Fornitore .","S5"),0)+
IFERROR(GETPIVOTDATA("BUDGET STIMATO LUMP SUM",'Altre Tabelle di dettaglio'!$V$5,"Fornitore .","S6"),0)</f>
        <v>73260</v>
      </c>
      <c r="Q5" s="468">
        <f>O5+P5</f>
        <v>95290</v>
      </c>
    </row>
    <row r="6" spans="1:17" ht="17.45" customHeight="1" x14ac:dyDescent="0.25">
      <c r="A6" s="454"/>
      <c r="I6" s="469" t="s">
        <v>259</v>
      </c>
      <c r="J6" s="461">
        <f>IFERROR(GETPIVOTDATA("Actual ORE ripartito",'Altre Tabelle di dettaglio'!$BK$5,"Fornitore .","S7"),0)+
IFERROR(GETPIVOTDATA("Actual ORE ripartito",'Altre Tabelle di dettaglio'!$BK$5,"Fornitore .","S8"),0)+
IFERROR(GETPIVOTDATA("Actual ORE ripartito",'Altre Tabelle di dettaglio'!$BK$5,"Fornitore .","S9"),0)</f>
        <v>0</v>
      </c>
      <c r="K6" s="462">
        <f>IFERROR(GETPIVOTDATA("Actual EURO ripartito",'Altre Tabelle di dettaglio'!$CH$5,"Fornitore .","S7"),0)+
IFERROR(GETPIVOTDATA("Actual EURO ripartito",'Altre Tabelle di dettaglio'!$CH$5,"Fornitore .","S8"),0)+
IFERROR(GETPIVOTDATA("Actual EURO ripartito",'Altre Tabelle di dettaglio'!$CH$5,"Fornitore .","S9"),0)</f>
        <v>0</v>
      </c>
      <c r="L6" s="463">
        <f>IFERROR(GETPIVOTDATA("Actual LUMP ripartito",'Altre Tabelle di dettaglio'!$DC$5,"Fornitore .","S7"),0)+
IFERROR(GETPIVOTDATA("Actual LUMP ripartito",'Altre Tabelle di dettaglio'!$DC$5,"Fornitore .","S8"),0)+
IFERROR(GETPIVOTDATA("Actual LUMP ripartito",'Altre Tabelle di dettaglio'!$DC$5,"Fornitore .","S9"),0)</f>
        <v>1</v>
      </c>
      <c r="M6" s="464">
        <f t="shared" ref="M6:M9" si="0">K6+L6</f>
        <v>1</v>
      </c>
      <c r="N6" s="465">
        <f>IFERROR(GETPIVOTDATA("TOTALE ORE",'Altre Tabelle di dettaglio'!$AP$5,"Fornitore .","S7"),0)+
IFERROR(GETPIVOTDATA("TOTALE ORE",'Altre Tabelle di dettaglio'!$AP$5,"Fornitore .","S8"),0)+
IFERROR(GETPIVOTDATA("TOTALE ORE",'Altre Tabelle di dettaglio'!$AP$5,"Fornitore .","S9"),0)</f>
        <v>0</v>
      </c>
      <c r="O6" s="466">
        <f>IFERROR(GETPIVOTDATA("BUDGET STIMATO ORE",'Altre Tabelle di dettaglio'!$B$5,"Fornitore .","S7"),0)+
IFERROR(GETPIVOTDATA("BUDGET STIMATO ORE",'Altre Tabelle di dettaglio'!$B$5,"Fornitore .","S8"),0)+
IFERROR(GETPIVOTDATA("BUDGET STIMATO ORE",'Altre Tabelle di dettaglio'!$B$5,"Fornitore .","S9"),0)</f>
        <v>0</v>
      </c>
      <c r="P6" s="467">
        <f>IFERROR(GETPIVOTDATA("BUDGET STIMATO LUMP SUM",'Altre Tabelle di dettaglio'!$V$5,"Fornitore .","S7"),0)+
IFERROR(GETPIVOTDATA("BUDGET STIMATO LUMP SUM",'Altre Tabelle di dettaglio'!$V$5,"Fornitore .","S8"),0)+
IFERROR(GETPIVOTDATA("BUDGET STIMATO LUMP SUM",'Altre Tabelle di dettaglio'!$V$5,"Fornitore .","S9"),0)</f>
        <v>46120</v>
      </c>
      <c r="Q6" s="468">
        <f t="shared" ref="Q6:Q9" si="1">O6+P6</f>
        <v>46120</v>
      </c>
    </row>
    <row r="7" spans="1:17" ht="17.45" customHeight="1" x14ac:dyDescent="0.25">
      <c r="I7" s="469" t="s">
        <v>248</v>
      </c>
      <c r="J7" s="461">
        <f>IFERROR(GETPIVOTDATA("Actual ORE ripartito",'Altre Tabelle di dettaglio'!$BK$5,"Fornitore .","S13"),0)+
IFERROR(GETPIVOTDATA("Actual ORE ripartito",'Altre Tabelle di dettaglio'!$BK$5,"Fornitore .","S14"),0)</f>
        <v>0</v>
      </c>
      <c r="K7" s="462">
        <f>IFERROR(GETPIVOTDATA("Actual EURO ripartito",'Altre Tabelle di dettaglio'!$CH$5,"Fornitore .","S13"),0)+
IFERROR(GETPIVOTDATA("Actual EURO ripartito",'Altre Tabelle di dettaglio'!$CH$5,"Fornitore .","S14"),0)</f>
        <v>0</v>
      </c>
      <c r="L7" s="463">
        <f>IFERROR(GETPIVOTDATA("Actual LUMP ripartito",'Altre Tabelle di dettaglio'!$DC$5,"Fornitore .","S13"),0)+
IFERROR(GETPIVOTDATA("Actual LUMP ripartito",'Altre Tabelle di dettaglio'!$DC$5,"Fornitore .","S14"),0)</f>
        <v>1</v>
      </c>
      <c r="M7" s="464">
        <f t="shared" si="0"/>
        <v>1</v>
      </c>
      <c r="N7" s="465">
        <f>IFERROR(GETPIVOTDATA("TOTALE ORE",'Altre Tabelle di dettaglio'!$AP$5,"Fornitore .","S13"),0)+
IFERROR(GETPIVOTDATA("TOTALE ORE",'Altre Tabelle di dettaglio'!$AP$5,"Fornitore .","S14"),0)</f>
        <v>0</v>
      </c>
      <c r="O7" s="466">
        <f>IFERROR(GETPIVOTDATA("BUDGET STIMATO ORE",'Altre Tabelle di dettaglio'!$B$5,"Fornitore .","S13"),0)+
IFERROR(GETPIVOTDATA("BUDGET STIMATO ORE",'Altre Tabelle di dettaglio'!$B$5,"Fornitore .","S14"),0)</f>
        <v>0</v>
      </c>
      <c r="P7" s="467">
        <f>IFERROR(GETPIVOTDATA("BUDGET STIMATO LUMP SUM",'Altre Tabelle di dettaglio'!$V$5,"Fornitore .","S13"),0)+
IFERROR(GETPIVOTDATA("BUDGET STIMATO LUMP SUM",'Altre Tabelle di dettaglio'!$V$5,"Fornitore .","S14"),0)</f>
        <v>29740</v>
      </c>
      <c r="Q7" s="468">
        <f t="shared" si="1"/>
        <v>29740</v>
      </c>
    </row>
    <row r="8" spans="1:17" ht="17.45" customHeight="1" x14ac:dyDescent="0.25">
      <c r="I8" s="470" t="s">
        <v>260</v>
      </c>
      <c r="J8" s="471">
        <f>IFERROR(GETPIVOTDATA("Actual ORE ripartito",'Altre Tabelle di dettaglio'!$BK$5,"Fornitore .","G.D AUTOMATISCHE"),0)+
IFERROR(GETPIVOTDATA("Actual ORE ripartito",'Altre Tabelle di dettaglio'!$BK$5,"Fornitore .","G.D DO BRASIL MAQUINAS"),0)+
IFERROR(GETPIVOTDATA("Actual ORE ripartito",'Altre Tabelle di dettaglio'!$BK$5,"Fornitore .","G.D JIDOKIKAI"),0)+
IFERROR(GETPIVOTDATA("Actual ORE ripartito",'Altre Tabelle di dettaglio'!$BK$5,"Fornitore .","G.D USA INC."),0)</f>
        <v>0</v>
      </c>
      <c r="K8" s="472">
        <f>IFERROR(GETPIVOTDATA("Actual EURO ripartito",'Altre Tabelle di dettaglio'!$CH$5,"Fornitore .","G.D AUTOMATISCHE"),0)+
IFERROR(GETPIVOTDATA("Actual EURO ripartito",'Altre Tabelle di dettaglio'!$CH$5,"Fornitore .","G.D DO BRASIL MAQUINAS"),0)+
IFERROR(GETPIVOTDATA("Actual EURO ripartito",'Altre Tabelle di dettaglio'!$CH$5,"Fornitore .","G.D JIDOKIKAI"),0)+
IFERROR(GETPIVOTDATA("Actual EURO ripartito",'Altre Tabelle di dettaglio'!$CH$5,"Fornitore .","G.D USA INC."),0)</f>
        <v>0</v>
      </c>
      <c r="L8" s="473">
        <f>IFERROR(GETPIVOTDATA("Actual LUMP ripartito",'Altre Tabelle di dettaglio'!$DC$5,"Fornitore .","G.D AUTOMATISCHE"),0)+
IFERROR(GETPIVOTDATA("Actual LUMP ripartito",'Altre Tabelle di dettaglio'!$DC$5,"Fornitore .","G.D DO BRASIL MAQUINAS"),0)+
IFERROR(GETPIVOTDATA("Actual LUMP ripartito",'Altre Tabelle di dettaglio'!$DC$5,"Fornitore .","G.D JIDOKIKAI"),0)+
IFERROR(GETPIVOTDATA("Actual LUMP ripartito",'Altre Tabelle di dettaglio'!$DC$5,"Fornitore .","G.D USA INC."),0)</f>
        <v>0</v>
      </c>
      <c r="M8" s="474">
        <f t="shared" si="0"/>
        <v>0</v>
      </c>
      <c r="N8" s="475">
        <f>IFERROR(GETPIVOTDATA("TOTALE ORE",'Altre Tabelle di dettaglio'!$AP$5,"Fornitore .","G.D AUTOMATISCHE"),0)+
IFERROR(GETPIVOTDATA("TOTALE ORE",'Altre Tabelle di dettaglio'!$AP$5,"Fornitore .","G.D DO BRASIL MAQUINAS"),0)+
IFERROR(GETPIVOTDATA("TOTALE ORE",'Altre Tabelle di dettaglio'!$AP$5,"Fornitore .","G.D JIDOKIKAI"),0)+
IFERROR(GETPIVOTDATA("TOTALE ORE",'Altre Tabelle di dettaglio'!$AP$5,"Fornitore .","G.D USA INC."),0)</f>
        <v>0</v>
      </c>
      <c r="O8" s="476">
        <f>IFERROR(GETPIVOTDATA("BUDGET STIMATO ORE",'Altre Tabelle di dettaglio'!$B$5,"Fornitore .","G.D AUTOMATISCHE"),0)+
IFERROR(GETPIVOTDATA("BUDGET STIMATO ORE",'Altre Tabelle di dettaglio'!$B$5,"Fornitore .","G.D DO BRASIL MAQUINAS"),0)+
IFERROR(GETPIVOTDATA("BUDGET STIMATO ORE",'Altre Tabelle di dettaglio'!$B$5,"Fornitore .","G.D JIDOKIKAI"),0)+
IFERROR(GETPIVOTDATA("BUDGET STIMATO ORE",'Altre Tabelle di dettaglio'!$B$5,"Fornitore .","G.D USA INC."),0)</f>
        <v>0</v>
      </c>
      <c r="P8" s="477">
        <f>IFERROR(GETPIVOTDATA("BUDGET STIMATO LUMP SUM",'Altre Tabelle di dettaglio'!$V$5,"Fornitore .","G.D AUTOMATISCHE"),0)+
IFERROR(GETPIVOTDATA("BUDGET STIMATO LUMP SUM",'Altre Tabelle di dettaglio'!$V$5,"Fornitore .","G.D DO BRASIL MAQUINAS"),0)+
IFERROR(GETPIVOTDATA("BUDGET STIMATO LUMP SUM",'Altre Tabelle di dettaglio'!$V$5,"Fornitore .","G.D JIDOKIKAI"),0)+
IFERROR(GETPIVOTDATA("BUDGET STIMATO LUMP SUM",'Altre Tabelle di dettaglio'!$V$5,"Fornitore .","G.D USA INC."),0)</f>
        <v>0</v>
      </c>
      <c r="Q8" s="478">
        <f t="shared" si="1"/>
        <v>0</v>
      </c>
    </row>
    <row r="9" spans="1:17" ht="17.45" customHeight="1" thickBot="1" x14ac:dyDescent="0.3">
      <c r="I9" s="479" t="s">
        <v>261</v>
      </c>
      <c r="J9" s="480">
        <f>IFERROR(GETPIVOTDATA("Actual ORE ripartito",'Altre Tabelle di dettaglio'!$BK$5,"Fornitore .","ORE MANCANTI FORMATI"),0)+
IFERROR(GETPIVOTDATA("Actual ORE ripartito",'Altre Tabelle di dettaglio'!$BK$5,"Fornitore .","ORE MANCANTI HARDWARE"),0)+
IFERROR(GETPIVOTDATA("Actual ORE ripartito",'Altre Tabelle di dettaglio'!$BK$5,"Fornitore .","ORE MANCANTI MECCANICHE"),0)+
IFERROR(GETPIVOTDATA("Actual ORE ripartito",'Altre Tabelle di dettaglio'!$BK$5,"Fornitore .","ORE MANCANTI SOFTWARE"),0)</f>
        <v>0</v>
      </c>
      <c r="K9" s="481">
        <f>IFERROR(GETPIVOTDATA("Actual EURO ripartito",'Altre Tabelle di dettaglio'!$CH$5,"Fornitore .","ORE MANCANTI FORMATI"),0)+
IFERROR(GETPIVOTDATA("Actual EURO ripartito",'Altre Tabelle di dettaglio'!$CH$5,"Fornitore .","ORE MANCANTI HARDWARE"),0)+
IFERROR(GETPIVOTDATA("Actual EURO ripartito",'Altre Tabelle di dettaglio'!$CH$5,"Fornitore .","ORE MANCANTI MECCANICHE"),0)+
IFERROR(GETPIVOTDATA("Actual EURO ripartito",'Altre Tabelle di dettaglio'!$CH$5,"Fornitore .","ORE MANCANTI SOFTWARE"),0)</f>
        <v>0</v>
      </c>
      <c r="L9" s="482">
        <f>IFERROR(GETPIVOTDATA("Actual LUMP ripartito",'Altre Tabelle di dettaglio'!$DC$5,"Fornitore .","ORE MANCANTI FORMATI"),0)+
IFERROR(GETPIVOTDATA("Actual LUMP ripartito",'Altre Tabelle di dettaglio'!$DC$5,"Fornitore .","ORE MANCANTI HARDWARE"),0)+
IFERROR(GETPIVOTDATA("Actual LUMP ripartito",'Altre Tabelle di dettaglio'!$DC$5,"Fornitore .","ORE MANCANTI MECCANICHE"),0)+
IFERROR(GETPIVOTDATA("Actual LUMP ripartito",'Altre Tabelle di dettaglio'!$DC$5,"Fornitore .","ORE MANCANTI SOFTWARE"),0)</f>
        <v>0</v>
      </c>
      <c r="M9" s="474">
        <f t="shared" si="0"/>
        <v>0</v>
      </c>
      <c r="N9" s="483">
        <f>IFERROR(GETPIVOTDATA("TOTALE ORE",'Altre Tabelle di dettaglio'!$AP$5,"Fornitore .","ORE MANCANTI FORMATI"),0)+
IFERROR(GETPIVOTDATA("TOTALE ORE",'Altre Tabelle di dettaglio'!$AP$5,"Fornitore .","ORE MANCANTI HARDWARE"),0)+
IFERROR(GETPIVOTDATA("TOTALE ORE",'Altre Tabelle di dettaglio'!$AP$5,"Fornitore .","ORE MANCANTI MECCANICHE"),0)+
IFERROR(GETPIVOTDATA("TOTALE ORE",'Altre Tabelle di dettaglio'!$AP$5,"Fornitore .","ORE MANCANTI SOFTWARE"),0)</f>
        <v>0</v>
      </c>
      <c r="O9" s="484">
        <f>IFERROR(GETPIVOTDATA("BUDGET STIMATO ORE",'Altre Tabelle di dettaglio'!$B$5,"Fornitore .","ORE MANCANTI FORMATI"),0)+
IFERROR(GETPIVOTDATA("BUDGET STIMATO ORE",'Altre Tabelle di dettaglio'!$B$5,"Fornitore .","ORE MANCANTI HARDWARE"),0)+
IFERROR(GETPIVOTDATA("BUDGET STIMATO ORE",'Altre Tabelle di dettaglio'!$B$5,"Fornitore .","ORE MANCANTI MECCANICHE"),0)+
IFERROR(GETPIVOTDATA("BUDGET STIMATO ORE",'Altre Tabelle di dettaglio'!$B$5,"Fornitore .","ORE MANCANTI SOFTWARE"),0)</f>
        <v>0</v>
      </c>
      <c r="P9" s="485">
        <f>IFERROR(GETPIVOTDATA("BUDGET STIMATO LUMP SUM",'Altre Tabelle di dettaglio'!$V$5,"Fornitore .","ORE MANCANTI FORMATI"),0)+
IFERROR(GETPIVOTDATA("BUDGET STIMATO LUMP SUM",'Altre Tabelle di dettaglio'!$V$5,"Fornitore .","ORE MANCANTI HARDWARE"),0)+
IFERROR(GETPIVOTDATA("BUDGET STIMATO LUMP SUM",'Altre Tabelle di dettaglio'!$V$5,"Fornitore .","ORE MANCANTI MECCANICHE"),0)+
IFERROR(GETPIVOTDATA("BUDGET STIMATO LUMP SUM",'Altre Tabelle di dettaglio'!$V$5,"Fornitore .","ORE MANCANTI SOFTWARE"),0)</f>
        <v>0</v>
      </c>
      <c r="Q9" s="478">
        <f t="shared" si="1"/>
        <v>0</v>
      </c>
    </row>
    <row r="10" spans="1:17" ht="17.45" customHeight="1" thickTop="1" thickBot="1" x14ac:dyDescent="0.3">
      <c r="I10" s="486" t="s">
        <v>255</v>
      </c>
      <c r="J10" s="487">
        <f>SUM($J$5:$J$9)</f>
        <v>446.62857142857143</v>
      </c>
      <c r="K10" s="488">
        <f>SUM($K$5:$K$9)</f>
        <v>802</v>
      </c>
      <c r="L10" s="489">
        <f>SUM($L$5:$L$9)</f>
        <v>13</v>
      </c>
      <c r="M10" s="490">
        <f>SUM($M$5:$M$9)</f>
        <v>815</v>
      </c>
      <c r="N10" s="491">
        <f>SUM(N5:N9)</f>
        <v>13990</v>
      </c>
      <c r="O10" s="492">
        <f>SUM(O5:O9)</f>
        <v>22030</v>
      </c>
      <c r="P10" s="493">
        <f>SUM(P5:P9)</f>
        <v>149120</v>
      </c>
      <c r="Q10" s="494">
        <f>SUM(Q5:Q9)</f>
        <v>171150</v>
      </c>
    </row>
    <row r="11" spans="1:17" x14ac:dyDescent="0.25">
      <c r="P11" s="495">
        <f>IFERROR(GETPIVOTDATA("BUDGET STIMATO LUMP SUM",'Altre Tabelle di dettaglio'!$V$5,"Fornitore .","CEPRA CENTRO PROTEZIONE"),0)</f>
        <v>0</v>
      </c>
    </row>
    <row r="12" spans="1:17" ht="13.9" customHeight="1" x14ac:dyDescent="0.25"/>
    <row r="31" spans="3:16" x14ac:dyDescent="0.25">
      <c r="C31" s="496" t="str">
        <f>IF(A81="NA","*NA =Nessuna Allocazione di ORE","")</f>
        <v/>
      </c>
      <c r="I31" s="497"/>
      <c r="J31" s="498" t="str">
        <f>IF(B81="NA","*NA =Nessuna Allocazione di EURO ORE","")</f>
        <v/>
      </c>
      <c r="N31" s="499" t="str">
        <f>IF(C81="NA","*NA =Nessuna Allocazione di LUMP","")</f>
        <v/>
      </c>
    </row>
    <row r="80" spans="1:3" x14ac:dyDescent="0.25">
      <c r="A80" s="500" t="s">
        <v>256</v>
      </c>
      <c r="B80" s="501" t="s">
        <v>257</v>
      </c>
      <c r="C80" s="501" t="s">
        <v>258</v>
      </c>
    </row>
    <row r="81" spans="1:12" x14ac:dyDescent="0.25">
      <c r="A81" s="502">
        <f>IF(N10 = 0,"NA",(J10/N10))</f>
        <v>3.1924844276524048E-2</v>
      </c>
      <c r="B81" s="502">
        <f>IF(O10 = 0,"NA",(K10/O10))</f>
        <v>3.6404902405810256E-2</v>
      </c>
      <c r="C81" s="502">
        <f>IF(P10 = 0,"NA",(L10/P10))</f>
        <v>8.717811158798283E-5</v>
      </c>
      <c r="D81" s="501"/>
      <c r="E81" s="501"/>
      <c r="F81" s="501"/>
      <c r="G81" s="501"/>
      <c r="H81" s="501"/>
      <c r="I81" s="501"/>
      <c r="J81" s="501"/>
      <c r="K81" s="501"/>
      <c r="L81" s="501"/>
    </row>
    <row r="82" spans="1:12" x14ac:dyDescent="0.25">
      <c r="A82" s="501" t="str">
        <f>"Per le ingegnerie e i fornitori filtrati, sono stati spesi " &amp;ROUND(K10,0) &amp;" € Euro di tipo ORE. Questo corrisponde al " &amp;IFERROR(ROUND(B81*100,1),"NA")&amp; "% di quanto è stato allocato nel foglio 2023sintesi."</f>
        <v>Per le ingegnerie e i fornitori filtrati, sono stati spesi 802 € Euro di tipo ORE. Questo corrisponde al 3.6% di quanto è stato allocato nel foglio 2023sintesi.</v>
      </c>
      <c r="B82" s="501"/>
      <c r="C82" s="501"/>
      <c r="D82" s="501"/>
      <c r="E82" s="501"/>
      <c r="F82" s="501"/>
      <c r="G82" s="501"/>
      <c r="H82" s="501"/>
      <c r="I82" s="501"/>
      <c r="J82" s="501"/>
      <c r="K82" s="501"/>
      <c r="L82" s="501"/>
    </row>
    <row r="83" spans="1:12" x14ac:dyDescent="0.25">
      <c r="A83" s="501" t="str">
        <f>"La suddivisione di spesa (actual) aggiornata al " &amp;TEXT(AVANZAMENTO!M1,"gg mmm aaaa")&amp; " è la seguente:
- Esterni veri: " &amp;K5&amp; " €;
- Consociate: " &amp;K6&amp; " €;
- Filiali GD: " &amp;K7&amp; " €;
- Aziende Tob.: " &amp;K8&amp; " €;
- Altro: " &amp;K9&amp; " €."</f>
        <v>La suddivisione di spesa (actual) aggiornata al 05 giu 2023 è la seguente:
- Esterni veri: 802 €;
- Consociate: 0 €;
- Filiali GD: 0 €;
- Aziende Tob.: 0 €;
- Altro: 0 €.</v>
      </c>
      <c r="B83" s="501"/>
      <c r="C83" s="501"/>
      <c r="D83" s="501"/>
      <c r="E83" s="501"/>
      <c r="F83" s="501"/>
      <c r="G83" s="501"/>
      <c r="H83" s="501"/>
      <c r="I83" s="501"/>
      <c r="J83" s="501"/>
      <c r="K83" s="501"/>
      <c r="L83" s="501"/>
    </row>
    <row r="84" spans="1:12" x14ac:dyDescent="0.25">
      <c r="A84" s="501"/>
      <c r="B84" s="501"/>
      <c r="C84" s="501"/>
      <c r="D84" s="501"/>
      <c r="E84" s="501"/>
      <c r="F84" s="501"/>
      <c r="G84" s="501"/>
      <c r="H84" s="501"/>
      <c r="I84" s="501"/>
      <c r="J84" s="501"/>
      <c r="K84" s="501"/>
      <c r="L84" s="501"/>
    </row>
    <row r="85" spans="1:12" x14ac:dyDescent="0.25">
      <c r="A85" s="501" t="str">
        <f>"Per le ingegnerie e i fornitori filtrati, sono stati spesi " &amp;ROUND(L10,0) &amp;" € Euro di tipo LUMP. Questo corrisponde al " &amp;IFERROR(ROUND(C81*100,1),"NA")&amp; "% di quanto è stato allocato nel foglio 2023sintesi."</f>
        <v>Per le ingegnerie e i fornitori filtrati, sono stati spesi 13 € Euro di tipo LUMP. Questo corrisponde al 0% di quanto è stato allocato nel foglio 2023sintesi.</v>
      </c>
      <c r="B85" s="501"/>
      <c r="C85" s="501"/>
      <c r="D85" s="501"/>
      <c r="E85" s="501"/>
      <c r="F85" s="501"/>
      <c r="G85" s="501"/>
      <c r="H85" s="501"/>
      <c r="I85" s="501"/>
      <c r="J85" s="501"/>
      <c r="K85" s="501"/>
      <c r="L85" s="501"/>
    </row>
    <row r="86" spans="1:12" x14ac:dyDescent="0.25">
      <c r="A86" s="501" t="str">
        <f>"La suddivisione di spesa (actual) aggiornata al " &amp;TEXT(AVANZAMENTO!M1,"gg mmm aaaa")&amp; " è la seguente:
- Esterni veri: " &amp;L5&amp; " €;
- Consociate: " &amp;L6&amp; " €;
- Filiali GD: " &amp;L7&amp; " €;
- Aziende Tob: " &amp;L8&amp; " €;
- Altro: " &amp;L9&amp; " €."</f>
        <v>La suddivisione di spesa (actual) aggiornata al 05 giu 2023 è la seguente:
- Esterni veri: 11 €;
- Consociate: 1 €;
- Filiali GD: 1 €;
- Aziende Tob: 0 €;
- Altro: 0 €.</v>
      </c>
      <c r="B86" s="501"/>
      <c r="C86" s="501"/>
      <c r="D86" s="501"/>
      <c r="E86" s="501"/>
      <c r="F86" s="501"/>
      <c r="G86" s="501"/>
      <c r="H86" s="501"/>
      <c r="I86" s="501"/>
      <c r="J86" s="501"/>
      <c r="K86" s="501"/>
      <c r="L86" s="501"/>
    </row>
    <row r="87" spans="1:12" x14ac:dyDescent="0.25">
      <c r="A87" s="501"/>
      <c r="B87" s="501"/>
      <c r="C87" s="501"/>
      <c r="D87" s="501"/>
      <c r="E87" s="501"/>
      <c r="F87" s="501"/>
      <c r="G87" s="501"/>
      <c r="H87" s="501"/>
      <c r="I87" s="501"/>
      <c r="J87" s="501"/>
      <c r="K87" s="501"/>
      <c r="L87" s="501"/>
    </row>
    <row r="88" spans="1:12" x14ac:dyDescent="0.25">
      <c r="A88" s="501" t="str">
        <f>"Per le ingegnerie e i fornitori filtrati, sono stati spesi " &amp;ROUND(J10,0) &amp;" ORE. Questo corrisponde al " &amp;IFERROR(ROUND(A81*100,1),"NA")&amp; "% di quanto è stato allocato nel foglio 2023sintesi."</f>
        <v>Per le ingegnerie e i fornitori filtrati, sono stati spesi 447 ORE. Questo corrisponde al 3,2% di quanto è stato allocato nel foglio 2023sintesi.</v>
      </c>
      <c r="B88" s="501"/>
      <c r="C88" s="501"/>
      <c r="D88" s="501"/>
      <c r="E88" s="501"/>
      <c r="F88" s="501"/>
      <c r="G88" s="501"/>
      <c r="H88" s="501"/>
      <c r="I88" s="501"/>
      <c r="J88" s="501"/>
      <c r="K88" s="501"/>
      <c r="L88" s="501"/>
    </row>
    <row r="89" spans="1:12" x14ac:dyDescent="0.25">
      <c r="A89" s="501" t="str">
        <f>"La suddivisione di spesa (actual) aggiornata al " &amp;TEXT(AVANZAMENTO!M1,"gg mmm aaaa")&amp; " è la seguente:
- Esterni veri: " &amp;J5&amp; " ore;
- Consociate: " &amp;J6&amp; " ore;
- Filiali GD: " &amp;J7&amp; " ore;
- Aziende Tob: " &amp;J8&amp; " ore;
- Altro: " &amp;J9&amp; " ore."</f>
        <v>La suddivisione di spesa (actual) aggiornata al 05 giu 2023 è la seguente:
- Esterni veri: 446,628571428571 ore;
- Consociate: 0 ore;
- Filiali GD: 0 ore;
- Aziende Tob: 0 ore;
- Altro: 0 ore.</v>
      </c>
      <c r="B89" s="501"/>
      <c r="C89" s="501"/>
      <c r="D89" s="501"/>
      <c r="E89" s="501"/>
      <c r="F89" s="501"/>
      <c r="G89" s="501"/>
      <c r="H89" s="501"/>
      <c r="I89" s="501"/>
      <c r="J89" s="501"/>
      <c r="K89" s="501"/>
      <c r="L89" s="501"/>
    </row>
  </sheetData>
  <sheetProtection sheet="1" objects="1" scenarios="1"/>
  <mergeCells count="5">
    <mergeCell ref="B1:E1"/>
    <mergeCell ref="F1:I1"/>
    <mergeCell ref="I3:I4"/>
    <mergeCell ref="J3:M3"/>
    <mergeCell ref="N3:Q3"/>
  </mergeCells>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5B3C4-C5DD-4D1F-A40F-EA81F54D5A97}">
  <sheetPr>
    <tabColor rgb="FF00B0F0"/>
  </sheetPr>
  <dimension ref="A1:B17"/>
  <sheetViews>
    <sheetView tabSelected="1" workbookViewId="0">
      <selection activeCell="B18" sqref="B18"/>
    </sheetView>
  </sheetViews>
  <sheetFormatPr defaultRowHeight="15" x14ac:dyDescent="0.25"/>
  <cols>
    <col min="1" max="1" width="17.28515625" customWidth="1"/>
    <col min="2" max="2" width="16" customWidth="1"/>
  </cols>
  <sheetData>
    <row r="1" spans="1:2" x14ac:dyDescent="0.25">
      <c r="A1" t="s">
        <v>292</v>
      </c>
      <c r="B1" s="521" t="s">
        <v>291</v>
      </c>
    </row>
    <row r="2" spans="1:2" x14ac:dyDescent="0.25">
      <c r="A2" t="s">
        <v>129</v>
      </c>
      <c r="B2" t="s">
        <v>128</v>
      </c>
    </row>
    <row r="3" spans="1:2" x14ac:dyDescent="0.25">
      <c r="A3" t="s">
        <v>147</v>
      </c>
      <c r="B3" t="s">
        <v>146</v>
      </c>
    </row>
    <row r="4" spans="1:2" x14ac:dyDescent="0.25">
      <c r="A4" t="s">
        <v>149</v>
      </c>
      <c r="B4" t="s">
        <v>148</v>
      </c>
    </row>
    <row r="5" spans="1:2" x14ac:dyDescent="0.25">
      <c r="A5" t="s">
        <v>151</v>
      </c>
      <c r="B5" t="s">
        <v>150</v>
      </c>
    </row>
    <row r="6" spans="1:2" x14ac:dyDescent="0.25">
      <c r="A6" t="s">
        <v>153</v>
      </c>
      <c r="B6" t="s">
        <v>152</v>
      </c>
    </row>
    <row r="7" spans="1:2" x14ac:dyDescent="0.25">
      <c r="A7" t="s">
        <v>155</v>
      </c>
      <c r="B7" t="s">
        <v>154</v>
      </c>
    </row>
    <row r="8" spans="1:2" x14ac:dyDescent="0.25">
      <c r="A8" t="s">
        <v>131</v>
      </c>
      <c r="B8" t="s">
        <v>130</v>
      </c>
    </row>
    <row r="9" spans="1:2" x14ac:dyDescent="0.25">
      <c r="A9" t="s">
        <v>133</v>
      </c>
      <c r="B9" t="s">
        <v>132</v>
      </c>
    </row>
    <row r="10" spans="1:2" x14ac:dyDescent="0.25">
      <c r="A10" t="s">
        <v>135</v>
      </c>
      <c r="B10" t="s">
        <v>134</v>
      </c>
    </row>
    <row r="11" spans="1:2" x14ac:dyDescent="0.25">
      <c r="A11" t="s">
        <v>137</v>
      </c>
      <c r="B11" t="s">
        <v>136</v>
      </c>
    </row>
    <row r="12" spans="1:2" x14ac:dyDescent="0.25">
      <c r="A12" t="s">
        <v>139</v>
      </c>
      <c r="B12" t="s">
        <v>138</v>
      </c>
    </row>
    <row r="13" spans="1:2" x14ac:dyDescent="0.25">
      <c r="A13" t="s">
        <v>141</v>
      </c>
      <c r="B13" t="s">
        <v>140</v>
      </c>
    </row>
    <row r="14" spans="1:2" x14ac:dyDescent="0.25">
      <c r="A14" t="s">
        <v>143</v>
      </c>
      <c r="B14" t="s">
        <v>142</v>
      </c>
    </row>
    <row r="15" spans="1:2" x14ac:dyDescent="0.25">
      <c r="A15" t="s">
        <v>145</v>
      </c>
      <c r="B15" t="s">
        <v>144</v>
      </c>
    </row>
    <row r="16" spans="1:2" x14ac:dyDescent="0.25">
      <c r="A16" s="522" t="s">
        <v>293</v>
      </c>
      <c r="B16" s="522" t="s">
        <v>294</v>
      </c>
    </row>
    <row r="17" spans="1:2" x14ac:dyDescent="0.25">
      <c r="A17" s="522" t="s">
        <v>293</v>
      </c>
      <c r="B17" s="522" t="s">
        <v>295</v>
      </c>
    </row>
  </sheetData>
  <phoneticPr fontId="33"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12</vt:i4>
      </vt:variant>
      <vt:variant>
        <vt:lpstr>Intervalli denominati</vt:lpstr>
      </vt:variant>
      <vt:variant>
        <vt:i4>1</vt:i4>
      </vt:variant>
    </vt:vector>
  </HeadingPairs>
  <TitlesOfParts>
    <vt:vector size="13" baseType="lpstr">
      <vt:lpstr>AVANZAMENTO</vt:lpstr>
      <vt:lpstr>Altre Tabelle di dettaglio</vt:lpstr>
      <vt:lpstr>CONSUMI SPACCHETTATI</vt:lpstr>
      <vt:lpstr>lista dati</vt:lpstr>
      <vt:lpstr>BDG 2023</vt:lpstr>
      <vt:lpstr>2023 sintesi </vt:lpstr>
      <vt:lpstr>BUDGET STUDI -  IPOTESI 1</vt:lpstr>
      <vt:lpstr>PREVISIONE A FINIRE</vt:lpstr>
      <vt:lpstr>PREVISIONE SU QUARTER</vt:lpstr>
      <vt:lpstr>REPORTISTICA</vt:lpstr>
      <vt:lpstr>Reportistica per tipologia</vt:lpstr>
      <vt:lpstr>Anagrafica Fornitori</vt:lpstr>
      <vt:lpstr>Lista_Fornitori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Perrino, Francesco</dc:creator>
  <cp:lastModifiedBy>Michele Fosco</cp:lastModifiedBy>
  <dcterms:created xsi:type="dcterms:W3CDTF">2015-06-05T18:17:20Z</dcterms:created>
  <dcterms:modified xsi:type="dcterms:W3CDTF">2023-10-10T07:58:53Z</dcterms:modified>
</cp:coreProperties>
</file>