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iente\Documents\Pós Graduação\Mestrado - Strictu Sensu\Mestrato Fitotecnia Usp 2023\Disciplinas\LCF5900 - Processamento Reproduzível e Aberto de Dados Científicos\"/>
    </mc:Choice>
  </mc:AlternateContent>
  <bookViews>
    <workbookView xWindow="0" yWindow="0" windowWidth="20490" windowHeight="7650" tabRatio="579" activeTab="2"/>
  </bookViews>
  <sheets>
    <sheet name="Custos Implantação" sheetId="8" r:id="rId1"/>
    <sheet name="Custos Manutenção" sheetId="9" r:id="rId2"/>
    <sheet name="Fluxo de Caixa" sheetId="7" r:id="rId3"/>
    <sheet name="FC Payback DESCONTADO" sheetId="11" state="hidden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7" l="1"/>
  <c r="AD6" i="7"/>
  <c r="AC6" i="7"/>
  <c r="AB6" i="7"/>
  <c r="AA6" i="7"/>
  <c r="Z6" i="7"/>
  <c r="W6" i="7"/>
  <c r="V6" i="7"/>
  <c r="U6" i="7"/>
  <c r="T6" i="7"/>
  <c r="S6" i="7"/>
  <c r="P6" i="7"/>
  <c r="O6" i="7"/>
  <c r="N6" i="7"/>
  <c r="M6" i="7"/>
  <c r="L6" i="7"/>
  <c r="J6" i="7"/>
  <c r="I6" i="7"/>
  <c r="H6" i="7"/>
  <c r="G6" i="7"/>
  <c r="F6" i="7"/>
  <c r="E6" i="7"/>
  <c r="BH6" i="9" l="1"/>
  <c r="BH7" i="9"/>
  <c r="BH8" i="9"/>
  <c r="BH9" i="9"/>
  <c r="BH10" i="9"/>
  <c r="BH11" i="9"/>
  <c r="BH12" i="9"/>
  <c r="BH13" i="9"/>
  <c r="BH14" i="9"/>
  <c r="BH15" i="9"/>
  <c r="BH16" i="9"/>
  <c r="BH17" i="9"/>
  <c r="BH18" i="9"/>
  <c r="BH19" i="9"/>
  <c r="BH5" i="9"/>
  <c r="BG19" i="9" l="1"/>
  <c r="BE19" i="9"/>
  <c r="BC19" i="9"/>
  <c r="BA19" i="9"/>
  <c r="AY19" i="9"/>
  <c r="BG18" i="9"/>
  <c r="BG17" i="9"/>
  <c r="BE18" i="9"/>
  <c r="BE17" i="9"/>
  <c r="BC18" i="9"/>
  <c r="BC17" i="9"/>
  <c r="BA18" i="9"/>
  <c r="BA17" i="9"/>
  <c r="AY18" i="9"/>
  <c r="AY17" i="9"/>
  <c r="AW17" i="9"/>
  <c r="AW18" i="9"/>
  <c r="AS17" i="9"/>
  <c r="AQ17" i="9"/>
  <c r="AO17" i="9"/>
  <c r="AO19" i="9" s="1"/>
  <c r="AM17" i="9"/>
  <c r="AK17" i="9"/>
  <c r="AI17" i="9"/>
  <c r="AK18" i="9"/>
  <c r="AS18" i="9"/>
  <c r="AQ18" i="9"/>
  <c r="AO18" i="9"/>
  <c r="AM18" i="9"/>
  <c r="AI18" i="9"/>
  <c r="AE18" i="9"/>
  <c r="AC18" i="9"/>
  <c r="AA18" i="9"/>
  <c r="Y18" i="9"/>
  <c r="W18" i="9"/>
  <c r="AE17" i="9"/>
  <c r="AC17" i="9"/>
  <c r="AA17" i="9"/>
  <c r="Y17" i="9"/>
  <c r="W17" i="9"/>
  <c r="W19" i="9" s="1"/>
  <c r="AE8" i="9"/>
  <c r="AM19" i="9" l="1"/>
  <c r="AQ19" i="9"/>
  <c r="Y19" i="9"/>
  <c r="AK19" i="9"/>
  <c r="AC19" i="9"/>
  <c r="AA19" i="9"/>
  <c r="Q18" i="9"/>
  <c r="O18" i="9"/>
  <c r="M18" i="9"/>
  <c r="K18" i="9"/>
  <c r="I18" i="9"/>
  <c r="B15" i="7" l="1"/>
  <c r="CH8" i="11" l="1"/>
  <c r="CG8" i="11"/>
  <c r="CF8" i="11"/>
  <c r="CE8" i="11"/>
  <c r="CD8" i="11"/>
  <c r="CC8" i="11"/>
  <c r="CB8" i="11"/>
  <c r="CA8" i="11"/>
  <c r="BZ8" i="11"/>
  <c r="BY8" i="11"/>
  <c r="BX8" i="11"/>
  <c r="BW8" i="11"/>
  <c r="BV8" i="11"/>
  <c r="BU8" i="11"/>
  <c r="BT8" i="11"/>
  <c r="BS8" i="11"/>
  <c r="BR8" i="11"/>
  <c r="BQ8" i="11"/>
  <c r="BP8" i="11"/>
  <c r="BO8" i="11"/>
  <c r="BN8" i="11"/>
  <c r="BM8" i="11"/>
  <c r="BL8" i="11"/>
  <c r="BK8" i="11"/>
  <c r="BJ8" i="11"/>
  <c r="BI8" i="11"/>
  <c r="BH8" i="11"/>
  <c r="BG8" i="11"/>
  <c r="AF8" i="11"/>
  <c r="AE8" i="11"/>
  <c r="BF8" i="11"/>
  <c r="BA8" i="11"/>
  <c r="BB8" i="11"/>
  <c r="BC8" i="11"/>
  <c r="BD8" i="11"/>
  <c r="BE8" i="11"/>
  <c r="AZ8" i="11"/>
  <c r="AY8" i="11"/>
  <c r="AT8" i="11"/>
  <c r="AU8" i="11"/>
  <c r="AV8" i="11"/>
  <c r="AW8" i="11"/>
  <c r="AX8" i="11"/>
  <c r="AS8" i="11"/>
  <c r="AR8" i="11"/>
  <c r="AN8" i="11"/>
  <c r="AO8" i="11"/>
  <c r="AP8" i="11"/>
  <c r="AQ8" i="11"/>
  <c r="AM8" i="11"/>
  <c r="AL8" i="11"/>
  <c r="AJ8" i="11"/>
  <c r="AI8" i="11"/>
  <c r="AH8" i="11"/>
  <c r="AG8" i="11"/>
  <c r="AK8" i="11"/>
  <c r="C33" i="11"/>
  <c r="D33" i="11" s="1"/>
  <c r="C32" i="11"/>
  <c r="D32" i="11" s="1"/>
  <c r="C31" i="11"/>
  <c r="D31" i="11" s="1"/>
  <c r="C30" i="11"/>
  <c r="D30" i="11" s="1"/>
  <c r="B16" i="11"/>
  <c r="B15" i="11"/>
  <c r="AC8" i="11"/>
  <c r="AB8" i="11"/>
  <c r="AA8" i="11"/>
  <c r="Z8" i="11"/>
  <c r="V8" i="11"/>
  <c r="U8" i="11"/>
  <c r="T8" i="11"/>
  <c r="S8" i="11"/>
  <c r="O8" i="11"/>
  <c r="N8" i="11"/>
  <c r="M8" i="11"/>
  <c r="L8" i="11"/>
  <c r="H8" i="11"/>
  <c r="G8" i="11"/>
  <c r="F8" i="11"/>
  <c r="E8" i="11"/>
  <c r="I5" i="11"/>
  <c r="AD5" i="11" l="1"/>
  <c r="P5" i="11"/>
  <c r="W5" i="11"/>
  <c r="B16" i="7"/>
  <c r="G24" i="9" l="1"/>
  <c r="G25" i="9"/>
  <c r="G26" i="9"/>
  <c r="G23" i="9"/>
  <c r="C33" i="7"/>
  <c r="C32" i="7"/>
  <c r="C31" i="7"/>
  <c r="C30" i="7"/>
  <c r="D30" i="7" s="1"/>
  <c r="I5" i="7" l="1"/>
  <c r="H30" i="9"/>
  <c r="H26" i="9"/>
  <c r="H25" i="9"/>
  <c r="H24" i="9"/>
  <c r="H23" i="9"/>
  <c r="AC8" i="7" l="1"/>
  <c r="AB8" i="7"/>
  <c r="AA8" i="7"/>
  <c r="Z8" i="7"/>
  <c r="V8" i="7"/>
  <c r="U8" i="7"/>
  <c r="T8" i="7"/>
  <c r="S8" i="7"/>
  <c r="H8" i="7"/>
  <c r="G8" i="7"/>
  <c r="F8" i="7"/>
  <c r="E8" i="7"/>
  <c r="D31" i="7" l="1"/>
  <c r="D33" i="7"/>
  <c r="D32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8" i="8"/>
  <c r="H4" i="8"/>
  <c r="G29" i="8"/>
  <c r="H29" i="8" s="1"/>
  <c r="G27" i="8"/>
  <c r="H27" i="8" s="1"/>
  <c r="BG7" i="9"/>
  <c r="BG8" i="9"/>
  <c r="BG14" i="9"/>
  <c r="BG16" i="9"/>
  <c r="AW7" i="9"/>
  <c r="AW8" i="9"/>
  <c r="AW9" i="9"/>
  <c r="AW11" i="9"/>
  <c r="AW12" i="9"/>
  <c r="AW13" i="9"/>
  <c r="AW14" i="9"/>
  <c r="AW15" i="9"/>
  <c r="AW16" i="9"/>
  <c r="AW5" i="9"/>
  <c r="AU6" i="9"/>
  <c r="AU7" i="9"/>
  <c r="AU8" i="9"/>
  <c r="AU9" i="9"/>
  <c r="AU11" i="9"/>
  <c r="AU12" i="9"/>
  <c r="AU13" i="9"/>
  <c r="AU14" i="9"/>
  <c r="AU15" i="9"/>
  <c r="AU16" i="9"/>
  <c r="AU17" i="9"/>
  <c r="AU18" i="9"/>
  <c r="AU5" i="9"/>
  <c r="AS7" i="9"/>
  <c r="AS8" i="9"/>
  <c r="AS14" i="9"/>
  <c r="AI7" i="9"/>
  <c r="AI8" i="9"/>
  <c r="AI9" i="9"/>
  <c r="AI11" i="9"/>
  <c r="AI12" i="9"/>
  <c r="AI13" i="9"/>
  <c r="AI14" i="9"/>
  <c r="AI15" i="9"/>
  <c r="AI16" i="9"/>
  <c r="AI5" i="9"/>
  <c r="AG6" i="9"/>
  <c r="AG7" i="9"/>
  <c r="AG9" i="9"/>
  <c r="AG11" i="9"/>
  <c r="AG12" i="9"/>
  <c r="AG13" i="9"/>
  <c r="AG14" i="9"/>
  <c r="AG15" i="9"/>
  <c r="AG16" i="9"/>
  <c r="AG17" i="9"/>
  <c r="AG18" i="9"/>
  <c r="Q6" i="9"/>
  <c r="Q7" i="9"/>
  <c r="Q8" i="9"/>
  <c r="Q9" i="9"/>
  <c r="Q10" i="9"/>
  <c r="Q11" i="9"/>
  <c r="Q12" i="9"/>
  <c r="Q13" i="9"/>
  <c r="Q14" i="9"/>
  <c r="Q15" i="9"/>
  <c r="Q16" i="9"/>
  <c r="Q5" i="9"/>
  <c r="G7" i="9"/>
  <c r="G8" i="9"/>
  <c r="G9" i="9"/>
  <c r="G11" i="9"/>
  <c r="G12" i="9"/>
  <c r="G13" i="9"/>
  <c r="G14" i="9"/>
  <c r="G15" i="9"/>
  <c r="G16" i="9"/>
  <c r="G17" i="9"/>
  <c r="K17" i="9" s="1"/>
  <c r="G18" i="9"/>
  <c r="E6" i="9"/>
  <c r="E7" i="9"/>
  <c r="E9" i="9"/>
  <c r="E11" i="9"/>
  <c r="E12" i="9"/>
  <c r="E13" i="9"/>
  <c r="E14" i="9"/>
  <c r="E15" i="9"/>
  <c r="E16" i="9"/>
  <c r="E17" i="9"/>
  <c r="I17" i="9" s="1"/>
  <c r="E18" i="9"/>
  <c r="U17" i="9"/>
  <c r="S17" i="9"/>
  <c r="S18" i="9"/>
  <c r="AV10" i="9"/>
  <c r="AW10" i="9" s="1"/>
  <c r="AT10" i="9"/>
  <c r="AU10" i="9" s="1"/>
  <c r="AV6" i="9"/>
  <c r="AW6" i="9" s="1"/>
  <c r="AH10" i="9"/>
  <c r="AI10" i="9" s="1"/>
  <c r="AF10" i="9"/>
  <c r="AG10" i="9" s="1"/>
  <c r="AF8" i="9"/>
  <c r="AG8" i="9" s="1"/>
  <c r="AH6" i="9"/>
  <c r="AI6" i="9" s="1"/>
  <c r="AF5" i="9"/>
  <c r="AG5" i="9" s="1"/>
  <c r="AS19" i="9" l="1"/>
  <c r="O17" i="9"/>
  <c r="O19" i="9" s="1"/>
  <c r="K19" i="9"/>
  <c r="M17" i="9"/>
  <c r="I19" i="9"/>
  <c r="I4" i="8"/>
  <c r="H30" i="8"/>
  <c r="J4" i="8"/>
  <c r="AD5" i="7"/>
  <c r="P5" i="7"/>
  <c r="W5" i="7"/>
  <c r="AI19" i="9"/>
  <c r="AD6" i="11"/>
  <c r="AU19" i="9"/>
  <c r="X6" i="11" s="1"/>
  <c r="X8" i="11" s="1"/>
  <c r="AG19" i="9"/>
  <c r="Q6" i="7" s="1"/>
  <c r="AW19" i="9"/>
  <c r="E33" i="11" l="1"/>
  <c r="H33" i="11" s="1"/>
  <c r="AD7" i="11" s="1"/>
  <c r="AD8" i="11" s="1"/>
  <c r="M19" i="9"/>
  <c r="Q17" i="9"/>
  <c r="Y6" i="7"/>
  <c r="Y8" i="7" s="1"/>
  <c r="Y6" i="11"/>
  <c r="Y8" i="11" s="1"/>
  <c r="E32" i="7"/>
  <c r="H32" i="7" s="1"/>
  <c r="W7" i="7" s="1"/>
  <c r="W8" i="7" s="1"/>
  <c r="W6" i="11"/>
  <c r="R6" i="7"/>
  <c r="R8" i="7" s="1"/>
  <c r="R6" i="11"/>
  <c r="R8" i="11" s="1"/>
  <c r="I5" i="8"/>
  <c r="Q6" i="11"/>
  <c r="Q8" i="11" s="1"/>
  <c r="X6" i="7"/>
  <c r="X8" i="7" s="1"/>
  <c r="J5" i="8"/>
  <c r="AE5" i="7"/>
  <c r="Q8" i="7"/>
  <c r="F4" i="8"/>
  <c r="K4" i="8" s="1"/>
  <c r="E32" i="11" l="1"/>
  <c r="H32" i="11" s="1"/>
  <c r="W7" i="11" s="1"/>
  <c r="W8" i="11" s="1"/>
  <c r="Q19" i="9"/>
  <c r="BI17" i="9"/>
  <c r="E33" i="7"/>
  <c r="H33" i="7" s="1"/>
  <c r="AD7" i="7" s="1"/>
  <c r="AD8" i="7" s="1"/>
  <c r="F7" i="8"/>
  <c r="U18" i="9" l="1"/>
  <c r="AE16" i="9"/>
  <c r="U16" i="9"/>
  <c r="S16" i="9"/>
  <c r="U15" i="9"/>
  <c r="S15" i="9"/>
  <c r="BI15" i="9" s="1"/>
  <c r="AE14" i="9"/>
  <c r="U14" i="9"/>
  <c r="S14" i="9"/>
  <c r="U13" i="9"/>
  <c r="S13" i="9"/>
  <c r="U12" i="9"/>
  <c r="S12" i="9"/>
  <c r="U11" i="9"/>
  <c r="S11" i="9"/>
  <c r="T10" i="9"/>
  <c r="U10" i="9" s="1"/>
  <c r="R10" i="9"/>
  <c r="S10" i="9" s="1"/>
  <c r="F10" i="9"/>
  <c r="G10" i="9" s="1"/>
  <c r="D10" i="9"/>
  <c r="E10" i="9" s="1"/>
  <c r="U9" i="9"/>
  <c r="S9" i="9"/>
  <c r="U8" i="9"/>
  <c r="S8" i="9"/>
  <c r="D8" i="9"/>
  <c r="E8" i="9" s="1"/>
  <c r="BI8" i="9" s="1"/>
  <c r="AE7" i="9"/>
  <c r="U7" i="9"/>
  <c r="S7" i="9"/>
  <c r="T6" i="9"/>
  <c r="U6" i="9" s="1"/>
  <c r="S6" i="9"/>
  <c r="F6" i="9"/>
  <c r="G6" i="9" s="1"/>
  <c r="U5" i="9"/>
  <c r="S5" i="9"/>
  <c r="G5" i="9"/>
  <c r="D5" i="9"/>
  <c r="E5" i="9" s="1"/>
  <c r="E29" i="8"/>
  <c r="F29" i="8" s="1"/>
  <c r="F28" i="8"/>
  <c r="E27" i="8"/>
  <c r="F27" i="8" s="1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6" i="8"/>
  <c r="F5" i="8"/>
  <c r="O8" i="7"/>
  <c r="N8" i="7"/>
  <c r="M8" i="7"/>
  <c r="L8" i="7"/>
  <c r="AE19" i="9" l="1"/>
  <c r="BI11" i="9"/>
  <c r="BI9" i="9"/>
  <c r="BI6" i="9"/>
  <c r="BI10" i="9"/>
  <c r="BI12" i="9"/>
  <c r="BI13" i="9"/>
  <c r="BI16" i="9"/>
  <c r="BI7" i="9"/>
  <c r="BI5" i="9"/>
  <c r="BI14" i="9"/>
  <c r="BI18" i="9"/>
  <c r="F33" i="8"/>
  <c r="F30" i="8"/>
  <c r="B4" i="11" s="1"/>
  <c r="E19" i="9"/>
  <c r="C6" i="11" s="1"/>
  <c r="C8" i="11" s="1"/>
  <c r="P6" i="11"/>
  <c r="G19" i="9"/>
  <c r="S19" i="9"/>
  <c r="U19" i="9"/>
  <c r="J8" i="7" l="1"/>
  <c r="J6" i="11"/>
  <c r="J8" i="11" s="1"/>
  <c r="D6" i="7"/>
  <c r="D8" i="7" s="1"/>
  <c r="D6" i="11"/>
  <c r="D8" i="11" s="1"/>
  <c r="K6" i="7"/>
  <c r="K8" i="7" s="1"/>
  <c r="K6" i="11"/>
  <c r="K8" i="11" s="1"/>
  <c r="E31" i="11"/>
  <c r="H31" i="11" s="1"/>
  <c r="P7" i="11" s="1"/>
  <c r="P8" i="11" s="1"/>
  <c r="B8" i="11"/>
  <c r="B10" i="11"/>
  <c r="B11" i="11"/>
  <c r="F32" i="8"/>
  <c r="I6" i="8"/>
  <c r="J6" i="8"/>
  <c r="K6" i="8"/>
  <c r="B4" i="7"/>
  <c r="B11" i="7" s="1"/>
  <c r="C6" i="7"/>
  <c r="B9" i="11" l="1"/>
  <c r="C9" i="11" s="1"/>
  <c r="B8" i="7"/>
  <c r="B9" i="7" s="1"/>
  <c r="B10" i="7"/>
  <c r="C8" i="7"/>
  <c r="E31" i="7"/>
  <c r="H31" i="7" s="1"/>
  <c r="I6" i="11"/>
  <c r="E30" i="11" s="1"/>
  <c r="H30" i="11" s="1"/>
  <c r="I7" i="11" s="1"/>
  <c r="I8" i="11" s="1"/>
  <c r="B17" i="11" s="1"/>
  <c r="B18" i="11" l="1"/>
  <c r="C10" i="11"/>
  <c r="C11" i="11" s="1"/>
  <c r="D9" i="11"/>
  <c r="C9" i="7"/>
  <c r="C10" i="7" s="1"/>
  <c r="C11" i="7" s="1"/>
  <c r="P7" i="7"/>
  <c r="P8" i="7" s="1"/>
  <c r="AE6" i="7"/>
  <c r="AF6" i="7" s="1"/>
  <c r="AG6" i="7" s="1"/>
  <c r="AH6" i="7" s="1"/>
  <c r="D9" i="7" l="1"/>
  <c r="D10" i="7" s="1"/>
  <c r="D11" i="7" s="1"/>
  <c r="D10" i="11"/>
  <c r="D11" i="11" s="1"/>
  <c r="E9" i="11"/>
  <c r="E30" i="7"/>
  <c r="H30" i="7" s="1"/>
  <c r="I7" i="7" s="1"/>
  <c r="AE7" i="7" s="1"/>
  <c r="B21" i="9"/>
  <c r="BJ17" i="9"/>
  <c r="BK17" i="9" s="1"/>
  <c r="BJ12" i="9"/>
  <c r="BJ6" i="9"/>
  <c r="BJ15" i="9"/>
  <c r="BK15" i="9" s="1"/>
  <c r="BJ11" i="9"/>
  <c r="BJ8" i="9"/>
  <c r="BJ10" i="9"/>
  <c r="BJ9" i="9"/>
  <c r="BJ14" i="9"/>
  <c r="BK14" i="9" s="1"/>
  <c r="BJ16" i="9"/>
  <c r="BK16" i="9" s="1"/>
  <c r="BJ7" i="9"/>
  <c r="BJ18" i="9"/>
  <c r="BK18" i="9" s="1"/>
  <c r="BJ13" i="9"/>
  <c r="BJ5" i="9"/>
  <c r="E9" i="7" l="1"/>
  <c r="E10" i="7" s="1"/>
  <c r="E11" i="7" s="1"/>
  <c r="E10" i="11"/>
  <c r="E11" i="11" s="1"/>
  <c r="F9" i="11"/>
  <c r="I8" i="7"/>
  <c r="B18" i="7" s="1"/>
  <c r="BK5" i="9"/>
  <c r="BJ19" i="9"/>
  <c r="BK11" i="9"/>
  <c r="BK7" i="9"/>
  <c r="BK9" i="9"/>
  <c r="F9" i="7" l="1"/>
  <c r="F10" i="7" s="1"/>
  <c r="F11" i="7" s="1"/>
  <c r="F10" i="11"/>
  <c r="F11" i="11" s="1"/>
  <c r="G9" i="11"/>
  <c r="G9" i="7"/>
  <c r="G10" i="7" s="1"/>
  <c r="BK19" i="9"/>
  <c r="G10" i="11" l="1"/>
  <c r="G11" i="11" s="1"/>
  <c r="H9" i="11"/>
  <c r="G11" i="7"/>
  <c r="H9" i="7"/>
  <c r="H10" i="7" s="1"/>
  <c r="H10" i="11" l="1"/>
  <c r="H11" i="11" s="1"/>
  <c r="I9" i="11"/>
  <c r="H11" i="7"/>
  <c r="I9" i="7"/>
  <c r="I10" i="7" s="1"/>
  <c r="I10" i="11" l="1"/>
  <c r="I11" i="11" s="1"/>
  <c r="J9" i="11"/>
  <c r="I11" i="7"/>
  <c r="J9" i="7"/>
  <c r="J10" i="7" s="1"/>
  <c r="J10" i="11" l="1"/>
  <c r="J11" i="11" s="1"/>
  <c r="K9" i="11"/>
  <c r="J11" i="7"/>
  <c r="K9" i="7"/>
  <c r="K10" i="7" s="1"/>
  <c r="K10" i="11" l="1"/>
  <c r="K11" i="11" s="1"/>
  <c r="L9" i="11"/>
  <c r="K11" i="7"/>
  <c r="L9" i="7"/>
  <c r="L10" i="7" s="1"/>
  <c r="L10" i="11" l="1"/>
  <c r="L11" i="11" s="1"/>
  <c r="M9" i="11"/>
  <c r="L11" i="7"/>
  <c r="M9" i="7"/>
  <c r="M10" i="7" s="1"/>
  <c r="M10" i="11" l="1"/>
  <c r="M11" i="11" s="1"/>
  <c r="N9" i="11"/>
  <c r="M11" i="7"/>
  <c r="N9" i="7"/>
  <c r="N10" i="7" s="1"/>
  <c r="N10" i="11" l="1"/>
  <c r="N11" i="11" s="1"/>
  <c r="O9" i="11"/>
  <c r="N11" i="7"/>
  <c r="O9" i="7"/>
  <c r="O10" i="7" s="1"/>
  <c r="O10" i="11" l="1"/>
  <c r="O11" i="11" s="1"/>
  <c r="P9" i="11"/>
  <c r="O11" i="7"/>
  <c r="P9" i="7"/>
  <c r="P10" i="7" s="1"/>
  <c r="P10" i="11" l="1"/>
  <c r="P11" i="11" s="1"/>
  <c r="Q9" i="11"/>
  <c r="P11" i="7"/>
  <c r="Q9" i="7"/>
  <c r="Q10" i="7" s="1"/>
  <c r="Q10" i="11" l="1"/>
  <c r="Q11" i="11" s="1"/>
  <c r="R9" i="11"/>
  <c r="Q11" i="7"/>
  <c r="R9" i="7"/>
  <c r="R10" i="7" s="1"/>
  <c r="R10" i="11" l="1"/>
  <c r="R11" i="11" s="1"/>
  <c r="S9" i="11"/>
  <c r="R11" i="7"/>
  <c r="S9" i="7"/>
  <c r="S10" i="7" s="1"/>
  <c r="S10" i="11" l="1"/>
  <c r="S11" i="11" s="1"/>
  <c r="T9" i="11"/>
  <c r="S11" i="7"/>
  <c r="T9" i="7"/>
  <c r="T10" i="7" s="1"/>
  <c r="T10" i="11" l="1"/>
  <c r="T11" i="11" s="1"/>
  <c r="U9" i="11"/>
  <c r="T11" i="7"/>
  <c r="U9" i="7"/>
  <c r="U10" i="7" s="1"/>
  <c r="U10" i="11" l="1"/>
  <c r="U11" i="11" s="1"/>
  <c r="V9" i="11"/>
  <c r="U11" i="7"/>
  <c r="V9" i="7"/>
  <c r="V10" i="7" s="1"/>
  <c r="V10" i="11" l="1"/>
  <c r="V11" i="11" s="1"/>
  <c r="W9" i="11"/>
  <c r="V11" i="7"/>
  <c r="W9" i="7"/>
  <c r="W10" i="7" s="1"/>
  <c r="W10" i="11" l="1"/>
  <c r="W11" i="11" s="1"/>
  <c r="X9" i="11"/>
  <c r="B19" i="11"/>
  <c r="W11" i="7"/>
  <c r="B19" i="7"/>
  <c r="X9" i="7"/>
  <c r="X10" i="7" s="1"/>
  <c r="X10" i="11" l="1"/>
  <c r="X11" i="11" s="1"/>
  <c r="Y9" i="11"/>
  <c r="X11" i="7"/>
  <c r="Y9" i="7"/>
  <c r="Y10" i="7" s="1"/>
  <c r="Y10" i="11" l="1"/>
  <c r="Y11" i="11" s="1"/>
  <c r="Z9" i="11"/>
  <c r="Y11" i="7"/>
  <c r="Z9" i="7"/>
  <c r="Z10" i="7" s="1"/>
  <c r="Z10" i="11" l="1"/>
  <c r="Z11" i="11" s="1"/>
  <c r="AA9" i="11"/>
  <c r="Z11" i="7"/>
  <c r="AA9" i="7"/>
  <c r="AA10" i="7" s="1"/>
  <c r="AA10" i="11" l="1"/>
  <c r="AA11" i="11" s="1"/>
  <c r="AB9" i="11"/>
  <c r="AA11" i="7"/>
  <c r="AB9" i="7"/>
  <c r="AB10" i="7" s="1"/>
  <c r="AB10" i="11" l="1"/>
  <c r="AB11" i="11" s="1"/>
  <c r="AC9" i="11"/>
  <c r="AB11" i="7"/>
  <c r="AC9" i="7"/>
  <c r="AC10" i="7" s="1"/>
  <c r="AC10" i="11" l="1"/>
  <c r="AC11" i="11" s="1"/>
  <c r="AD9" i="11"/>
  <c r="AC11" i="7"/>
  <c r="AD9" i="7"/>
  <c r="AD10" i="7" s="1"/>
  <c r="AD10" i="11" l="1"/>
  <c r="AD11" i="11" s="1"/>
  <c r="AE9" i="11"/>
  <c r="AD11" i="7"/>
  <c r="AF9" i="11" l="1"/>
  <c r="AE10" i="11"/>
  <c r="AE11" i="11" s="1"/>
  <c r="AG9" i="11" l="1"/>
  <c r="AF10" i="11"/>
  <c r="AF11" i="11" s="1"/>
  <c r="AG10" i="11" l="1"/>
  <c r="AG11" i="11" s="1"/>
  <c r="AH9" i="11"/>
  <c r="AH10" i="11" l="1"/>
  <c r="AH11" i="11" s="1"/>
  <c r="AI9" i="11"/>
  <c r="AJ9" i="11" l="1"/>
  <c r="AI10" i="11"/>
  <c r="AI11" i="11" s="1"/>
  <c r="AJ10" i="11" l="1"/>
  <c r="AJ11" i="11" s="1"/>
  <c r="AK9" i="11"/>
  <c r="AL9" i="11" l="1"/>
  <c r="AK10" i="11"/>
  <c r="AK11" i="11" s="1"/>
  <c r="AM9" i="11" l="1"/>
  <c r="AL10" i="11"/>
  <c r="AL11" i="11" s="1"/>
  <c r="AM10" i="11" l="1"/>
  <c r="AM11" i="11" s="1"/>
  <c r="AN9" i="11"/>
  <c r="AO9" i="11" l="1"/>
  <c r="AN10" i="11"/>
  <c r="AN11" i="11" s="1"/>
  <c r="AP9" i="11" l="1"/>
  <c r="AO10" i="11"/>
  <c r="AO11" i="11" s="1"/>
  <c r="AQ9" i="11" l="1"/>
  <c r="AP10" i="11"/>
  <c r="AP11" i="11" s="1"/>
  <c r="AR9" i="11" l="1"/>
  <c r="AQ10" i="11"/>
  <c r="AQ11" i="11" s="1"/>
  <c r="AS9" i="11" l="1"/>
  <c r="AR10" i="11"/>
  <c r="AR11" i="11" s="1"/>
  <c r="AT9" i="11" l="1"/>
  <c r="AS10" i="11"/>
  <c r="AS11" i="11" s="1"/>
  <c r="AU9" i="11" l="1"/>
  <c r="AT10" i="11"/>
  <c r="AT11" i="11" s="1"/>
  <c r="AV9" i="11" l="1"/>
  <c r="AU10" i="11"/>
  <c r="AU11" i="11" s="1"/>
  <c r="AW9" i="11" l="1"/>
  <c r="AV10" i="11"/>
  <c r="AV11" i="11" s="1"/>
  <c r="AW10" i="11" l="1"/>
  <c r="AW11" i="11" s="1"/>
  <c r="AX9" i="11"/>
  <c r="AY9" i="11" l="1"/>
  <c r="AX10" i="11"/>
  <c r="AX11" i="11" s="1"/>
  <c r="AZ9" i="11" l="1"/>
  <c r="AY10" i="11"/>
  <c r="AY11" i="11" s="1"/>
  <c r="BA9" i="11" l="1"/>
  <c r="AZ10" i="11"/>
  <c r="AZ11" i="11" s="1"/>
  <c r="BB9" i="11" l="1"/>
  <c r="BA10" i="11"/>
  <c r="BA11" i="11" s="1"/>
  <c r="BC9" i="11" l="1"/>
  <c r="BB10" i="11"/>
  <c r="BB11" i="11" s="1"/>
  <c r="BD9" i="11" l="1"/>
  <c r="BC10" i="11"/>
  <c r="BC11" i="11" s="1"/>
  <c r="BE9" i="11" l="1"/>
  <c r="BD10" i="11"/>
  <c r="BD11" i="11" s="1"/>
  <c r="BF9" i="11" l="1"/>
  <c r="BE10" i="11"/>
  <c r="BE11" i="11" s="1"/>
  <c r="BF10" i="11" l="1"/>
  <c r="BF11" i="11" s="1"/>
  <c r="BG9" i="11"/>
  <c r="BH9" i="11" l="1"/>
  <c r="BG10" i="11"/>
  <c r="BG11" i="11" s="1"/>
  <c r="BI9" i="11" l="1"/>
  <c r="BH10" i="11"/>
  <c r="BH11" i="11" s="1"/>
  <c r="BJ9" i="11" l="1"/>
  <c r="BI10" i="11"/>
  <c r="BI11" i="11" s="1"/>
  <c r="BK9" i="11" l="1"/>
  <c r="BJ10" i="11"/>
  <c r="BJ11" i="11" s="1"/>
  <c r="BL9" i="11" l="1"/>
  <c r="BK10" i="11"/>
  <c r="BK11" i="11" s="1"/>
  <c r="BM9" i="11" l="1"/>
  <c r="BL10" i="11"/>
  <c r="BL11" i="11" s="1"/>
  <c r="BM10" i="11" l="1"/>
  <c r="BM11" i="11" s="1"/>
  <c r="BN9" i="11"/>
  <c r="BO9" i="11" l="1"/>
  <c r="BN10" i="11"/>
  <c r="BN11" i="11" s="1"/>
  <c r="BP9" i="11" l="1"/>
  <c r="BO10" i="11"/>
  <c r="BO11" i="11" s="1"/>
  <c r="BP10" i="11" l="1"/>
  <c r="BP11" i="11" s="1"/>
  <c r="BQ9" i="11"/>
  <c r="BR9" i="11" l="1"/>
  <c r="BQ10" i="11"/>
  <c r="BQ11" i="11" s="1"/>
  <c r="BS9" i="11" l="1"/>
  <c r="BR10" i="11"/>
  <c r="BR11" i="11" s="1"/>
  <c r="BT9" i="11" l="1"/>
  <c r="BS10" i="11"/>
  <c r="BS11" i="11" s="1"/>
  <c r="BU9" i="11" l="1"/>
  <c r="BT10" i="11"/>
  <c r="BT11" i="11" s="1"/>
  <c r="BV9" i="11" l="1"/>
  <c r="BU10" i="11"/>
  <c r="BU11" i="11" s="1"/>
  <c r="BW9" i="11" l="1"/>
  <c r="BV10" i="11"/>
  <c r="BV11" i="11" s="1"/>
  <c r="BX9" i="11" l="1"/>
  <c r="BW10" i="11"/>
  <c r="BW11" i="11" s="1"/>
  <c r="BY9" i="11" l="1"/>
  <c r="BX10" i="11"/>
  <c r="BX11" i="11" s="1"/>
  <c r="BZ9" i="11" l="1"/>
  <c r="BY10" i="11"/>
  <c r="BY11" i="11" s="1"/>
  <c r="BZ10" i="11" l="1"/>
  <c r="BZ11" i="11" s="1"/>
  <c r="CA9" i="11"/>
  <c r="CB9" i="11" l="1"/>
  <c r="CA10" i="11"/>
  <c r="CA11" i="11" s="1"/>
  <c r="CC9" i="11" l="1"/>
  <c r="CB10" i="11"/>
  <c r="CB11" i="11" s="1"/>
  <c r="CD9" i="11" l="1"/>
  <c r="CC10" i="11"/>
  <c r="CC11" i="11" s="1"/>
  <c r="CE9" i="11" l="1"/>
  <c r="CD10" i="11"/>
  <c r="CD11" i="11" s="1"/>
  <c r="CF9" i="11" l="1"/>
  <c r="CE10" i="11"/>
  <c r="CE11" i="11" s="1"/>
  <c r="CG9" i="11" l="1"/>
  <c r="CF10" i="11"/>
  <c r="CF11" i="11" s="1"/>
  <c r="CH9" i="11" l="1"/>
  <c r="CH10" i="11" s="1"/>
  <c r="CG10" i="11"/>
  <c r="CG11" i="11" s="1"/>
  <c r="CH11" i="11" l="1"/>
</calcChain>
</file>

<file path=xl/comments1.xml><?xml version="1.0" encoding="utf-8"?>
<comments xmlns="http://schemas.openxmlformats.org/spreadsheetml/2006/main">
  <authors>
    <author>Cliente</author>
  </authors>
  <commentList>
    <comment ref="B21" authorId="0" shapeId="0">
      <text>
        <r>
          <rPr>
            <b/>
            <sz val="9"/>
            <color indexed="81"/>
            <rFont val="Segoe UI"/>
            <charset val="1"/>
          </rPr>
          <t>28 anos
64 hectres</t>
        </r>
      </text>
    </comment>
  </commentList>
</comments>
</file>

<file path=xl/comments2.xml><?xml version="1.0" encoding="utf-8"?>
<comments xmlns="http://schemas.openxmlformats.org/spreadsheetml/2006/main">
  <authors>
    <author>Michele Gonçalves de Almeida Aguiar</author>
  </authors>
  <commentList>
    <comment ref="A6" authorId="0" shapeId="0">
      <text>
        <r>
          <rPr>
            <b/>
            <sz val="9"/>
            <color indexed="81"/>
            <rFont val="Segoe UI"/>
            <family val="2"/>
          </rPr>
          <t>Michele Gonçalves de Almeida Aguiar:</t>
        </r>
        <r>
          <rPr>
            <sz val="9"/>
            <color indexed="81"/>
            <rFont val="Segoe UI"/>
            <family val="2"/>
          </rPr>
          <t xml:space="preserve">
referente aos custos de manutenção + custo de implantação do terceiro ciclo
</t>
        </r>
      </text>
    </comment>
  </commentList>
</comments>
</file>

<file path=xl/comments3.xml><?xml version="1.0" encoding="utf-8"?>
<comments xmlns="http://schemas.openxmlformats.org/spreadsheetml/2006/main">
  <authors>
    <author>Michele Gonçalves de Almeida Aguiar</author>
  </authors>
  <commentList>
    <comment ref="A6" authorId="0" shapeId="0">
      <text>
        <r>
          <rPr>
            <b/>
            <sz val="9"/>
            <color indexed="81"/>
            <rFont val="Segoe UI"/>
            <family val="2"/>
          </rPr>
          <t>Michele Gonçalves de Almeida Aguiar:</t>
        </r>
        <r>
          <rPr>
            <sz val="9"/>
            <color indexed="81"/>
            <rFont val="Segoe UI"/>
            <family val="2"/>
          </rPr>
          <t xml:space="preserve">
referente aos custos de manutenção + custo de implantação do terceiro ciclo
</t>
        </r>
      </text>
    </comment>
  </commentList>
</comments>
</file>

<file path=xl/sharedStrings.xml><?xml version="1.0" encoding="utf-8"?>
<sst xmlns="http://schemas.openxmlformats.org/spreadsheetml/2006/main" count="295" uniqueCount="149">
  <si>
    <t>Unidade</t>
  </si>
  <si>
    <t>Quantidade</t>
  </si>
  <si>
    <t>TOTAL</t>
  </si>
  <si>
    <t>VPL</t>
  </si>
  <si>
    <t>Total</t>
  </si>
  <si>
    <t>Investimento</t>
  </si>
  <si>
    <t>Receita operacional</t>
  </si>
  <si>
    <t>Custos variáveis</t>
  </si>
  <si>
    <t>Fluxo de caixa</t>
  </si>
  <si>
    <t>Fluxo de caixa acumulado</t>
  </si>
  <si>
    <t>TIR</t>
  </si>
  <si>
    <t>CUSTOS DE IMPLANTAÇÃO</t>
  </si>
  <si>
    <t>Operações</t>
  </si>
  <si>
    <t>Custo Unidade</t>
  </si>
  <si>
    <t>Análise de solo</t>
  </si>
  <si>
    <t>Correção do Solo - Calagem</t>
  </si>
  <si>
    <t>Hectare</t>
  </si>
  <si>
    <t>Calcário</t>
  </si>
  <si>
    <t>Kg</t>
  </si>
  <si>
    <t>Controle de formigas - Manual</t>
  </si>
  <si>
    <t>Isca Formicida</t>
  </si>
  <si>
    <t>Limpeza de Área Mecanizada - Dessecação</t>
  </si>
  <si>
    <t>Herbicida Pós-Emergente</t>
  </si>
  <si>
    <t>Ajduvante</t>
  </si>
  <si>
    <t>L</t>
  </si>
  <si>
    <t>Preparo de Solo + Adubação de Base</t>
  </si>
  <si>
    <t>Fertilizante 06-30-06 + Micro</t>
  </si>
  <si>
    <t>Plantio Semimecanizado + 1ª Irrigação</t>
  </si>
  <si>
    <t>Mudas de Eucalipto</t>
  </si>
  <si>
    <t>Hidrogel</t>
  </si>
  <si>
    <t>Cupinicida</t>
  </si>
  <si>
    <t>MAP - Fosfato Monoamônico</t>
  </si>
  <si>
    <t>2ª Irrigação</t>
  </si>
  <si>
    <t>3ª Irrigação</t>
  </si>
  <si>
    <t>1ª Aplicação Herbicida pré-emergente (Monta) área total + Controle químico de formigas</t>
  </si>
  <si>
    <t xml:space="preserve">Inseticida </t>
  </si>
  <si>
    <t xml:space="preserve">Herbicida Graminicida </t>
  </si>
  <si>
    <t>Herbicida Latifolicida</t>
  </si>
  <si>
    <t>Replantio + Irrigação</t>
  </si>
  <si>
    <t>2ª Aplicação de Herbicida pré-emergente (Remonta) faixa de plantio</t>
  </si>
  <si>
    <t>Período - Anual</t>
  </si>
  <si>
    <t>Payback Simples</t>
  </si>
  <si>
    <t>ESTRUTURA FLUXO DE CAIXA</t>
  </si>
  <si>
    <t>DADOS</t>
  </si>
  <si>
    <t>1º CICLO</t>
  </si>
  <si>
    <t>2º CICLO</t>
  </si>
  <si>
    <t>CUSTOS DE MANUTENÇÃO</t>
  </si>
  <si>
    <t>1º ano</t>
  </si>
  <si>
    <t>2º ano</t>
  </si>
  <si>
    <t>8º ano</t>
  </si>
  <si>
    <t>9º ano</t>
  </si>
  <si>
    <t>Custo</t>
  </si>
  <si>
    <t>Barra Protegida - Conceição</t>
  </si>
  <si>
    <t>Controle de Formigas - Mecanizado</t>
  </si>
  <si>
    <t>Adubação de Cobertura</t>
  </si>
  <si>
    <t>Controle de Pragas - Aplicação Aérea</t>
  </si>
  <si>
    <t>Inseticida</t>
  </si>
  <si>
    <t>Adjuvante</t>
  </si>
  <si>
    <t>Colheita + Transporte</t>
  </si>
  <si>
    <t>Talhadia - Desbrota</t>
  </si>
  <si>
    <t>Destoca</t>
  </si>
  <si>
    <t>Imposto Territorial Rural - ITR</t>
  </si>
  <si>
    <t>Ton</t>
  </si>
  <si>
    <t>Compra da Terra</t>
  </si>
  <si>
    <t>Custo Hectare ano - Manutenção</t>
  </si>
  <si>
    <t>Fertilizante 20-06-20</t>
  </si>
  <si>
    <t>R$ mes-¹</t>
  </si>
  <si>
    <t xml:space="preserve">Pró-labore </t>
  </si>
  <si>
    <t>R$ ano-¹</t>
  </si>
  <si>
    <t>3ºCICLO 21</t>
  </si>
  <si>
    <t>4ªCICLO 28</t>
  </si>
  <si>
    <t>1ª Cilo Produtivo</t>
  </si>
  <si>
    <t>3º Ciclo Produtivo</t>
  </si>
  <si>
    <t>SELIC</t>
  </si>
  <si>
    <t>PRÉMIO M RISCO DE MERC</t>
  </si>
  <si>
    <t>RISCO BRASIL EMBI +</t>
  </si>
  <si>
    <t>3º CICLO</t>
  </si>
  <si>
    <t>4º CICLO</t>
  </si>
  <si>
    <t>RECEITAS CORTE MADEIRA</t>
  </si>
  <si>
    <t>15º ano</t>
  </si>
  <si>
    <t>16º ano</t>
  </si>
  <si>
    <t>22º ano</t>
  </si>
  <si>
    <t>23º ano</t>
  </si>
  <si>
    <t>Imposto</t>
  </si>
  <si>
    <t>IMPOSTO SIMPLES NACIONAL</t>
  </si>
  <si>
    <t>RECEITA</t>
  </si>
  <si>
    <t>DESPESA</t>
  </si>
  <si>
    <t>ALIQUOTA</t>
  </si>
  <si>
    <t>DESCONTO</t>
  </si>
  <si>
    <t>Área</t>
  </si>
  <si>
    <t>Aliquota</t>
  </si>
  <si>
    <t>total</t>
  </si>
  <si>
    <t>ITR ANUAL</t>
  </si>
  <si>
    <t>CICLO</t>
  </si>
  <si>
    <t>R$ M³</t>
  </si>
  <si>
    <t>M³ há-¹</t>
  </si>
  <si>
    <t>Custo de Implantação/ hectare (Considerando a compra da terra) 1º Ciclo</t>
  </si>
  <si>
    <t>Custo de Implantação/ hectare 1º Ciclo e 3º Ciclo</t>
  </si>
  <si>
    <t>%</t>
  </si>
  <si>
    <t>Total Operação</t>
  </si>
  <si>
    <t>x</t>
  </si>
  <si>
    <t>1ºCICLO</t>
  </si>
  <si>
    <t>Indicadores</t>
  </si>
  <si>
    <t>Valores</t>
  </si>
  <si>
    <t>TOTAL GERAL</t>
  </si>
  <si>
    <t>CUSTO OPERAÇÕES</t>
  </si>
  <si>
    <t>CUSTO INSUMOS</t>
  </si>
  <si>
    <t>COMPRA TERRA</t>
  </si>
  <si>
    <t>3 CICLO</t>
  </si>
  <si>
    <t>-</t>
  </si>
  <si>
    <t>TMA REAL</t>
  </si>
  <si>
    <t>IPCA</t>
  </si>
  <si>
    <t>TMA NOMINAL</t>
  </si>
  <si>
    <t>TMA real = (1 +TMA nominal) / (1+ IPCA) – 1</t>
  </si>
  <si>
    <t>Payback Descontado</t>
  </si>
  <si>
    <t>Fluxo de caixa descontado</t>
  </si>
  <si>
    <t>Saldo de fluxo descontado</t>
  </si>
  <si>
    <t>5º CICLO</t>
  </si>
  <si>
    <t>6º CICLO</t>
  </si>
  <si>
    <t>7º CICLO</t>
  </si>
  <si>
    <t>8º CICLO</t>
  </si>
  <si>
    <t>9º CICLO</t>
  </si>
  <si>
    <t>10º CICLO</t>
  </si>
  <si>
    <t>11º CICLO</t>
  </si>
  <si>
    <t>12º CICLO</t>
  </si>
  <si>
    <t>NÃO TEM PAYBACK DESCONTADO</t>
  </si>
  <si>
    <t>NÃO TEM</t>
  </si>
  <si>
    <t>DIVISÃO OP</t>
  </si>
  <si>
    <t>ORDEM CUSTO</t>
  </si>
  <si>
    <t>3º ano</t>
  </si>
  <si>
    <t>4º ano</t>
  </si>
  <si>
    <t>5º ano</t>
  </si>
  <si>
    <t>6º ano</t>
  </si>
  <si>
    <t>7º ano</t>
  </si>
  <si>
    <t>10º ano</t>
  </si>
  <si>
    <t>11º ano</t>
  </si>
  <si>
    <t>12º ano</t>
  </si>
  <si>
    <t>13º ano</t>
  </si>
  <si>
    <t>14º ano</t>
  </si>
  <si>
    <t>17º ano</t>
  </si>
  <si>
    <t>18º ano</t>
  </si>
  <si>
    <t>19º ano</t>
  </si>
  <si>
    <t>20º ano</t>
  </si>
  <si>
    <t>21º ano</t>
  </si>
  <si>
    <t>24º ano</t>
  </si>
  <si>
    <t>25º ano</t>
  </si>
  <si>
    <t>26º ano</t>
  </si>
  <si>
    <t>27º ano</t>
  </si>
  <si>
    <t>28º 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</si>
</sst>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"/>
    <numFmt numFmtId="165" formatCode="0.0%"/>
    <numFmt numFmtId="166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indexed="81"/>
      <name val="Segoe UI"/>
      <charset val="1"/>
    </font>
  </fonts>
  <fills count="2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3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0" applyNumberFormat="1"/>
    <xf numFmtId="0" fontId="2" fillId="0" borderId="1" xfId="0" applyFont="1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0" fillId="0" borderId="1" xfId="1" applyNumberFormat="1" applyFont="1" applyBorder="1"/>
    <xf numFmtId="0" fontId="0" fillId="0" borderId="1" xfId="0" applyFill="1" applyBorder="1"/>
    <xf numFmtId="0" fontId="2" fillId="4" borderId="1" xfId="0" applyFont="1" applyFill="1" applyBorder="1" applyAlignment="1">
      <alignment horizontal="right"/>
    </xf>
    <xf numFmtId="0" fontId="2" fillId="4" borderId="1" xfId="0" applyFont="1" applyFill="1" applyBorder="1"/>
    <xf numFmtId="44" fontId="2" fillId="4" borderId="1" xfId="0" applyNumberFormat="1" applyFont="1" applyFill="1" applyBorder="1"/>
    <xf numFmtId="0" fontId="2" fillId="0" borderId="1" xfId="0" applyFont="1" applyBorder="1"/>
    <xf numFmtId="0" fontId="2" fillId="6" borderId="0" xfId="0" applyFont="1" applyFill="1"/>
    <xf numFmtId="44" fontId="2" fillId="6" borderId="0" xfId="0" applyNumberFormat="1" applyFont="1" applyFill="1"/>
    <xf numFmtId="0" fontId="2" fillId="0" borderId="1" xfId="0" applyFont="1" applyFill="1" applyBorder="1"/>
    <xf numFmtId="44" fontId="0" fillId="0" borderId="0" xfId="1" applyFont="1"/>
    <xf numFmtId="0" fontId="0" fillId="0" borderId="1" xfId="0" applyFont="1" applyBorder="1" applyAlignment="1">
      <alignment horizontal="left"/>
    </xf>
    <xf numFmtId="44" fontId="1" fillId="0" borderId="1" xfId="1" applyFont="1" applyBorder="1" applyAlignment="1">
      <alignment horizontal="center"/>
    </xf>
    <xf numFmtId="44" fontId="0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/>
    <xf numFmtId="0" fontId="2" fillId="0" borderId="1" xfId="0" applyFont="1" applyBorder="1" applyAlignment="1">
      <alignment horizontal="center"/>
    </xf>
    <xf numFmtId="10" fontId="0" fillId="0" borderId="1" xfId="4" applyNumberFormat="1" applyFont="1" applyBorder="1"/>
    <xf numFmtId="0" fontId="2" fillId="0" borderId="1" xfId="0" applyFont="1" applyFill="1" applyBorder="1" applyAlignment="1">
      <alignment horizontal="center"/>
    </xf>
    <xf numFmtId="165" fontId="0" fillId="0" borderId="1" xfId="4" applyNumberFormat="1" applyFont="1" applyBorder="1"/>
    <xf numFmtId="0" fontId="2" fillId="13" borderId="0" xfId="0" applyFont="1" applyFill="1"/>
    <xf numFmtId="44" fontId="2" fillId="13" borderId="0" xfId="0" applyNumberFormat="1" applyFont="1" applyFill="1"/>
    <xf numFmtId="0" fontId="0" fillId="3" borderId="1" xfId="0" applyFill="1" applyBorder="1"/>
    <xf numFmtId="0" fontId="0" fillId="8" borderId="1" xfId="0" applyFill="1" applyBorder="1"/>
    <xf numFmtId="0" fontId="0" fillId="14" borderId="1" xfId="0" applyFill="1" applyBorder="1"/>
    <xf numFmtId="0" fontId="0" fillId="4" borderId="1" xfId="0" applyFill="1" applyBorder="1"/>
    <xf numFmtId="0" fontId="0" fillId="5" borderId="1" xfId="0" applyFill="1" applyBorder="1"/>
    <xf numFmtId="44" fontId="0" fillId="5" borderId="1" xfId="1" applyFont="1" applyFill="1" applyBorder="1"/>
    <xf numFmtId="44" fontId="0" fillId="5" borderId="1" xfId="0" applyNumberFormat="1" applyFill="1" applyBorder="1"/>
    <xf numFmtId="0" fontId="0" fillId="15" borderId="1" xfId="0" applyFill="1" applyBorder="1"/>
    <xf numFmtId="0" fontId="0" fillId="6" borderId="1" xfId="0" applyFill="1" applyBorder="1"/>
    <xf numFmtId="0" fontId="0" fillId="13" borderId="1" xfId="0" applyFill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Fill="1" applyBorder="1"/>
    <xf numFmtId="44" fontId="6" fillId="0" borderId="1" xfId="1" applyFont="1" applyFill="1" applyBorder="1"/>
    <xf numFmtId="44" fontId="6" fillId="0" borderId="1" xfId="0" applyNumberFormat="1" applyFont="1" applyFill="1" applyBorder="1"/>
    <xf numFmtId="0" fontId="6" fillId="0" borderId="0" xfId="0" applyFont="1"/>
    <xf numFmtId="0" fontId="5" fillId="0" borderId="1" xfId="0" applyFont="1" applyFill="1" applyBorder="1" applyAlignment="1">
      <alignment horizontal="center"/>
    </xf>
    <xf numFmtId="44" fontId="6" fillId="0" borderId="1" xfId="1" applyFont="1" applyBorder="1"/>
    <xf numFmtId="44" fontId="6" fillId="0" borderId="1" xfId="0" applyNumberFormat="1" applyFont="1" applyBorder="1"/>
    <xf numFmtId="0" fontId="6" fillId="16" borderId="1" xfId="4" applyNumberFormat="1" applyFont="1" applyFill="1" applyBorder="1"/>
    <xf numFmtId="0" fontId="6" fillId="17" borderId="1" xfId="4" applyNumberFormat="1" applyFont="1" applyFill="1" applyBorder="1"/>
    <xf numFmtId="0" fontId="6" fillId="5" borderId="1" xfId="4" applyNumberFormat="1" applyFont="1" applyFill="1" applyBorder="1"/>
    <xf numFmtId="0" fontId="6" fillId="6" borderId="1" xfId="4" applyNumberFormat="1" applyFont="1" applyFill="1" applyBorder="1"/>
    <xf numFmtId="0" fontId="6" fillId="13" borderId="1" xfId="4" applyNumberFormat="1" applyFont="1" applyFill="1" applyBorder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4" applyNumberFormat="1" applyFont="1" applyBorder="1"/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/>
    <xf numFmtId="0" fontId="5" fillId="0" borderId="1" xfId="0" applyFont="1" applyFill="1" applyBorder="1"/>
    <xf numFmtId="0" fontId="6" fillId="0" borderId="1" xfId="0" applyNumberFormat="1" applyFont="1" applyBorder="1" applyAlignment="1">
      <alignment horizontal="center"/>
    </xf>
    <xf numFmtId="0" fontId="5" fillId="6" borderId="0" xfId="0" applyFont="1" applyFill="1"/>
    <xf numFmtId="44" fontId="5" fillId="6" borderId="0" xfId="0" applyNumberFormat="1" applyFont="1" applyFill="1"/>
    <xf numFmtId="44" fontId="6" fillId="0" borderId="0" xfId="0" applyNumberFormat="1" applyFont="1"/>
    <xf numFmtId="0" fontId="5" fillId="0" borderId="0" xfId="0" applyFont="1"/>
    <xf numFmtId="44" fontId="6" fillId="0" borderId="0" xfId="0" applyNumberFormat="1" applyFont="1" applyBorder="1"/>
    <xf numFmtId="165" fontId="6" fillId="0" borderId="0" xfId="4" applyNumberFormat="1" applyFont="1" applyBorder="1"/>
    <xf numFmtId="0" fontId="6" fillId="0" borderId="1" xfId="1" applyNumberFormat="1" applyFont="1" applyBorder="1"/>
    <xf numFmtId="10" fontId="6" fillId="0" borderId="1" xfId="4" applyNumberFormat="1" applyFont="1" applyBorder="1"/>
    <xf numFmtId="0" fontId="0" fillId="0" borderId="0" xfId="0" applyBorder="1"/>
    <xf numFmtId="44" fontId="0" fillId="0" borderId="0" xfId="1" applyFont="1" applyBorder="1"/>
    <xf numFmtId="0" fontId="5" fillId="0" borderId="1" xfId="0" applyFont="1" applyBorder="1"/>
    <xf numFmtId="10" fontId="6" fillId="0" borderId="1" xfId="0" applyNumberFormat="1" applyFont="1" applyBorder="1"/>
    <xf numFmtId="9" fontId="6" fillId="0" borderId="1" xfId="0" applyNumberFormat="1" applyFont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6" fillId="0" borderId="1" xfId="4" applyNumberFormat="1" applyFont="1" applyFill="1" applyBorder="1"/>
    <xf numFmtId="164" fontId="6" fillId="0" borderId="1" xfId="0" applyNumberFormat="1" applyFont="1" applyFill="1" applyBorder="1"/>
    <xf numFmtId="0" fontId="0" fillId="0" borderId="0" xfId="0" applyFill="1"/>
    <xf numFmtId="44" fontId="0" fillId="0" borderId="1" xfId="1" applyFont="1" applyFill="1" applyBorder="1"/>
    <xf numFmtId="44" fontId="0" fillId="0" borderId="1" xfId="0" applyNumberFormat="1" applyFill="1" applyBorder="1"/>
    <xf numFmtId="44" fontId="0" fillId="5" borderId="1" xfId="0" applyNumberFormat="1" applyFont="1" applyFill="1" applyBorder="1" applyAlignment="1">
      <alignment horizontal="center"/>
    </xf>
    <xf numFmtId="0" fontId="0" fillId="5" borderId="1" xfId="1" applyNumberFormat="1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2" fillId="0" borderId="5" xfId="0" applyFont="1" applyFill="1" applyBorder="1"/>
    <xf numFmtId="10" fontId="6" fillId="0" borderId="1" xfId="4" applyNumberFormat="1" applyFont="1" applyFill="1" applyBorder="1"/>
    <xf numFmtId="0" fontId="2" fillId="18" borderId="1" xfId="0" applyFont="1" applyFill="1" applyBorder="1"/>
    <xf numFmtId="44" fontId="0" fillId="18" borderId="1" xfId="1" applyFont="1" applyFill="1" applyBorder="1"/>
    <xf numFmtId="8" fontId="0" fillId="18" borderId="1" xfId="1" applyNumberFormat="1" applyFont="1" applyFill="1" applyBorder="1"/>
    <xf numFmtId="0" fontId="2" fillId="0" borderId="0" xfId="0" applyFont="1" applyFill="1" applyBorder="1"/>
    <xf numFmtId="166" fontId="0" fillId="0" borderId="1" xfId="0" applyNumberFormat="1" applyBorder="1"/>
    <xf numFmtId="9" fontId="0" fillId="0" borderId="0" xfId="0" applyNumberFormat="1"/>
    <xf numFmtId="165" fontId="0" fillId="0" borderId="0" xfId="4" applyNumberFormat="1" applyFo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4" fontId="5" fillId="18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44" fontId="6" fillId="0" borderId="0" xfId="1" applyFont="1" applyBorder="1"/>
    <xf numFmtId="0" fontId="2" fillId="7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5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18" borderId="8" xfId="0" applyFont="1" applyFill="1" applyBorder="1" applyAlignment="1">
      <alignment horizontal="center" wrapText="1"/>
    </xf>
    <xf numFmtId="0" fontId="2" fillId="18" borderId="9" xfId="0" applyFont="1" applyFill="1" applyBorder="1" applyAlignment="1">
      <alignment horizontal="center" wrapText="1"/>
    </xf>
    <xf numFmtId="0" fontId="2" fillId="15" borderId="6" xfId="0" applyFont="1" applyFill="1" applyBorder="1" applyAlignment="1">
      <alignment horizontal="center"/>
    </xf>
    <xf numFmtId="0" fontId="2" fillId="15" borderId="7" xfId="0" applyFont="1" applyFill="1" applyBorder="1" applyAlignment="1">
      <alignment horizontal="center"/>
    </xf>
    <xf numFmtId="0" fontId="2" fillId="19" borderId="7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20" borderId="7" xfId="0" applyFont="1" applyFill="1" applyBorder="1" applyAlignment="1">
      <alignment horizontal="center"/>
    </xf>
    <xf numFmtId="0" fontId="2" fillId="21" borderId="7" xfId="0" applyFont="1" applyFill="1" applyBorder="1" applyAlignment="1">
      <alignment horizontal="center"/>
    </xf>
  </cellXfs>
  <cellStyles count="5">
    <cellStyle name="Moeda" xfId="1" builtinId="4"/>
    <cellStyle name="Moeda 2" xfId="3"/>
    <cellStyle name="Normal" xfId="0" builtinId="0"/>
    <cellStyle name="Porcentagem" xfId="4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22</xdr:row>
      <xdr:rowOff>0</xdr:rowOff>
    </xdr:from>
    <xdr:to>
      <xdr:col>3</xdr:col>
      <xdr:colOff>309562</xdr:colOff>
      <xdr:row>41</xdr:row>
      <xdr:rowOff>4266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8096" t="15953" r="23124" b="22028"/>
        <a:stretch/>
      </xdr:blipFill>
      <xdr:spPr>
        <a:xfrm>
          <a:off x="238125" y="4012406"/>
          <a:ext cx="4714875" cy="3421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34</xdr:row>
      <xdr:rowOff>175762</xdr:rowOff>
    </xdr:from>
    <xdr:to>
      <xdr:col>4</xdr:col>
      <xdr:colOff>247650</xdr:colOff>
      <xdr:row>48</xdr:row>
      <xdr:rowOff>35681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623" t="28487" r="44447" b="37492"/>
        <a:stretch/>
      </xdr:blipFill>
      <xdr:spPr>
        <a:xfrm>
          <a:off x="266700" y="5509762"/>
          <a:ext cx="5200650" cy="25269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34</xdr:row>
      <xdr:rowOff>175762</xdr:rowOff>
    </xdr:from>
    <xdr:to>
      <xdr:col>4</xdr:col>
      <xdr:colOff>247650</xdr:colOff>
      <xdr:row>48</xdr:row>
      <xdr:rowOff>35681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6F4D17C-7D01-472F-B8C3-50B1290934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623" t="28487" r="44447" b="37492"/>
        <a:stretch/>
      </xdr:blipFill>
      <xdr:spPr>
        <a:xfrm>
          <a:off x="266700" y="6393682"/>
          <a:ext cx="5351145" cy="24202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workbookViewId="0">
      <selection activeCell="B2" sqref="B2:B3"/>
    </sheetView>
  </sheetViews>
  <sheetFormatPr defaultRowHeight="15" x14ac:dyDescent="0.25"/>
  <cols>
    <col min="2" max="2" width="81.28515625" bestFit="1" customWidth="1"/>
    <col min="3" max="3" width="8.5703125" bestFit="1" customWidth="1"/>
    <col min="4" max="4" width="14.140625" bestFit="1" customWidth="1"/>
    <col min="5" max="5" width="14" bestFit="1" customWidth="1"/>
    <col min="6" max="7" width="15.85546875" bestFit="1" customWidth="1"/>
    <col min="8" max="8" width="19.5703125" bestFit="1" customWidth="1"/>
    <col min="9" max="9" width="18.28515625" bestFit="1" customWidth="1"/>
    <col min="10" max="10" width="16.28515625" bestFit="1" customWidth="1"/>
    <col min="11" max="11" width="15.85546875" bestFit="1" customWidth="1"/>
  </cols>
  <sheetData>
    <row r="1" spans="1:12" x14ac:dyDescent="0.25">
      <c r="B1" s="103" t="s">
        <v>11</v>
      </c>
      <c r="C1" s="103"/>
      <c r="D1" s="103"/>
      <c r="E1" s="103"/>
      <c r="F1" s="103"/>
      <c r="G1" s="103"/>
      <c r="H1" s="103"/>
    </row>
    <row r="2" spans="1:12" x14ac:dyDescent="0.25">
      <c r="B2" s="102" t="s">
        <v>12</v>
      </c>
      <c r="C2" s="102" t="s">
        <v>0</v>
      </c>
      <c r="D2" s="102" t="s">
        <v>13</v>
      </c>
      <c r="E2" s="100" t="s">
        <v>71</v>
      </c>
      <c r="F2" s="100"/>
      <c r="G2" s="101" t="s">
        <v>72</v>
      </c>
      <c r="H2" s="101"/>
    </row>
    <row r="3" spans="1:12" x14ac:dyDescent="0.25">
      <c r="B3" s="102"/>
      <c r="C3" s="102"/>
      <c r="D3" s="102"/>
      <c r="E3" s="3" t="s">
        <v>1</v>
      </c>
      <c r="F3" s="3" t="s">
        <v>4</v>
      </c>
      <c r="G3" s="3" t="s">
        <v>1</v>
      </c>
      <c r="H3" s="3" t="s">
        <v>4</v>
      </c>
      <c r="I3" s="72" t="s">
        <v>105</v>
      </c>
      <c r="J3" s="72" t="s">
        <v>106</v>
      </c>
      <c r="K3" s="72" t="s">
        <v>107</v>
      </c>
    </row>
    <row r="4" spans="1:12" x14ac:dyDescent="0.25">
      <c r="A4" s="17"/>
      <c r="B4" s="17" t="s">
        <v>63</v>
      </c>
      <c r="C4" s="4" t="s">
        <v>16</v>
      </c>
      <c r="D4" s="18">
        <v>16000</v>
      </c>
      <c r="E4" s="4">
        <v>64</v>
      </c>
      <c r="F4" s="19">
        <f>D4*E4</f>
        <v>1024000</v>
      </c>
      <c r="G4" s="4">
        <v>0</v>
      </c>
      <c r="H4" s="19">
        <f>G4*D4</f>
        <v>0</v>
      </c>
      <c r="I4" s="6">
        <f>SUM(H6,H8,H10,H13,H15,H20:H22,H26,H28)</f>
        <v>151835.51999999999</v>
      </c>
      <c r="J4" s="6">
        <f>SUM(H5,H7,H9,H11,H12,H14,H16,H17,H18,H19,H23,H24,H25,H27,H29)</f>
        <v>149043.576</v>
      </c>
      <c r="K4" s="6">
        <f>F4</f>
        <v>1024000</v>
      </c>
    </row>
    <row r="5" spans="1:12" x14ac:dyDescent="0.25">
      <c r="A5" s="36"/>
      <c r="B5" s="8" t="s">
        <v>14</v>
      </c>
      <c r="C5" s="8" t="s">
        <v>0</v>
      </c>
      <c r="D5" s="78">
        <v>30</v>
      </c>
      <c r="E5" s="8">
        <v>13</v>
      </c>
      <c r="F5" s="79">
        <f t="shared" ref="F5:F29" si="0">D5*E5</f>
        <v>390</v>
      </c>
      <c r="G5" s="4">
        <v>13</v>
      </c>
      <c r="H5" s="19">
        <f t="shared" ref="H5:H29" si="1">G5*D5</f>
        <v>390</v>
      </c>
      <c r="I5" s="24">
        <f>(I4/H30)</f>
        <v>0.50463964435734676</v>
      </c>
      <c r="J5" s="24">
        <f>J4/H30</f>
        <v>0.49536035564265329</v>
      </c>
      <c r="K5" s="4" t="s">
        <v>109</v>
      </c>
      <c r="L5" t="s">
        <v>108</v>
      </c>
    </row>
    <row r="6" spans="1:12" x14ac:dyDescent="0.25">
      <c r="A6" s="36"/>
      <c r="B6" s="31" t="s">
        <v>15</v>
      </c>
      <c r="C6" s="31" t="s">
        <v>16</v>
      </c>
      <c r="D6" s="32">
        <v>148.05000000000001</v>
      </c>
      <c r="E6" s="31">
        <v>64</v>
      </c>
      <c r="F6" s="33">
        <f t="shared" si="0"/>
        <v>9475.2000000000007</v>
      </c>
      <c r="G6" s="31">
        <v>64</v>
      </c>
      <c r="H6" s="80">
        <f t="shared" si="1"/>
        <v>9475.2000000000007</v>
      </c>
      <c r="I6" s="22">
        <f>I4/F30</f>
        <v>0.11460330263977539</v>
      </c>
      <c r="J6" s="22">
        <f>J4/F30</f>
        <v>0.11249598280324896</v>
      </c>
      <c r="K6" s="22">
        <f>K4/F30</f>
        <v>0.77290071455697584</v>
      </c>
      <c r="L6" t="s">
        <v>44</v>
      </c>
    </row>
    <row r="7" spans="1:12" x14ac:dyDescent="0.25">
      <c r="A7" s="36"/>
      <c r="B7" s="8" t="s">
        <v>17</v>
      </c>
      <c r="C7" s="8" t="s">
        <v>62</v>
      </c>
      <c r="D7" s="78">
        <v>190</v>
      </c>
      <c r="E7" s="8">
        <v>96</v>
      </c>
      <c r="F7" s="79">
        <f>D7*E7</f>
        <v>18240</v>
      </c>
      <c r="G7" s="4">
        <v>96</v>
      </c>
      <c r="H7" s="19">
        <f t="shared" si="1"/>
        <v>18240</v>
      </c>
    </row>
    <row r="8" spans="1:12" x14ac:dyDescent="0.25">
      <c r="A8" s="27"/>
      <c r="B8" s="31" t="s">
        <v>19</v>
      </c>
      <c r="C8" s="31" t="s">
        <v>16</v>
      </c>
      <c r="D8" s="32">
        <v>91.6</v>
      </c>
      <c r="E8" s="31">
        <v>64</v>
      </c>
      <c r="F8" s="33">
        <f t="shared" si="0"/>
        <v>5862.4</v>
      </c>
      <c r="G8" s="31">
        <v>64</v>
      </c>
      <c r="H8" s="80">
        <f t="shared" si="1"/>
        <v>5862.4</v>
      </c>
    </row>
    <row r="9" spans="1:12" x14ac:dyDescent="0.25">
      <c r="A9" s="27"/>
      <c r="B9" s="8" t="s">
        <v>20</v>
      </c>
      <c r="C9" s="8" t="s">
        <v>18</v>
      </c>
      <c r="D9" s="78">
        <v>9.42</v>
      </c>
      <c r="E9" s="8">
        <v>320</v>
      </c>
      <c r="F9" s="79">
        <f t="shared" si="0"/>
        <v>3014.4</v>
      </c>
      <c r="G9" s="4">
        <v>320</v>
      </c>
      <c r="H9" s="19">
        <f t="shared" si="1"/>
        <v>3014.4</v>
      </c>
    </row>
    <row r="10" spans="1:12" x14ac:dyDescent="0.25">
      <c r="A10" s="28"/>
      <c r="B10" s="31" t="s">
        <v>21</v>
      </c>
      <c r="C10" s="31" t="s">
        <v>16</v>
      </c>
      <c r="D10" s="32">
        <v>122.14</v>
      </c>
      <c r="E10" s="31">
        <v>64</v>
      </c>
      <c r="F10" s="33">
        <f t="shared" si="0"/>
        <v>7816.96</v>
      </c>
      <c r="G10" s="31">
        <v>64</v>
      </c>
      <c r="H10" s="80">
        <f t="shared" si="1"/>
        <v>7816.96</v>
      </c>
    </row>
    <row r="11" spans="1:12" x14ac:dyDescent="0.25">
      <c r="A11" s="28"/>
      <c r="B11" s="8" t="s">
        <v>22</v>
      </c>
      <c r="C11" s="8" t="s">
        <v>18</v>
      </c>
      <c r="D11" s="78">
        <v>20</v>
      </c>
      <c r="E11" s="8">
        <v>128</v>
      </c>
      <c r="F11" s="79">
        <f t="shared" si="0"/>
        <v>2560</v>
      </c>
      <c r="G11" s="4">
        <v>128</v>
      </c>
      <c r="H11" s="19">
        <f t="shared" si="1"/>
        <v>2560</v>
      </c>
    </row>
    <row r="12" spans="1:12" x14ac:dyDescent="0.25">
      <c r="A12" s="28"/>
      <c r="B12" s="8" t="s">
        <v>23</v>
      </c>
      <c r="C12" s="8" t="s">
        <v>24</v>
      </c>
      <c r="D12" s="78">
        <v>10.64</v>
      </c>
      <c r="E12" s="8">
        <v>32</v>
      </c>
      <c r="F12" s="79">
        <f t="shared" si="0"/>
        <v>340.48</v>
      </c>
      <c r="G12" s="4">
        <v>32</v>
      </c>
      <c r="H12" s="19">
        <f t="shared" si="1"/>
        <v>340.48</v>
      </c>
    </row>
    <row r="13" spans="1:12" x14ac:dyDescent="0.25">
      <c r="A13" s="34"/>
      <c r="B13" s="31" t="s">
        <v>25</v>
      </c>
      <c r="C13" s="31" t="s">
        <v>16</v>
      </c>
      <c r="D13" s="32">
        <v>506.64</v>
      </c>
      <c r="E13" s="81">
        <v>64</v>
      </c>
      <c r="F13" s="33">
        <f t="shared" si="0"/>
        <v>32424.959999999999</v>
      </c>
      <c r="G13" s="81">
        <v>64</v>
      </c>
      <c r="H13" s="80">
        <f t="shared" si="1"/>
        <v>32424.959999999999</v>
      </c>
    </row>
    <row r="14" spans="1:12" x14ac:dyDescent="0.25">
      <c r="A14" s="35"/>
      <c r="B14" s="8" t="s">
        <v>26</v>
      </c>
      <c r="C14" s="8" t="s">
        <v>62</v>
      </c>
      <c r="D14" s="78">
        <v>1780</v>
      </c>
      <c r="E14" s="8">
        <v>19.2</v>
      </c>
      <c r="F14" s="79">
        <f t="shared" si="0"/>
        <v>34176</v>
      </c>
      <c r="G14" s="4">
        <v>19.2</v>
      </c>
      <c r="H14" s="19">
        <f t="shared" si="1"/>
        <v>34176</v>
      </c>
    </row>
    <row r="15" spans="1:12" x14ac:dyDescent="0.25">
      <c r="A15" s="31"/>
      <c r="B15" s="31" t="s">
        <v>27</v>
      </c>
      <c r="C15" s="31" t="s">
        <v>16</v>
      </c>
      <c r="D15" s="32">
        <v>772.2</v>
      </c>
      <c r="E15" s="31">
        <v>64</v>
      </c>
      <c r="F15" s="33">
        <f t="shared" si="0"/>
        <v>49420.800000000003</v>
      </c>
      <c r="G15" s="31">
        <v>64</v>
      </c>
      <c r="H15" s="80">
        <f t="shared" si="1"/>
        <v>49420.800000000003</v>
      </c>
      <c r="I15" s="2"/>
    </row>
    <row r="16" spans="1:12" x14ac:dyDescent="0.25">
      <c r="A16" s="27"/>
      <c r="B16" s="8" t="s">
        <v>28</v>
      </c>
      <c r="C16" s="8" t="s">
        <v>0</v>
      </c>
      <c r="D16" s="78">
        <v>0.82</v>
      </c>
      <c r="E16" s="8">
        <v>78400</v>
      </c>
      <c r="F16" s="79">
        <f t="shared" si="0"/>
        <v>64287.999999999993</v>
      </c>
      <c r="G16" s="4">
        <v>78400</v>
      </c>
      <c r="H16" s="19">
        <f t="shared" si="1"/>
        <v>64287.999999999993</v>
      </c>
      <c r="I16" s="2"/>
      <c r="J16" s="92"/>
    </row>
    <row r="17" spans="1:10" x14ac:dyDescent="0.25">
      <c r="A17" s="31"/>
      <c r="B17" s="8" t="s">
        <v>29</v>
      </c>
      <c r="C17" s="8" t="s">
        <v>18</v>
      </c>
      <c r="D17" s="78">
        <v>22.86</v>
      </c>
      <c r="E17" s="8">
        <v>70.400000000000006</v>
      </c>
      <c r="F17" s="79">
        <f t="shared" si="0"/>
        <v>1609.3440000000001</v>
      </c>
      <c r="G17" s="4">
        <v>70.400000000000006</v>
      </c>
      <c r="H17" s="19">
        <f t="shared" si="1"/>
        <v>1609.3440000000001</v>
      </c>
      <c r="J17" s="2"/>
    </row>
    <row r="18" spans="1:10" x14ac:dyDescent="0.25">
      <c r="A18" s="31"/>
      <c r="B18" s="8" t="s">
        <v>30</v>
      </c>
      <c r="C18" s="8" t="s">
        <v>18</v>
      </c>
      <c r="D18" s="78">
        <v>128.11000000000001</v>
      </c>
      <c r="E18" s="8">
        <v>3.2</v>
      </c>
      <c r="F18" s="79">
        <f t="shared" si="0"/>
        <v>409.95200000000006</v>
      </c>
      <c r="G18" s="4">
        <v>3.2</v>
      </c>
      <c r="H18" s="19">
        <f t="shared" si="1"/>
        <v>409.95200000000006</v>
      </c>
      <c r="J18" s="93"/>
    </row>
    <row r="19" spans="1:10" x14ac:dyDescent="0.25">
      <c r="A19" s="31"/>
      <c r="B19" s="8" t="s">
        <v>31</v>
      </c>
      <c r="C19" s="8" t="s">
        <v>18</v>
      </c>
      <c r="D19" s="78">
        <v>6</v>
      </c>
      <c r="E19" s="8">
        <v>6.4</v>
      </c>
      <c r="F19" s="79">
        <f t="shared" si="0"/>
        <v>38.400000000000006</v>
      </c>
      <c r="G19" s="4">
        <v>6.4</v>
      </c>
      <c r="H19" s="19">
        <f t="shared" si="1"/>
        <v>38.400000000000006</v>
      </c>
    </row>
    <row r="20" spans="1:10" x14ac:dyDescent="0.25">
      <c r="A20" s="30"/>
      <c r="B20" s="31" t="s">
        <v>32</v>
      </c>
      <c r="C20" s="31" t="s">
        <v>16</v>
      </c>
      <c r="D20" s="32">
        <v>274.12</v>
      </c>
      <c r="E20" s="31">
        <v>64</v>
      </c>
      <c r="F20" s="33">
        <f t="shared" si="0"/>
        <v>17543.68</v>
      </c>
      <c r="G20" s="31">
        <v>64</v>
      </c>
      <c r="H20" s="80">
        <f t="shared" si="1"/>
        <v>17543.68</v>
      </c>
    </row>
    <row r="21" spans="1:10" x14ac:dyDescent="0.25">
      <c r="A21" s="30"/>
      <c r="B21" s="31" t="s">
        <v>33</v>
      </c>
      <c r="C21" s="31" t="s">
        <v>16</v>
      </c>
      <c r="D21" s="32">
        <v>274.12</v>
      </c>
      <c r="E21" s="31">
        <v>64</v>
      </c>
      <c r="F21" s="33">
        <f t="shared" si="0"/>
        <v>17543.68</v>
      </c>
      <c r="G21" s="31">
        <v>64</v>
      </c>
      <c r="H21" s="80">
        <f t="shared" si="1"/>
        <v>17543.68</v>
      </c>
    </row>
    <row r="22" spans="1:10" x14ac:dyDescent="0.25">
      <c r="A22" s="28"/>
      <c r="B22" s="31" t="s">
        <v>34</v>
      </c>
      <c r="C22" s="31" t="s">
        <v>16</v>
      </c>
      <c r="D22" s="32">
        <v>122.4</v>
      </c>
      <c r="E22" s="31">
        <v>64</v>
      </c>
      <c r="F22" s="33">
        <f t="shared" si="0"/>
        <v>7833.6</v>
      </c>
      <c r="G22" s="31">
        <v>64</v>
      </c>
      <c r="H22" s="80">
        <f t="shared" si="1"/>
        <v>7833.6</v>
      </c>
    </row>
    <row r="23" spans="1:10" x14ac:dyDescent="0.25">
      <c r="A23" s="27"/>
      <c r="B23" s="8" t="s">
        <v>35</v>
      </c>
      <c r="C23" s="8" t="s">
        <v>18</v>
      </c>
      <c r="D23" s="78">
        <v>525</v>
      </c>
      <c r="E23" s="8">
        <v>3.2</v>
      </c>
      <c r="F23" s="79">
        <f t="shared" si="0"/>
        <v>1680</v>
      </c>
      <c r="G23" s="4">
        <v>3.2</v>
      </c>
      <c r="H23" s="19">
        <f t="shared" si="1"/>
        <v>1680</v>
      </c>
    </row>
    <row r="24" spans="1:10" x14ac:dyDescent="0.25">
      <c r="A24" s="28"/>
      <c r="B24" s="8" t="s">
        <v>36</v>
      </c>
      <c r="C24" s="8" t="s">
        <v>18</v>
      </c>
      <c r="D24" s="78">
        <v>600</v>
      </c>
      <c r="E24" s="8">
        <v>16</v>
      </c>
      <c r="F24" s="79">
        <f t="shared" si="0"/>
        <v>9600</v>
      </c>
      <c r="G24" s="4">
        <v>16</v>
      </c>
      <c r="H24" s="19">
        <f t="shared" si="1"/>
        <v>9600</v>
      </c>
    </row>
    <row r="25" spans="1:10" x14ac:dyDescent="0.25">
      <c r="A25" s="28"/>
      <c r="B25" s="8" t="s">
        <v>37</v>
      </c>
      <c r="C25" s="8" t="s">
        <v>24</v>
      </c>
      <c r="D25" s="78">
        <v>334</v>
      </c>
      <c r="E25" s="8">
        <v>16</v>
      </c>
      <c r="F25" s="79">
        <f t="shared" si="0"/>
        <v>5344</v>
      </c>
      <c r="G25" s="4">
        <v>16</v>
      </c>
      <c r="H25" s="19">
        <f t="shared" si="1"/>
        <v>5344</v>
      </c>
    </row>
    <row r="26" spans="1:10" x14ac:dyDescent="0.25">
      <c r="A26" s="29"/>
      <c r="B26" s="31" t="s">
        <v>38</v>
      </c>
      <c r="C26" s="31" t="s">
        <v>16</v>
      </c>
      <c r="D26" s="32">
        <v>200</v>
      </c>
      <c r="E26" s="31">
        <v>2</v>
      </c>
      <c r="F26" s="33">
        <f t="shared" si="0"/>
        <v>400</v>
      </c>
      <c r="G26" s="31">
        <v>2</v>
      </c>
      <c r="H26" s="80">
        <f t="shared" si="1"/>
        <v>400</v>
      </c>
    </row>
    <row r="27" spans="1:10" x14ac:dyDescent="0.25">
      <c r="A27" s="27"/>
      <c r="B27" s="8" t="s">
        <v>28</v>
      </c>
      <c r="C27" s="8" t="s">
        <v>0</v>
      </c>
      <c r="D27" s="78">
        <v>0.82</v>
      </c>
      <c r="E27" s="8">
        <f>1225*2</f>
        <v>2450</v>
      </c>
      <c r="F27" s="79">
        <f t="shared" si="0"/>
        <v>2008.9999999999998</v>
      </c>
      <c r="G27" s="4">
        <f>1225*2</f>
        <v>2450</v>
      </c>
      <c r="H27" s="19">
        <f t="shared" si="1"/>
        <v>2008.9999999999998</v>
      </c>
    </row>
    <row r="28" spans="1:10" x14ac:dyDescent="0.25">
      <c r="A28" s="28"/>
      <c r="B28" s="31" t="s">
        <v>39</v>
      </c>
      <c r="C28" s="31" t="s">
        <v>16</v>
      </c>
      <c r="D28" s="32">
        <v>92.48</v>
      </c>
      <c r="E28" s="31">
        <v>38</v>
      </c>
      <c r="F28" s="33">
        <f t="shared" si="0"/>
        <v>3514.2400000000002</v>
      </c>
      <c r="G28" s="31">
        <v>38</v>
      </c>
      <c r="H28" s="80">
        <f t="shared" si="1"/>
        <v>3514.2400000000002</v>
      </c>
    </row>
    <row r="29" spans="1:10" x14ac:dyDescent="0.25">
      <c r="A29" s="28"/>
      <c r="B29" s="8" t="s">
        <v>37</v>
      </c>
      <c r="C29" s="8" t="s">
        <v>18</v>
      </c>
      <c r="D29" s="78">
        <v>334</v>
      </c>
      <c r="E29" s="8">
        <f>0.25*64</f>
        <v>16</v>
      </c>
      <c r="F29" s="79">
        <f t="shared" si="0"/>
        <v>5344</v>
      </c>
      <c r="G29" s="4">
        <f>0.25*64</f>
        <v>16</v>
      </c>
      <c r="H29" s="19">
        <f t="shared" si="1"/>
        <v>5344</v>
      </c>
    </row>
    <row r="30" spans="1:10" x14ac:dyDescent="0.25">
      <c r="B30" s="9" t="s">
        <v>2</v>
      </c>
      <c r="C30" s="10"/>
      <c r="D30" s="10"/>
      <c r="E30" s="10"/>
      <c r="F30" s="11">
        <f>SUM(F4:F29)</f>
        <v>1324879.0959999997</v>
      </c>
      <c r="G30" s="10"/>
      <c r="H30" s="11">
        <f>SUM(H4:H29)</f>
        <v>300879.09599999996</v>
      </c>
    </row>
    <row r="32" spans="1:10" x14ac:dyDescent="0.25">
      <c r="B32" s="13" t="s">
        <v>96</v>
      </c>
      <c r="C32" s="13"/>
      <c r="D32" s="13"/>
      <c r="E32" s="13"/>
      <c r="F32" s="14">
        <f>F30/64</f>
        <v>20701.235874999995</v>
      </c>
    </row>
    <row r="33" spans="2:8" x14ac:dyDescent="0.25">
      <c r="B33" s="25" t="s">
        <v>97</v>
      </c>
      <c r="C33" s="25"/>
      <c r="D33" s="25"/>
      <c r="E33" s="25"/>
      <c r="F33" s="26">
        <f>SUM(F5:F29)/64</f>
        <v>4701.2358749999994</v>
      </c>
    </row>
    <row r="35" spans="2:8" x14ac:dyDescent="0.25">
      <c r="G35" s="2"/>
    </row>
    <row r="36" spans="2:8" x14ac:dyDescent="0.25">
      <c r="G36" s="2"/>
      <c r="H36" s="2"/>
    </row>
    <row r="39" spans="2:8" x14ac:dyDescent="0.25">
      <c r="E39" s="2"/>
    </row>
  </sheetData>
  <mergeCells count="6">
    <mergeCell ref="E2:F2"/>
    <mergeCell ref="G2:H2"/>
    <mergeCell ref="C2:C3"/>
    <mergeCell ref="D2:D3"/>
    <mergeCell ref="B1:H1"/>
    <mergeCell ref="B2:B3"/>
  </mergeCells>
  <pageMargins left="0.511811024" right="0.511811024" top="0.78740157499999996" bottom="0.78740157499999996" header="0.31496062000000002" footer="0.31496062000000002"/>
  <pageSetup orientation="portrait" r:id="rId1"/>
  <headerFooter>
    <oddFooter>&amp;C&amp;1#&amp;"Calibri"&amp;10&amp;K000000Classificação da informação: Uso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30"/>
  <sheetViews>
    <sheetView showGridLines="0" zoomScale="80" zoomScaleNormal="80" workbookViewId="0">
      <selection activeCell="C21" sqref="C21"/>
    </sheetView>
  </sheetViews>
  <sheetFormatPr defaultColWidth="9.140625" defaultRowHeight="14.25" x14ac:dyDescent="0.2"/>
  <cols>
    <col min="1" max="1" width="38.85546875" style="42" bestFit="1" customWidth="1"/>
    <col min="2" max="2" width="14.5703125" style="42" customWidth="1"/>
    <col min="3" max="3" width="16.140625" style="42" bestFit="1" customWidth="1"/>
    <col min="4" max="4" width="12.85546875" style="42" bestFit="1" customWidth="1"/>
    <col min="5" max="5" width="17.28515625" style="42" bestFit="1" customWidth="1"/>
    <col min="6" max="6" width="14.85546875" style="42" bestFit="1" customWidth="1"/>
    <col min="7" max="7" width="16" style="42" bestFit="1" customWidth="1"/>
    <col min="8" max="8" width="19.28515625" style="42" bestFit="1" customWidth="1"/>
    <col min="9" max="9" width="16" style="42" bestFit="1" customWidth="1"/>
    <col min="10" max="10" width="12.85546875" style="42" bestFit="1" customWidth="1"/>
    <col min="11" max="11" width="16" style="42" bestFit="1" customWidth="1"/>
    <col min="12" max="12" width="12.85546875" style="42" bestFit="1" customWidth="1"/>
    <col min="13" max="13" width="16" style="42" bestFit="1" customWidth="1"/>
    <col min="14" max="14" width="12.85546875" style="42" bestFit="1" customWidth="1"/>
    <col min="15" max="15" width="16" style="42" bestFit="1" customWidth="1"/>
    <col min="16" max="16" width="12.85546875" style="42" bestFit="1" customWidth="1"/>
    <col min="17" max="17" width="20.5703125" style="42" bestFit="1" customWidth="1"/>
    <col min="18" max="18" width="12.85546875" style="42" bestFit="1" customWidth="1"/>
    <col min="19" max="20" width="17.28515625" style="42" bestFit="1" customWidth="1"/>
    <col min="21" max="21" width="16" style="42" bestFit="1" customWidth="1"/>
    <col min="22" max="22" width="12.85546875" style="42" bestFit="1" customWidth="1"/>
    <col min="23" max="23" width="16" style="42" bestFit="1" customWidth="1"/>
    <col min="24" max="24" width="12.85546875" style="42" customWidth="1"/>
    <col min="25" max="25" width="16" style="42" bestFit="1" customWidth="1"/>
    <col min="26" max="26" width="12.85546875" style="42" customWidth="1"/>
    <col min="27" max="27" width="16" style="42" bestFit="1" customWidth="1"/>
    <col min="28" max="28" width="12.85546875" style="42" customWidth="1"/>
    <col min="29" max="29" width="16" style="42" bestFit="1" customWidth="1"/>
    <col min="30" max="30" width="12.85546875" style="42" customWidth="1"/>
    <col min="31" max="31" width="17.28515625" style="42" bestFit="1" customWidth="1"/>
    <col min="32" max="32" width="12.85546875" style="42" bestFit="1" customWidth="1"/>
    <col min="33" max="33" width="17.28515625" style="42" bestFit="1" customWidth="1"/>
    <col min="34" max="34" width="12.85546875" style="42" bestFit="1" customWidth="1"/>
    <col min="35" max="35" width="16" style="42" bestFit="1" customWidth="1"/>
    <col min="36" max="36" width="12.85546875" style="42" bestFit="1" customWidth="1"/>
    <col min="37" max="37" width="16" style="42" bestFit="1" customWidth="1"/>
    <col min="38" max="38" width="12.85546875" style="42" customWidth="1"/>
    <col min="39" max="39" width="16" style="42" bestFit="1" customWidth="1"/>
    <col min="40" max="40" width="12.85546875" style="42" customWidth="1"/>
    <col min="41" max="41" width="16" style="42" bestFit="1" customWidth="1"/>
    <col min="42" max="42" width="12.85546875" style="42" customWidth="1"/>
    <col min="43" max="43" width="16" style="42" bestFit="1" customWidth="1"/>
    <col min="44" max="44" width="12.85546875" style="42" customWidth="1"/>
    <col min="45" max="47" width="17.28515625" style="42" bestFit="1" customWidth="1"/>
    <col min="48" max="48" width="12.85546875" style="42" bestFit="1" customWidth="1"/>
    <col min="49" max="49" width="16" style="42" bestFit="1" customWidth="1"/>
    <col min="50" max="50" width="12.85546875" style="42" bestFit="1" customWidth="1"/>
    <col min="51" max="51" width="16" style="42" bestFit="1" customWidth="1"/>
    <col min="52" max="52" width="12.85546875" style="42" customWidth="1"/>
    <col min="53" max="53" width="16" style="42" bestFit="1" customWidth="1"/>
    <col min="54" max="54" width="12.85546875" style="42" customWidth="1"/>
    <col min="55" max="55" width="16" style="42" bestFit="1" customWidth="1"/>
    <col min="56" max="56" width="12.85546875" style="42" customWidth="1"/>
    <col min="57" max="57" width="16" style="42" bestFit="1" customWidth="1"/>
    <col min="58" max="58" width="12.85546875" style="42" customWidth="1"/>
    <col min="59" max="59" width="17.28515625" style="42" bestFit="1" customWidth="1"/>
    <col min="60" max="60" width="19.28515625" style="42" bestFit="1" customWidth="1"/>
    <col min="61" max="61" width="21.7109375" style="42" bestFit="1" customWidth="1"/>
    <col min="62" max="63" width="15.140625" style="42" bestFit="1" customWidth="1"/>
    <col min="64" max="64" width="17.28515625" style="42" bestFit="1" customWidth="1"/>
    <col min="65" max="16384" width="9.140625" style="42"/>
  </cols>
  <sheetData>
    <row r="1" spans="1:64" ht="15" x14ac:dyDescent="0.25">
      <c r="A1" s="110" t="s">
        <v>46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0"/>
    </row>
    <row r="2" spans="1:64" ht="15" x14ac:dyDescent="0.25">
      <c r="A2" s="107" t="s">
        <v>12</v>
      </c>
      <c r="B2" s="107" t="s">
        <v>0</v>
      </c>
      <c r="C2" s="107" t="s">
        <v>13</v>
      </c>
      <c r="D2" s="111" t="s">
        <v>101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2" t="s">
        <v>45</v>
      </c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3" t="s">
        <v>69</v>
      </c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5" t="s">
        <v>70</v>
      </c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  <c r="BF2" s="116"/>
      <c r="BG2" s="116"/>
    </row>
    <row r="3" spans="1:64" ht="15" x14ac:dyDescent="0.2">
      <c r="A3" s="107"/>
      <c r="B3" s="107"/>
      <c r="C3" s="107"/>
      <c r="D3" s="107" t="s">
        <v>47</v>
      </c>
      <c r="E3" s="107"/>
      <c r="F3" s="107" t="s">
        <v>48</v>
      </c>
      <c r="G3" s="107"/>
      <c r="H3" s="108" t="s">
        <v>129</v>
      </c>
      <c r="I3" s="109"/>
      <c r="J3" s="108" t="s">
        <v>130</v>
      </c>
      <c r="K3" s="109"/>
      <c r="L3" s="108" t="s">
        <v>131</v>
      </c>
      <c r="M3" s="109"/>
      <c r="N3" s="108" t="s">
        <v>132</v>
      </c>
      <c r="O3" s="109"/>
      <c r="P3" s="108" t="s">
        <v>133</v>
      </c>
      <c r="Q3" s="109"/>
      <c r="R3" s="107" t="s">
        <v>49</v>
      </c>
      <c r="S3" s="107"/>
      <c r="T3" s="107" t="s">
        <v>50</v>
      </c>
      <c r="U3" s="107"/>
      <c r="V3" s="107" t="s">
        <v>134</v>
      </c>
      <c r="W3" s="107"/>
      <c r="X3" s="107" t="s">
        <v>135</v>
      </c>
      <c r="Y3" s="107"/>
      <c r="Z3" s="107" t="s">
        <v>136</v>
      </c>
      <c r="AA3" s="107"/>
      <c r="AB3" s="107" t="s">
        <v>137</v>
      </c>
      <c r="AC3" s="107"/>
      <c r="AD3" s="107" t="s">
        <v>138</v>
      </c>
      <c r="AE3" s="107"/>
      <c r="AF3" s="107" t="s">
        <v>79</v>
      </c>
      <c r="AG3" s="107"/>
      <c r="AH3" s="107" t="s">
        <v>80</v>
      </c>
      <c r="AI3" s="107"/>
      <c r="AJ3" s="107" t="s">
        <v>139</v>
      </c>
      <c r="AK3" s="107"/>
      <c r="AL3" s="107" t="s">
        <v>140</v>
      </c>
      <c r="AM3" s="107"/>
      <c r="AN3" s="107" t="s">
        <v>141</v>
      </c>
      <c r="AO3" s="107"/>
      <c r="AP3" s="107" t="s">
        <v>142</v>
      </c>
      <c r="AQ3" s="107"/>
      <c r="AR3" s="107" t="s">
        <v>143</v>
      </c>
      <c r="AS3" s="107"/>
      <c r="AT3" s="107" t="s">
        <v>81</v>
      </c>
      <c r="AU3" s="107"/>
      <c r="AV3" s="107" t="s">
        <v>82</v>
      </c>
      <c r="AW3" s="107"/>
      <c r="AX3" s="107" t="s">
        <v>144</v>
      </c>
      <c r="AY3" s="107"/>
      <c r="AZ3" s="107" t="s">
        <v>145</v>
      </c>
      <c r="BA3" s="107"/>
      <c r="BB3" s="107" t="s">
        <v>146</v>
      </c>
      <c r="BC3" s="107"/>
      <c r="BD3" s="107" t="s">
        <v>147</v>
      </c>
      <c r="BE3" s="107"/>
      <c r="BF3" s="107" t="s">
        <v>148</v>
      </c>
      <c r="BG3" s="107"/>
    </row>
    <row r="4" spans="1:64" ht="15" x14ac:dyDescent="0.25">
      <c r="A4" s="107"/>
      <c r="B4" s="107"/>
      <c r="C4" s="107"/>
      <c r="D4" s="37" t="s">
        <v>1</v>
      </c>
      <c r="E4" s="37" t="s">
        <v>51</v>
      </c>
      <c r="F4" s="37" t="s">
        <v>1</v>
      </c>
      <c r="G4" s="37" t="s">
        <v>51</v>
      </c>
      <c r="H4" s="95" t="s">
        <v>1</v>
      </c>
      <c r="I4" s="95" t="s">
        <v>51</v>
      </c>
      <c r="J4" s="95" t="s">
        <v>1</v>
      </c>
      <c r="K4" s="95" t="s">
        <v>51</v>
      </c>
      <c r="L4" s="95" t="s">
        <v>1</v>
      </c>
      <c r="M4" s="95" t="s">
        <v>51</v>
      </c>
      <c r="N4" s="95" t="s">
        <v>1</v>
      </c>
      <c r="O4" s="95" t="s">
        <v>51</v>
      </c>
      <c r="P4" s="95" t="s">
        <v>1</v>
      </c>
      <c r="Q4" s="37" t="s">
        <v>51</v>
      </c>
      <c r="R4" s="37" t="s">
        <v>1</v>
      </c>
      <c r="S4" s="37" t="s">
        <v>51</v>
      </c>
      <c r="T4" s="37" t="s">
        <v>1</v>
      </c>
      <c r="U4" s="37" t="s">
        <v>51</v>
      </c>
      <c r="V4" s="98" t="s">
        <v>1</v>
      </c>
      <c r="W4" s="98" t="s">
        <v>51</v>
      </c>
      <c r="X4" s="98" t="s">
        <v>1</v>
      </c>
      <c r="Y4" s="98" t="s">
        <v>51</v>
      </c>
      <c r="Z4" s="98" t="s">
        <v>1</v>
      </c>
      <c r="AA4" s="98" t="s">
        <v>51</v>
      </c>
      <c r="AB4" s="98" t="s">
        <v>1</v>
      </c>
      <c r="AC4" s="98" t="s">
        <v>51</v>
      </c>
      <c r="AD4" s="98" t="s">
        <v>1</v>
      </c>
      <c r="AE4" s="98" t="s">
        <v>51</v>
      </c>
      <c r="AF4" s="37" t="s">
        <v>1</v>
      </c>
      <c r="AG4" s="37" t="s">
        <v>51</v>
      </c>
      <c r="AH4" s="37" t="s">
        <v>1</v>
      </c>
      <c r="AI4" s="37" t="s">
        <v>51</v>
      </c>
      <c r="AJ4" s="98" t="s">
        <v>1</v>
      </c>
      <c r="AK4" s="98" t="s">
        <v>51</v>
      </c>
      <c r="AL4" s="98" t="s">
        <v>1</v>
      </c>
      <c r="AM4" s="98" t="s">
        <v>51</v>
      </c>
      <c r="AN4" s="98" t="s">
        <v>1</v>
      </c>
      <c r="AO4" s="98" t="s">
        <v>51</v>
      </c>
      <c r="AP4" s="98" t="s">
        <v>1</v>
      </c>
      <c r="AQ4" s="98" t="s">
        <v>51</v>
      </c>
      <c r="AR4" s="98" t="s">
        <v>1</v>
      </c>
      <c r="AS4" s="98" t="s">
        <v>51</v>
      </c>
      <c r="AT4" s="37" t="s">
        <v>1</v>
      </c>
      <c r="AU4" s="37" t="s">
        <v>51</v>
      </c>
      <c r="AV4" s="37" t="s">
        <v>1</v>
      </c>
      <c r="AW4" s="37" t="s">
        <v>51</v>
      </c>
      <c r="AX4" s="98" t="s">
        <v>1</v>
      </c>
      <c r="AY4" s="98" t="s">
        <v>51</v>
      </c>
      <c r="AZ4" s="98" t="s">
        <v>1</v>
      </c>
      <c r="BA4" s="98" t="s">
        <v>51</v>
      </c>
      <c r="BB4" s="98" t="s">
        <v>1</v>
      </c>
      <c r="BC4" s="98" t="s">
        <v>51</v>
      </c>
      <c r="BD4" s="98" t="s">
        <v>1</v>
      </c>
      <c r="BE4" s="98" t="s">
        <v>51</v>
      </c>
      <c r="BF4" s="98" t="s">
        <v>1</v>
      </c>
      <c r="BG4" s="98" t="s">
        <v>51</v>
      </c>
      <c r="BH4" s="43" t="s">
        <v>99</v>
      </c>
      <c r="BI4" s="43" t="s">
        <v>100</v>
      </c>
      <c r="BJ4" s="43" t="s">
        <v>98</v>
      </c>
      <c r="BK4" s="94" t="s">
        <v>127</v>
      </c>
      <c r="BL4" s="94" t="s">
        <v>128</v>
      </c>
    </row>
    <row r="5" spans="1:64" x14ac:dyDescent="0.2">
      <c r="A5" s="38" t="s">
        <v>52</v>
      </c>
      <c r="B5" s="38" t="s">
        <v>16</v>
      </c>
      <c r="C5" s="44">
        <v>204.88</v>
      </c>
      <c r="D5" s="38">
        <f>38+19</f>
        <v>57</v>
      </c>
      <c r="E5" s="45">
        <f>C5*D5</f>
        <v>11678.16</v>
      </c>
      <c r="F5" s="38">
        <v>19</v>
      </c>
      <c r="G5" s="45">
        <f>C5*F5</f>
        <v>3892.72</v>
      </c>
      <c r="H5" s="38"/>
      <c r="I5" s="38"/>
      <c r="J5" s="38"/>
      <c r="K5" s="38"/>
      <c r="L5" s="38"/>
      <c r="M5" s="38"/>
      <c r="N5" s="38"/>
      <c r="O5" s="38"/>
      <c r="P5" s="38"/>
      <c r="Q5" s="45">
        <f>C5*H5</f>
        <v>0</v>
      </c>
      <c r="R5" s="38">
        <v>57</v>
      </c>
      <c r="S5" s="45">
        <f>C5*R5</f>
        <v>11678.16</v>
      </c>
      <c r="T5" s="38">
        <v>19</v>
      </c>
      <c r="U5" s="45">
        <f>C5*T5</f>
        <v>3892.72</v>
      </c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>
        <f>38+19</f>
        <v>57</v>
      </c>
      <c r="AG5" s="45">
        <f t="shared" ref="AG5:AG18" si="0">C5*AF5</f>
        <v>11678.16</v>
      </c>
      <c r="AH5" s="38">
        <v>19</v>
      </c>
      <c r="AI5" s="45">
        <f t="shared" ref="AI5:AI16" si="1">C5*AH5</f>
        <v>3892.72</v>
      </c>
      <c r="AJ5" s="38"/>
      <c r="AK5" s="44"/>
      <c r="AL5" s="38"/>
      <c r="AM5" s="44"/>
      <c r="AN5" s="38"/>
      <c r="AO5" s="44"/>
      <c r="AP5" s="38"/>
      <c r="AQ5" s="44"/>
      <c r="AR5" s="38"/>
      <c r="AS5" s="44"/>
      <c r="AT5" s="38">
        <v>57</v>
      </c>
      <c r="AU5" s="45">
        <f t="shared" ref="AU5:AU18" si="2">AT5*C5</f>
        <v>11678.16</v>
      </c>
      <c r="AV5" s="38">
        <v>19</v>
      </c>
      <c r="AW5" s="45">
        <f t="shared" ref="AW5:AW16" si="3">AV5*C5</f>
        <v>3892.72</v>
      </c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45">
        <f>SUM(E5+G5+I5+K5+M5+O5+Q5+S5+U5+W5+Y5+AA5+AC5+AE5+AG5+AI5+AK5+AM5+AO5+AQ5+AS5+AU5+AW5+AY5+BA5+BC5+BE5+BG5)</f>
        <v>62283.520000000004</v>
      </c>
      <c r="BI5" s="45">
        <f>BH5*$BI$19</f>
        <v>6228352</v>
      </c>
      <c r="BJ5" s="46">
        <f>BI5/$BH$19</f>
        <v>1.9798240150101905</v>
      </c>
      <c r="BK5" s="104">
        <f>SUM(BJ5:BJ6)</f>
        <v>2.3663574033370529</v>
      </c>
      <c r="BL5" s="104">
        <v>6</v>
      </c>
    </row>
    <row r="6" spans="1:64" x14ac:dyDescent="0.2">
      <c r="A6" s="38" t="s">
        <v>22</v>
      </c>
      <c r="B6" s="38" t="s">
        <v>18</v>
      </c>
      <c r="C6" s="44">
        <v>20</v>
      </c>
      <c r="D6" s="38">
        <v>114</v>
      </c>
      <c r="E6" s="45">
        <f t="shared" ref="E6:E17" si="4">C6*D6</f>
        <v>2280</v>
      </c>
      <c r="F6" s="38">
        <f>F5*2</f>
        <v>38</v>
      </c>
      <c r="G6" s="45">
        <f t="shared" ref="G6:G17" si="5">C6*F6</f>
        <v>760</v>
      </c>
      <c r="H6" s="38"/>
      <c r="I6" s="38"/>
      <c r="J6" s="38"/>
      <c r="K6" s="38"/>
      <c r="L6" s="38"/>
      <c r="M6" s="38"/>
      <c r="N6" s="38"/>
      <c r="O6" s="38"/>
      <c r="P6" s="38"/>
      <c r="Q6" s="45">
        <f t="shared" ref="Q6:Q16" si="6">C6*H6</f>
        <v>0</v>
      </c>
      <c r="R6" s="38">
        <v>114</v>
      </c>
      <c r="S6" s="45">
        <f t="shared" ref="S6:S17" si="7">C6*R6</f>
        <v>2280</v>
      </c>
      <c r="T6" s="38">
        <f>T5*2</f>
        <v>38</v>
      </c>
      <c r="U6" s="45">
        <f t="shared" ref="U6:U17" si="8">C6*T6</f>
        <v>760</v>
      </c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>
        <v>114</v>
      </c>
      <c r="AG6" s="45">
        <f t="shared" si="0"/>
        <v>2280</v>
      </c>
      <c r="AH6" s="38">
        <f>AH5*2</f>
        <v>38</v>
      </c>
      <c r="AI6" s="45">
        <f t="shared" si="1"/>
        <v>760</v>
      </c>
      <c r="AJ6" s="38"/>
      <c r="AK6" s="44"/>
      <c r="AL6" s="38"/>
      <c r="AM6" s="44"/>
      <c r="AN6" s="38"/>
      <c r="AO6" s="44"/>
      <c r="AP6" s="38"/>
      <c r="AQ6" s="44"/>
      <c r="AR6" s="38"/>
      <c r="AS6" s="44"/>
      <c r="AT6" s="38">
        <v>114</v>
      </c>
      <c r="AU6" s="45">
        <f t="shared" si="2"/>
        <v>2280</v>
      </c>
      <c r="AV6" s="38">
        <f>AV5*2</f>
        <v>38</v>
      </c>
      <c r="AW6" s="45">
        <f t="shared" si="3"/>
        <v>760</v>
      </c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45">
        <f t="shared" ref="BH6:BH19" si="9">SUM(E6+G6+I6+K6+M6+O6+Q6+S6+U6+W6+Y6+AA6+AC6+AE6+AG6+AI6+AK6+AM6+AO6+AQ6+AS6+AU6+AW6+AY6+BA6+BC6+BE6+BG6)</f>
        <v>12160</v>
      </c>
      <c r="BI6" s="45">
        <f t="shared" ref="BI6:BI18" si="10">BH6*$BI$19</f>
        <v>1216000</v>
      </c>
      <c r="BJ6" s="46">
        <f t="shared" ref="BJ6:BJ18" si="11">BI6/$BH$19</f>
        <v>0.38653338832686263</v>
      </c>
      <c r="BK6" s="104"/>
      <c r="BL6" s="104"/>
    </row>
    <row r="7" spans="1:64" x14ac:dyDescent="0.2">
      <c r="A7" s="39" t="s">
        <v>53</v>
      </c>
      <c r="B7" s="38" t="s">
        <v>16</v>
      </c>
      <c r="C7" s="44">
        <v>67.040000000000006</v>
      </c>
      <c r="D7" s="38">
        <v>64</v>
      </c>
      <c r="E7" s="45">
        <f t="shared" si="4"/>
        <v>4290.5600000000004</v>
      </c>
      <c r="F7" s="38"/>
      <c r="G7" s="45">
        <f t="shared" si="5"/>
        <v>0</v>
      </c>
      <c r="H7" s="38"/>
      <c r="I7" s="38"/>
      <c r="J7" s="38"/>
      <c r="K7" s="38"/>
      <c r="L7" s="38"/>
      <c r="M7" s="38"/>
      <c r="N7" s="38"/>
      <c r="O7" s="38"/>
      <c r="P7" s="38">
        <v>64</v>
      </c>
      <c r="Q7" s="45">
        <f>C7*P7</f>
        <v>4290.5600000000004</v>
      </c>
      <c r="R7" s="38">
        <v>64</v>
      </c>
      <c r="S7" s="45">
        <f t="shared" si="7"/>
        <v>4290.5600000000004</v>
      </c>
      <c r="T7" s="38"/>
      <c r="U7" s="45">
        <f t="shared" si="8"/>
        <v>0</v>
      </c>
      <c r="W7" s="38"/>
      <c r="X7" s="38"/>
      <c r="Y7" s="38"/>
      <c r="Z7" s="38"/>
      <c r="AA7" s="38"/>
      <c r="AB7" s="38"/>
      <c r="AC7" s="38"/>
      <c r="AD7" s="38">
        <v>64</v>
      </c>
      <c r="AE7" s="45">
        <f>C7*AD7</f>
        <v>4290.5600000000004</v>
      </c>
      <c r="AF7" s="38">
        <v>64</v>
      </c>
      <c r="AG7" s="45">
        <f t="shared" si="0"/>
        <v>4290.5600000000004</v>
      </c>
      <c r="AH7" s="38"/>
      <c r="AI7" s="45">
        <f t="shared" si="1"/>
        <v>0</v>
      </c>
      <c r="AJ7" s="38"/>
      <c r="AK7" s="44"/>
      <c r="AL7" s="38"/>
      <c r="AM7" s="44"/>
      <c r="AN7" s="38"/>
      <c r="AO7" s="44"/>
      <c r="AP7" s="38"/>
      <c r="AQ7" s="44"/>
      <c r="AR7" s="38">
        <v>64</v>
      </c>
      <c r="AS7" s="44">
        <f>C7*AR7</f>
        <v>4290.5600000000004</v>
      </c>
      <c r="AT7" s="38">
        <v>64</v>
      </c>
      <c r="AU7" s="45">
        <f t="shared" si="2"/>
        <v>4290.5600000000004</v>
      </c>
      <c r="AV7" s="38"/>
      <c r="AW7" s="45">
        <f t="shared" si="3"/>
        <v>0</v>
      </c>
      <c r="AX7" s="38"/>
      <c r="AY7" s="38"/>
      <c r="AZ7" s="38"/>
      <c r="BA7" s="38"/>
      <c r="BB7" s="38"/>
      <c r="BC7" s="38"/>
      <c r="BD7" s="38"/>
      <c r="BE7" s="38"/>
      <c r="BF7" s="38">
        <v>64</v>
      </c>
      <c r="BG7" s="45">
        <f>BF7*C7</f>
        <v>4290.5600000000004</v>
      </c>
      <c r="BH7" s="45">
        <f t="shared" si="9"/>
        <v>34324.480000000003</v>
      </c>
      <c r="BI7" s="45">
        <f t="shared" si="10"/>
        <v>3432448.0000000005</v>
      </c>
      <c r="BJ7" s="47">
        <f t="shared" si="11"/>
        <v>1.0910820359340159</v>
      </c>
      <c r="BK7" s="104">
        <f>SUM(BJ7:BJ8)</f>
        <v>1.8576387765738152</v>
      </c>
      <c r="BL7" s="104">
        <v>7</v>
      </c>
    </row>
    <row r="8" spans="1:64" x14ac:dyDescent="0.2">
      <c r="A8" s="38" t="s">
        <v>20</v>
      </c>
      <c r="B8" s="38" t="s">
        <v>18</v>
      </c>
      <c r="C8" s="44">
        <v>9.42</v>
      </c>
      <c r="D8" s="38">
        <f>5*D7</f>
        <v>320</v>
      </c>
      <c r="E8" s="45">
        <f t="shared" si="4"/>
        <v>3014.4</v>
      </c>
      <c r="F8" s="38"/>
      <c r="G8" s="45">
        <f t="shared" si="5"/>
        <v>0</v>
      </c>
      <c r="H8" s="38"/>
      <c r="I8" s="38"/>
      <c r="J8" s="38"/>
      <c r="K8" s="38"/>
      <c r="L8" s="38"/>
      <c r="M8" s="38"/>
      <c r="N8" s="38"/>
      <c r="O8" s="38"/>
      <c r="P8" s="38">
        <v>320</v>
      </c>
      <c r="Q8" s="45">
        <f>C8*P8</f>
        <v>3014.4</v>
      </c>
      <c r="R8" s="38">
        <v>320</v>
      </c>
      <c r="S8" s="45">
        <f t="shared" si="7"/>
        <v>3014.4</v>
      </c>
      <c r="T8" s="38"/>
      <c r="U8" s="45">
        <f t="shared" si="8"/>
        <v>0</v>
      </c>
      <c r="W8" s="38"/>
      <c r="X8" s="38"/>
      <c r="Y8" s="38"/>
      <c r="Z8" s="38"/>
      <c r="AA8" s="38"/>
      <c r="AB8" s="38"/>
      <c r="AC8" s="38"/>
      <c r="AD8" s="38">
        <v>320</v>
      </c>
      <c r="AE8" s="45">
        <f>C8*AD8</f>
        <v>3014.4</v>
      </c>
      <c r="AF8" s="38">
        <f>5*AF7</f>
        <v>320</v>
      </c>
      <c r="AG8" s="45">
        <f t="shared" si="0"/>
        <v>3014.4</v>
      </c>
      <c r="AH8" s="38"/>
      <c r="AI8" s="45">
        <f t="shared" si="1"/>
        <v>0</v>
      </c>
      <c r="AJ8" s="38"/>
      <c r="AK8" s="44"/>
      <c r="AL8" s="38"/>
      <c r="AM8" s="44"/>
      <c r="AN8" s="38"/>
      <c r="AO8" s="44"/>
      <c r="AP8" s="38"/>
      <c r="AQ8" s="44"/>
      <c r="AR8" s="38">
        <v>320</v>
      </c>
      <c r="AS8" s="44">
        <f>C8*AR8</f>
        <v>3014.4</v>
      </c>
      <c r="AT8" s="38">
        <v>320</v>
      </c>
      <c r="AU8" s="45">
        <f t="shared" si="2"/>
        <v>3014.4</v>
      </c>
      <c r="AV8" s="38"/>
      <c r="AW8" s="45">
        <f t="shared" si="3"/>
        <v>0</v>
      </c>
      <c r="AX8" s="38"/>
      <c r="AY8" s="38"/>
      <c r="AZ8" s="38"/>
      <c r="BA8" s="38"/>
      <c r="BB8" s="38"/>
      <c r="BC8" s="38"/>
      <c r="BD8" s="38"/>
      <c r="BE8" s="38"/>
      <c r="BF8" s="38">
        <v>320</v>
      </c>
      <c r="BG8" s="45">
        <f>BF8*C8</f>
        <v>3014.4</v>
      </c>
      <c r="BH8" s="45">
        <f t="shared" si="9"/>
        <v>24115.200000000004</v>
      </c>
      <c r="BI8" s="45">
        <f t="shared" si="10"/>
        <v>2411520.0000000005</v>
      </c>
      <c r="BJ8" s="47">
        <f t="shared" si="11"/>
        <v>0.76655674063979928</v>
      </c>
      <c r="BK8" s="104"/>
      <c r="BL8" s="104"/>
    </row>
    <row r="9" spans="1:64" x14ac:dyDescent="0.2">
      <c r="A9" s="39" t="s">
        <v>54</v>
      </c>
      <c r="B9" s="38" t="s">
        <v>16</v>
      </c>
      <c r="C9" s="40">
        <v>125</v>
      </c>
      <c r="D9" s="38">
        <v>64</v>
      </c>
      <c r="E9" s="45">
        <f t="shared" si="4"/>
        <v>8000</v>
      </c>
      <c r="F9" s="38">
        <v>64</v>
      </c>
      <c r="G9" s="45">
        <f t="shared" si="5"/>
        <v>8000</v>
      </c>
      <c r="H9" s="38"/>
      <c r="I9" s="38"/>
      <c r="J9" s="38"/>
      <c r="K9" s="38"/>
      <c r="L9" s="38"/>
      <c r="M9" s="38"/>
      <c r="N9" s="38"/>
      <c r="O9" s="38"/>
      <c r="P9" s="38"/>
      <c r="Q9" s="45">
        <f t="shared" si="6"/>
        <v>0</v>
      </c>
      <c r="R9" s="38">
        <v>64</v>
      </c>
      <c r="S9" s="45">
        <f t="shared" si="7"/>
        <v>8000</v>
      </c>
      <c r="T9" s="38">
        <v>64</v>
      </c>
      <c r="U9" s="45">
        <f t="shared" si="8"/>
        <v>8000</v>
      </c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>
        <v>64</v>
      </c>
      <c r="AG9" s="45">
        <f t="shared" si="0"/>
        <v>8000</v>
      </c>
      <c r="AH9" s="38">
        <v>64</v>
      </c>
      <c r="AI9" s="45">
        <f t="shared" si="1"/>
        <v>8000</v>
      </c>
      <c r="AJ9" s="38"/>
      <c r="AK9" s="44"/>
      <c r="AL9" s="38"/>
      <c r="AM9" s="44"/>
      <c r="AN9" s="38"/>
      <c r="AO9" s="44"/>
      <c r="AP9" s="38"/>
      <c r="AQ9" s="44"/>
      <c r="AR9" s="38"/>
      <c r="AS9" s="44"/>
      <c r="AT9" s="38">
        <v>64</v>
      </c>
      <c r="AU9" s="45">
        <f t="shared" si="2"/>
        <v>8000</v>
      </c>
      <c r="AV9" s="38">
        <v>64</v>
      </c>
      <c r="AW9" s="45">
        <f t="shared" si="3"/>
        <v>8000</v>
      </c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45">
        <f t="shared" si="9"/>
        <v>64000</v>
      </c>
      <c r="BI9" s="45">
        <f t="shared" si="10"/>
        <v>6400000</v>
      </c>
      <c r="BJ9" s="48">
        <f t="shared" si="11"/>
        <v>2.0343862543519089</v>
      </c>
      <c r="BK9" s="104">
        <f>SUM(BJ9:BJ10)</f>
        <v>7.8348283427600709</v>
      </c>
      <c r="BL9" s="104">
        <v>3</v>
      </c>
    </row>
    <row r="10" spans="1:64" x14ac:dyDescent="0.2">
      <c r="A10" s="39" t="s">
        <v>65</v>
      </c>
      <c r="B10" s="38" t="s">
        <v>18</v>
      </c>
      <c r="C10" s="44">
        <v>1.98</v>
      </c>
      <c r="D10" s="38">
        <f>64*240</f>
        <v>15360</v>
      </c>
      <c r="E10" s="45">
        <f t="shared" si="4"/>
        <v>30412.799999999999</v>
      </c>
      <c r="F10" s="38">
        <f>64*120</f>
        <v>7680</v>
      </c>
      <c r="G10" s="45">
        <f t="shared" si="5"/>
        <v>15206.4</v>
      </c>
      <c r="H10" s="38"/>
      <c r="I10" s="38"/>
      <c r="J10" s="38"/>
      <c r="K10" s="38"/>
      <c r="L10" s="38"/>
      <c r="M10" s="38"/>
      <c r="N10" s="38"/>
      <c r="O10" s="38"/>
      <c r="P10" s="38"/>
      <c r="Q10" s="45">
        <f t="shared" si="6"/>
        <v>0</v>
      </c>
      <c r="R10" s="38">
        <f>64*240</f>
        <v>15360</v>
      </c>
      <c r="S10" s="45">
        <f t="shared" si="7"/>
        <v>30412.799999999999</v>
      </c>
      <c r="T10" s="38">
        <f>64*120</f>
        <v>7680</v>
      </c>
      <c r="U10" s="45">
        <f t="shared" si="8"/>
        <v>15206.4</v>
      </c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>
        <f>64*240</f>
        <v>15360</v>
      </c>
      <c r="AG10" s="45">
        <f t="shared" si="0"/>
        <v>30412.799999999999</v>
      </c>
      <c r="AH10" s="38">
        <f>64*120</f>
        <v>7680</v>
      </c>
      <c r="AI10" s="45">
        <f t="shared" si="1"/>
        <v>15206.4</v>
      </c>
      <c r="AJ10" s="38"/>
      <c r="AK10" s="44"/>
      <c r="AL10" s="38"/>
      <c r="AM10" s="44"/>
      <c r="AN10" s="38"/>
      <c r="AO10" s="44"/>
      <c r="AP10" s="38"/>
      <c r="AQ10" s="44"/>
      <c r="AR10" s="38"/>
      <c r="AS10" s="44"/>
      <c r="AT10" s="38">
        <f>64*240</f>
        <v>15360</v>
      </c>
      <c r="AU10" s="45">
        <f t="shared" si="2"/>
        <v>30412.799999999999</v>
      </c>
      <c r="AV10" s="38">
        <f>64*120</f>
        <v>7680</v>
      </c>
      <c r="AW10" s="45">
        <f t="shared" si="3"/>
        <v>15206.4</v>
      </c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45">
        <f t="shared" si="9"/>
        <v>182476.79999999999</v>
      </c>
      <c r="BI10" s="45">
        <f t="shared" si="10"/>
        <v>18247680</v>
      </c>
      <c r="BJ10" s="48">
        <f t="shared" si="11"/>
        <v>5.800442088408162</v>
      </c>
      <c r="BK10" s="104"/>
      <c r="BL10" s="104"/>
    </row>
    <row r="11" spans="1:64" x14ac:dyDescent="0.2">
      <c r="A11" s="39" t="s">
        <v>55</v>
      </c>
      <c r="B11" s="38" t="s">
        <v>16</v>
      </c>
      <c r="C11" s="44">
        <v>29.6</v>
      </c>
      <c r="D11" s="38"/>
      <c r="E11" s="45">
        <f t="shared" si="4"/>
        <v>0</v>
      </c>
      <c r="F11" s="38">
        <v>22</v>
      </c>
      <c r="G11" s="45">
        <f t="shared" si="5"/>
        <v>651.20000000000005</v>
      </c>
      <c r="H11" s="38"/>
      <c r="I11" s="38"/>
      <c r="J11" s="38"/>
      <c r="K11" s="38"/>
      <c r="L11" s="38"/>
      <c r="M11" s="38"/>
      <c r="N11" s="38"/>
      <c r="O11" s="38"/>
      <c r="P11" s="38"/>
      <c r="Q11" s="45">
        <f t="shared" si="6"/>
        <v>0</v>
      </c>
      <c r="R11" s="38"/>
      <c r="S11" s="45">
        <f t="shared" si="7"/>
        <v>0</v>
      </c>
      <c r="T11" s="38">
        <v>22</v>
      </c>
      <c r="U11" s="45">
        <f t="shared" si="8"/>
        <v>651.20000000000005</v>
      </c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45">
        <f t="shared" si="0"/>
        <v>0</v>
      </c>
      <c r="AH11" s="38">
        <v>22</v>
      </c>
      <c r="AI11" s="45">
        <f t="shared" si="1"/>
        <v>651.20000000000005</v>
      </c>
      <c r="AJ11" s="38"/>
      <c r="AK11" s="44"/>
      <c r="AL11" s="38"/>
      <c r="AM11" s="44"/>
      <c r="AN11" s="38"/>
      <c r="AO11" s="44"/>
      <c r="AP11" s="38"/>
      <c r="AQ11" s="44"/>
      <c r="AR11" s="38"/>
      <c r="AS11" s="44"/>
      <c r="AT11" s="38"/>
      <c r="AU11" s="45">
        <f t="shared" si="2"/>
        <v>0</v>
      </c>
      <c r="AV11" s="38">
        <v>22</v>
      </c>
      <c r="AW11" s="45">
        <f t="shared" si="3"/>
        <v>651.20000000000005</v>
      </c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45">
        <f t="shared" si="9"/>
        <v>2604.8000000000002</v>
      </c>
      <c r="BI11" s="45">
        <f t="shared" si="10"/>
        <v>260480.00000000003</v>
      </c>
      <c r="BJ11" s="49">
        <f t="shared" si="11"/>
        <v>8.2799520552122696E-2</v>
      </c>
      <c r="BK11" s="104">
        <f>SUM(BJ11:BJ13)</f>
        <v>0.17286358012025427</v>
      </c>
      <c r="BL11" s="104">
        <v>8</v>
      </c>
    </row>
    <row r="12" spans="1:64" x14ac:dyDescent="0.2">
      <c r="A12" s="39" t="s">
        <v>56</v>
      </c>
      <c r="B12" s="38" t="s">
        <v>18</v>
      </c>
      <c r="C12" s="44">
        <v>279.41000000000003</v>
      </c>
      <c r="D12" s="38"/>
      <c r="E12" s="45">
        <f t="shared" si="4"/>
        <v>0</v>
      </c>
      <c r="F12" s="38">
        <v>2.2000000000000002</v>
      </c>
      <c r="G12" s="45">
        <f t="shared" si="5"/>
        <v>614.70200000000011</v>
      </c>
      <c r="H12" s="38"/>
      <c r="I12" s="38"/>
      <c r="J12" s="38"/>
      <c r="K12" s="38"/>
      <c r="L12" s="38"/>
      <c r="M12" s="38"/>
      <c r="N12" s="38"/>
      <c r="O12" s="38"/>
      <c r="P12" s="38"/>
      <c r="Q12" s="45">
        <f t="shared" si="6"/>
        <v>0</v>
      </c>
      <c r="R12" s="38"/>
      <c r="S12" s="45">
        <f t="shared" si="7"/>
        <v>0</v>
      </c>
      <c r="T12" s="38">
        <v>2.2000000000000002</v>
      </c>
      <c r="U12" s="45">
        <f t="shared" si="8"/>
        <v>614.70200000000011</v>
      </c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45">
        <f t="shared" si="0"/>
        <v>0</v>
      </c>
      <c r="AH12" s="38">
        <v>2.2000000000000002</v>
      </c>
      <c r="AI12" s="45">
        <f t="shared" si="1"/>
        <v>614.70200000000011</v>
      </c>
      <c r="AJ12" s="38"/>
      <c r="AK12" s="44"/>
      <c r="AL12" s="38"/>
      <c r="AM12" s="44"/>
      <c r="AN12" s="38"/>
      <c r="AO12" s="44"/>
      <c r="AP12" s="38"/>
      <c r="AQ12" s="44"/>
      <c r="AR12" s="38"/>
      <c r="AS12" s="44"/>
      <c r="AT12" s="38"/>
      <c r="AU12" s="45">
        <f t="shared" si="2"/>
        <v>0</v>
      </c>
      <c r="AV12" s="38">
        <v>2.2000000000000002</v>
      </c>
      <c r="AW12" s="45">
        <f t="shared" si="3"/>
        <v>614.70200000000011</v>
      </c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45">
        <f t="shared" si="9"/>
        <v>2458.8080000000004</v>
      </c>
      <c r="BI12" s="45">
        <f t="shared" si="10"/>
        <v>245880.80000000005</v>
      </c>
      <c r="BJ12" s="49">
        <f t="shared" si="11"/>
        <v>7.8158831207664203E-2</v>
      </c>
      <c r="BK12" s="104"/>
      <c r="BL12" s="104"/>
    </row>
    <row r="13" spans="1:64" x14ac:dyDescent="0.2">
      <c r="A13" s="39" t="s">
        <v>57</v>
      </c>
      <c r="B13" s="39" t="s">
        <v>24</v>
      </c>
      <c r="C13" s="44">
        <v>10.64</v>
      </c>
      <c r="D13" s="38"/>
      <c r="E13" s="45">
        <f t="shared" si="4"/>
        <v>0</v>
      </c>
      <c r="F13" s="38">
        <v>8.8000000000000007</v>
      </c>
      <c r="G13" s="45">
        <f t="shared" si="5"/>
        <v>93.632000000000019</v>
      </c>
      <c r="H13" s="38"/>
      <c r="I13" s="38"/>
      <c r="J13" s="38"/>
      <c r="K13" s="38"/>
      <c r="L13" s="38"/>
      <c r="M13" s="38"/>
      <c r="N13" s="38"/>
      <c r="O13" s="38"/>
      <c r="P13" s="38"/>
      <c r="Q13" s="45">
        <f t="shared" si="6"/>
        <v>0</v>
      </c>
      <c r="R13" s="38"/>
      <c r="S13" s="45">
        <f t="shared" si="7"/>
        <v>0</v>
      </c>
      <c r="T13" s="38">
        <v>8.8000000000000007</v>
      </c>
      <c r="U13" s="45">
        <f t="shared" si="8"/>
        <v>93.632000000000019</v>
      </c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45">
        <f t="shared" si="0"/>
        <v>0</v>
      </c>
      <c r="AH13" s="38">
        <v>8.8000000000000007</v>
      </c>
      <c r="AI13" s="45">
        <f t="shared" si="1"/>
        <v>93.632000000000019</v>
      </c>
      <c r="AJ13" s="38"/>
      <c r="AK13" s="44"/>
      <c r="AL13" s="38"/>
      <c r="AM13" s="44"/>
      <c r="AN13" s="38"/>
      <c r="AO13" s="44"/>
      <c r="AP13" s="38"/>
      <c r="AQ13" s="44"/>
      <c r="AR13" s="38"/>
      <c r="AS13" s="44"/>
      <c r="AT13" s="38"/>
      <c r="AU13" s="45">
        <f t="shared" si="2"/>
        <v>0</v>
      </c>
      <c r="AV13" s="38">
        <v>8.8000000000000007</v>
      </c>
      <c r="AW13" s="45">
        <f t="shared" si="3"/>
        <v>93.632000000000019</v>
      </c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45">
        <f t="shared" si="9"/>
        <v>374.52800000000008</v>
      </c>
      <c r="BI13" s="45">
        <f t="shared" si="10"/>
        <v>37452.80000000001</v>
      </c>
      <c r="BJ13" s="49">
        <f t="shared" si="11"/>
        <v>1.1905228360467373E-2</v>
      </c>
      <c r="BK13" s="104"/>
      <c r="BL13" s="104"/>
    </row>
    <row r="14" spans="1:64" x14ac:dyDescent="0.2">
      <c r="A14" s="39" t="s">
        <v>58</v>
      </c>
      <c r="B14" s="38" t="s">
        <v>16</v>
      </c>
      <c r="C14" s="44">
        <v>5000</v>
      </c>
      <c r="D14" s="38"/>
      <c r="E14" s="45">
        <f t="shared" si="4"/>
        <v>0</v>
      </c>
      <c r="F14" s="38"/>
      <c r="G14" s="45">
        <f t="shared" si="5"/>
        <v>0</v>
      </c>
      <c r="H14" s="38"/>
      <c r="I14" s="38"/>
      <c r="J14" s="38"/>
      <c r="K14" s="38"/>
      <c r="L14" s="38"/>
      <c r="M14" s="38"/>
      <c r="N14" s="38"/>
      <c r="O14" s="38"/>
      <c r="P14" s="38">
        <v>64</v>
      </c>
      <c r="Q14" s="45">
        <f>C14*P14</f>
        <v>320000</v>
      </c>
      <c r="R14" s="38"/>
      <c r="S14" s="45">
        <f t="shared" si="7"/>
        <v>0</v>
      </c>
      <c r="T14" s="38"/>
      <c r="U14" s="45">
        <f t="shared" si="8"/>
        <v>0</v>
      </c>
      <c r="W14" s="38"/>
      <c r="X14" s="38"/>
      <c r="Y14" s="38"/>
      <c r="Z14" s="38"/>
      <c r="AA14" s="38"/>
      <c r="AB14" s="38"/>
      <c r="AC14" s="38"/>
      <c r="AD14" s="38">
        <v>64</v>
      </c>
      <c r="AE14" s="45">
        <f>C14*AD14</f>
        <v>320000</v>
      </c>
      <c r="AF14" s="38"/>
      <c r="AG14" s="45">
        <f t="shared" si="0"/>
        <v>0</v>
      </c>
      <c r="AH14" s="38"/>
      <c r="AI14" s="45">
        <f t="shared" si="1"/>
        <v>0</v>
      </c>
      <c r="AJ14" s="38"/>
      <c r="AK14" s="44"/>
      <c r="AL14" s="38"/>
      <c r="AM14" s="44"/>
      <c r="AN14" s="38"/>
      <c r="AO14" s="44"/>
      <c r="AP14" s="38"/>
      <c r="AQ14" s="44"/>
      <c r="AR14" s="38">
        <v>64</v>
      </c>
      <c r="AS14" s="44">
        <f>C14*AR14</f>
        <v>320000</v>
      </c>
      <c r="AT14" s="38"/>
      <c r="AU14" s="45">
        <f t="shared" si="2"/>
        <v>0</v>
      </c>
      <c r="AV14" s="38"/>
      <c r="AW14" s="45">
        <f t="shared" si="3"/>
        <v>0</v>
      </c>
      <c r="AX14" s="38"/>
      <c r="AY14" s="38"/>
      <c r="AZ14" s="38"/>
      <c r="BA14" s="38"/>
      <c r="BB14" s="38"/>
      <c r="BC14" s="38"/>
      <c r="BD14" s="38"/>
      <c r="BE14" s="38"/>
      <c r="BF14" s="38">
        <v>64</v>
      </c>
      <c r="BG14" s="45">
        <f>BF14*C14</f>
        <v>320000</v>
      </c>
      <c r="BH14" s="45">
        <f t="shared" si="9"/>
        <v>1280000</v>
      </c>
      <c r="BI14" s="45">
        <f t="shared" si="10"/>
        <v>128000000</v>
      </c>
      <c r="BJ14" s="50">
        <f t="shared" si="11"/>
        <v>40.687725087038174</v>
      </c>
      <c r="BK14" s="51">
        <f>BJ14</f>
        <v>40.687725087038174</v>
      </c>
      <c r="BL14" s="52">
        <v>1</v>
      </c>
    </row>
    <row r="15" spans="1:64" x14ac:dyDescent="0.2">
      <c r="A15" s="39" t="s">
        <v>59</v>
      </c>
      <c r="B15" s="38" t="s">
        <v>16</v>
      </c>
      <c r="C15" s="44">
        <v>591.20000000000005</v>
      </c>
      <c r="D15" s="38"/>
      <c r="E15" s="45">
        <f t="shared" si="4"/>
        <v>0</v>
      </c>
      <c r="F15" s="38"/>
      <c r="G15" s="45">
        <f t="shared" si="5"/>
        <v>0</v>
      </c>
      <c r="H15" s="38"/>
      <c r="I15" s="38"/>
      <c r="J15" s="38"/>
      <c r="K15" s="38"/>
      <c r="L15" s="38"/>
      <c r="M15" s="38"/>
      <c r="N15" s="38"/>
      <c r="O15" s="38"/>
      <c r="P15" s="38"/>
      <c r="Q15" s="45">
        <f t="shared" si="6"/>
        <v>0</v>
      </c>
      <c r="R15" s="38">
        <v>64</v>
      </c>
      <c r="S15" s="45">
        <f t="shared" si="7"/>
        <v>37836.800000000003</v>
      </c>
      <c r="T15" s="38"/>
      <c r="U15" s="45">
        <f t="shared" si="8"/>
        <v>0</v>
      </c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45">
        <f t="shared" si="0"/>
        <v>0</v>
      </c>
      <c r="AH15" s="38"/>
      <c r="AI15" s="45">
        <f t="shared" si="1"/>
        <v>0</v>
      </c>
      <c r="AJ15" s="38"/>
      <c r="AK15" s="44"/>
      <c r="AL15" s="38"/>
      <c r="AM15" s="44"/>
      <c r="AN15" s="38"/>
      <c r="AO15" s="44"/>
      <c r="AP15" s="38"/>
      <c r="AQ15" s="44"/>
      <c r="AR15" s="38"/>
      <c r="AS15" s="44"/>
      <c r="AT15" s="38">
        <v>64</v>
      </c>
      <c r="AU15" s="45">
        <f t="shared" si="2"/>
        <v>37836.800000000003</v>
      </c>
      <c r="AV15" s="38"/>
      <c r="AW15" s="45">
        <f t="shared" si="3"/>
        <v>0</v>
      </c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45">
        <f t="shared" si="9"/>
        <v>75673.600000000006</v>
      </c>
      <c r="BI15" s="45">
        <f t="shared" si="10"/>
        <v>7567360.0000000009</v>
      </c>
      <c r="BJ15" s="53">
        <f t="shared" si="11"/>
        <v>2.4054583071456972</v>
      </c>
      <c r="BK15" s="51">
        <f>BJ15</f>
        <v>2.4054583071456972</v>
      </c>
      <c r="BL15" s="52">
        <v>5</v>
      </c>
    </row>
    <row r="16" spans="1:64" x14ac:dyDescent="0.2">
      <c r="A16" s="39" t="s">
        <v>60</v>
      </c>
      <c r="B16" s="38" t="s">
        <v>16</v>
      </c>
      <c r="C16" s="44">
        <v>1500</v>
      </c>
      <c r="D16" s="38"/>
      <c r="E16" s="45">
        <f t="shared" si="4"/>
        <v>0</v>
      </c>
      <c r="F16" s="38"/>
      <c r="G16" s="45">
        <f t="shared" si="5"/>
        <v>0</v>
      </c>
      <c r="H16" s="38"/>
      <c r="I16" s="38"/>
      <c r="J16" s="38"/>
      <c r="K16" s="38"/>
      <c r="L16" s="38"/>
      <c r="M16" s="38"/>
      <c r="N16" s="38"/>
      <c r="O16" s="38"/>
      <c r="P16" s="38"/>
      <c r="Q16" s="45">
        <f t="shared" si="6"/>
        <v>0</v>
      </c>
      <c r="R16" s="38"/>
      <c r="S16" s="45">
        <f t="shared" si="7"/>
        <v>0</v>
      </c>
      <c r="T16" s="38"/>
      <c r="U16" s="45">
        <f t="shared" si="8"/>
        <v>0</v>
      </c>
      <c r="W16" s="38"/>
      <c r="X16" s="38"/>
      <c r="Y16" s="38"/>
      <c r="Z16" s="38"/>
      <c r="AA16" s="38"/>
      <c r="AB16" s="38"/>
      <c r="AC16" s="38"/>
      <c r="AD16" s="38">
        <v>64</v>
      </c>
      <c r="AE16" s="45">
        <f>C16*AD16</f>
        <v>96000</v>
      </c>
      <c r="AF16" s="38"/>
      <c r="AG16" s="45">
        <f t="shared" si="0"/>
        <v>0</v>
      </c>
      <c r="AH16" s="38"/>
      <c r="AI16" s="45">
        <f t="shared" si="1"/>
        <v>0</v>
      </c>
      <c r="AJ16" s="38"/>
      <c r="AK16" s="44"/>
      <c r="AL16" s="38"/>
      <c r="AM16" s="44"/>
      <c r="AN16" s="38"/>
      <c r="AO16" s="44"/>
      <c r="AP16" s="38"/>
      <c r="AQ16" s="44"/>
      <c r="AR16" s="38"/>
      <c r="AS16" s="44"/>
      <c r="AT16" s="38"/>
      <c r="AU16" s="45">
        <f t="shared" si="2"/>
        <v>0</v>
      </c>
      <c r="AV16" s="38"/>
      <c r="AW16" s="45">
        <f t="shared" si="3"/>
        <v>0</v>
      </c>
      <c r="AX16" s="38"/>
      <c r="AY16" s="38"/>
      <c r="AZ16" s="38"/>
      <c r="BA16" s="38"/>
      <c r="BB16" s="38"/>
      <c r="BC16" s="38"/>
      <c r="BD16" s="38"/>
      <c r="BE16" s="38"/>
      <c r="BF16" s="38">
        <v>64</v>
      </c>
      <c r="BG16" s="45">
        <f>BF16*C16</f>
        <v>96000</v>
      </c>
      <c r="BH16" s="45">
        <f t="shared" si="9"/>
        <v>192000</v>
      </c>
      <c r="BI16" s="45">
        <f t="shared" si="10"/>
        <v>19200000</v>
      </c>
      <c r="BJ16" s="50">
        <f t="shared" si="11"/>
        <v>6.1031587630557258</v>
      </c>
      <c r="BK16" s="51">
        <f>BJ16</f>
        <v>6.1031587630557258</v>
      </c>
      <c r="BL16" s="52">
        <v>4</v>
      </c>
    </row>
    <row r="17" spans="1:64" s="56" customFormat="1" x14ac:dyDescent="0.2">
      <c r="A17" s="39" t="s">
        <v>61</v>
      </c>
      <c r="B17" s="39" t="s">
        <v>68</v>
      </c>
      <c r="C17" s="40">
        <v>137.15</v>
      </c>
      <c r="D17" s="39">
        <v>1</v>
      </c>
      <c r="E17" s="41">
        <f t="shared" si="4"/>
        <v>137.15</v>
      </c>
      <c r="F17" s="39">
        <v>1</v>
      </c>
      <c r="G17" s="41">
        <f t="shared" si="5"/>
        <v>137.15</v>
      </c>
      <c r="H17" s="39">
        <v>1</v>
      </c>
      <c r="I17" s="41">
        <f t="shared" ref="I17" si="12">E17*H17</f>
        <v>137.15</v>
      </c>
      <c r="J17" s="39">
        <v>1</v>
      </c>
      <c r="K17" s="41">
        <f t="shared" ref="K17" si="13">G17*J17</f>
        <v>137.15</v>
      </c>
      <c r="L17" s="39">
        <v>1</v>
      </c>
      <c r="M17" s="41">
        <f t="shared" ref="M17" si="14">I17*L17</f>
        <v>137.15</v>
      </c>
      <c r="N17" s="39">
        <v>1</v>
      </c>
      <c r="O17" s="41">
        <f t="shared" ref="O17" si="15">K17*N17</f>
        <v>137.15</v>
      </c>
      <c r="P17" s="39">
        <v>1</v>
      </c>
      <c r="Q17" s="41">
        <f t="shared" ref="Q17" si="16">M17*P17</f>
        <v>137.15</v>
      </c>
      <c r="R17" s="39">
        <v>1</v>
      </c>
      <c r="S17" s="41">
        <f t="shared" si="7"/>
        <v>137.15</v>
      </c>
      <c r="T17" s="39">
        <v>1</v>
      </c>
      <c r="U17" s="41">
        <f t="shared" si="8"/>
        <v>137.15</v>
      </c>
      <c r="V17" s="39">
        <v>1</v>
      </c>
      <c r="W17" s="41">
        <f>C17*V17</f>
        <v>137.15</v>
      </c>
      <c r="X17" s="39">
        <v>1</v>
      </c>
      <c r="Y17" s="41">
        <f>C17*X17</f>
        <v>137.15</v>
      </c>
      <c r="Z17" s="39">
        <v>1</v>
      </c>
      <c r="AA17" s="41">
        <f>C17*Z17</f>
        <v>137.15</v>
      </c>
      <c r="AB17" s="39">
        <v>1</v>
      </c>
      <c r="AC17" s="41">
        <f>C17*AB17</f>
        <v>137.15</v>
      </c>
      <c r="AD17" s="39">
        <v>1</v>
      </c>
      <c r="AE17" s="41">
        <f>C17*AD17</f>
        <v>137.15</v>
      </c>
      <c r="AF17" s="39">
        <v>1</v>
      </c>
      <c r="AG17" s="41">
        <f t="shared" si="0"/>
        <v>137.15</v>
      </c>
      <c r="AH17" s="39">
        <v>1</v>
      </c>
      <c r="AI17" s="41">
        <f>$C$17*AH17</f>
        <v>137.15</v>
      </c>
      <c r="AJ17" s="39">
        <v>1</v>
      </c>
      <c r="AK17" s="41">
        <f>$C$17*AJ17</f>
        <v>137.15</v>
      </c>
      <c r="AL17" s="39">
        <v>1</v>
      </c>
      <c r="AM17" s="41">
        <f>$C$17*AL17</f>
        <v>137.15</v>
      </c>
      <c r="AN17" s="39">
        <v>1</v>
      </c>
      <c r="AO17" s="41">
        <f>$C$17*AN17</f>
        <v>137.15</v>
      </c>
      <c r="AP17" s="39">
        <v>1</v>
      </c>
      <c r="AQ17" s="41">
        <f>$C$17*AP17</f>
        <v>137.15</v>
      </c>
      <c r="AR17" s="39">
        <v>1</v>
      </c>
      <c r="AS17" s="41">
        <f>$C$17*AR17</f>
        <v>137.15</v>
      </c>
      <c r="AT17" s="39">
        <v>1</v>
      </c>
      <c r="AU17" s="41">
        <f t="shared" si="2"/>
        <v>137.15</v>
      </c>
      <c r="AV17" s="39">
        <v>1</v>
      </c>
      <c r="AW17" s="41">
        <f>AV17*$C$17</f>
        <v>137.15</v>
      </c>
      <c r="AX17" s="39">
        <v>1</v>
      </c>
      <c r="AY17" s="41">
        <f>AX17*$C$17</f>
        <v>137.15</v>
      </c>
      <c r="AZ17" s="39">
        <v>1</v>
      </c>
      <c r="BA17" s="41">
        <f>AZ17*$C$17</f>
        <v>137.15</v>
      </c>
      <c r="BB17" s="39">
        <v>1</v>
      </c>
      <c r="BC17" s="41">
        <f>BB17*$C$17</f>
        <v>137.15</v>
      </c>
      <c r="BD17" s="39">
        <v>1</v>
      </c>
      <c r="BE17" s="41">
        <f>BD17*$C$17</f>
        <v>137.15</v>
      </c>
      <c r="BF17" s="39">
        <v>1</v>
      </c>
      <c r="BG17" s="41">
        <f>BF17*$C$17</f>
        <v>137.15</v>
      </c>
      <c r="BH17" s="45">
        <f t="shared" si="9"/>
        <v>3840.2000000000016</v>
      </c>
      <c r="BI17" s="41">
        <f t="shared" si="10"/>
        <v>384020.00000000017</v>
      </c>
      <c r="BJ17" s="75">
        <f t="shared" si="11"/>
        <v>0.12206953271815943</v>
      </c>
      <c r="BK17" s="54">
        <f>BJ17</f>
        <v>0.12206953271815943</v>
      </c>
      <c r="BL17" s="55">
        <v>9</v>
      </c>
    </row>
    <row r="18" spans="1:64" s="56" customFormat="1" x14ac:dyDescent="0.2">
      <c r="A18" s="39" t="s">
        <v>67</v>
      </c>
      <c r="B18" s="39" t="s">
        <v>66</v>
      </c>
      <c r="C18" s="40">
        <v>3600</v>
      </c>
      <c r="D18" s="39">
        <v>12</v>
      </c>
      <c r="E18" s="45">
        <f>C18*D18</f>
        <v>43200</v>
      </c>
      <c r="F18" s="39">
        <v>12</v>
      </c>
      <c r="G18" s="45">
        <f>C18*F18</f>
        <v>43200</v>
      </c>
      <c r="H18" s="39">
        <v>12</v>
      </c>
      <c r="I18" s="45">
        <f>H18*C18</f>
        <v>43200</v>
      </c>
      <c r="J18" s="39">
        <v>12</v>
      </c>
      <c r="K18" s="45">
        <f>J18*C18</f>
        <v>43200</v>
      </c>
      <c r="L18" s="39">
        <v>12</v>
      </c>
      <c r="M18" s="45">
        <f>L18*C18</f>
        <v>43200</v>
      </c>
      <c r="N18" s="39">
        <v>12</v>
      </c>
      <c r="O18" s="45">
        <f>N18*C18</f>
        <v>43200</v>
      </c>
      <c r="P18" s="39">
        <v>12</v>
      </c>
      <c r="Q18" s="45">
        <f>P18*C18</f>
        <v>43200</v>
      </c>
      <c r="R18" s="39">
        <v>12</v>
      </c>
      <c r="S18" s="45">
        <f>C18*R18</f>
        <v>43200</v>
      </c>
      <c r="T18" s="39">
        <v>12</v>
      </c>
      <c r="U18" s="41">
        <f>C18*T18</f>
        <v>43200</v>
      </c>
      <c r="V18" s="39">
        <v>12</v>
      </c>
      <c r="W18" s="41">
        <f>C18*V18</f>
        <v>43200</v>
      </c>
      <c r="X18" s="39">
        <v>12</v>
      </c>
      <c r="Y18" s="41">
        <f>C18*X18</f>
        <v>43200</v>
      </c>
      <c r="Z18" s="39">
        <v>12</v>
      </c>
      <c r="AA18" s="41">
        <f>C18*Z18</f>
        <v>43200</v>
      </c>
      <c r="AB18" s="39">
        <v>12</v>
      </c>
      <c r="AC18" s="41">
        <f>C18*AB18</f>
        <v>43200</v>
      </c>
      <c r="AD18" s="39">
        <v>12</v>
      </c>
      <c r="AE18" s="41">
        <f>C18*AD18</f>
        <v>43200</v>
      </c>
      <c r="AF18" s="39">
        <v>12</v>
      </c>
      <c r="AG18" s="45">
        <f t="shared" si="0"/>
        <v>43200</v>
      </c>
      <c r="AH18" s="39">
        <v>12</v>
      </c>
      <c r="AI18" s="45">
        <f>$C$18*AH18</f>
        <v>43200</v>
      </c>
      <c r="AJ18" s="39">
        <v>12</v>
      </c>
      <c r="AK18" s="45">
        <f>$C$18*AJ18</f>
        <v>43200</v>
      </c>
      <c r="AL18" s="39">
        <v>12</v>
      </c>
      <c r="AM18" s="45">
        <f>$C$18*AL18</f>
        <v>43200</v>
      </c>
      <c r="AN18" s="39">
        <v>12</v>
      </c>
      <c r="AO18" s="45">
        <f>$C$18*AN18</f>
        <v>43200</v>
      </c>
      <c r="AP18" s="39">
        <v>12</v>
      </c>
      <c r="AQ18" s="45">
        <f>$C$18*AP18</f>
        <v>43200</v>
      </c>
      <c r="AR18" s="39">
        <v>12</v>
      </c>
      <c r="AS18" s="45">
        <f>$C$18*AR18</f>
        <v>43200</v>
      </c>
      <c r="AT18" s="39">
        <v>12</v>
      </c>
      <c r="AU18" s="45">
        <f t="shared" si="2"/>
        <v>43200</v>
      </c>
      <c r="AV18" s="39">
        <v>12</v>
      </c>
      <c r="AW18" s="45">
        <f>AV18*$C$18</f>
        <v>43200</v>
      </c>
      <c r="AX18" s="39">
        <v>12</v>
      </c>
      <c r="AY18" s="45">
        <f>AX18*$C$18</f>
        <v>43200</v>
      </c>
      <c r="AZ18" s="39">
        <v>12</v>
      </c>
      <c r="BA18" s="45">
        <f>AZ18*$C$18</f>
        <v>43200</v>
      </c>
      <c r="BB18" s="39">
        <v>12</v>
      </c>
      <c r="BC18" s="45">
        <f>BB18*$C$18</f>
        <v>43200</v>
      </c>
      <c r="BD18" s="39">
        <v>12</v>
      </c>
      <c r="BE18" s="45">
        <f>BD18*$C$18</f>
        <v>43200</v>
      </c>
      <c r="BF18" s="39">
        <v>12</v>
      </c>
      <c r="BG18" s="45">
        <f>BF18*$C$18</f>
        <v>43200</v>
      </c>
      <c r="BH18" s="45">
        <f t="shared" si="9"/>
        <v>1209600</v>
      </c>
      <c r="BI18" s="45">
        <f t="shared" si="10"/>
        <v>120960000</v>
      </c>
      <c r="BJ18" s="50">
        <f t="shared" si="11"/>
        <v>38.449900207251076</v>
      </c>
      <c r="BK18" s="54">
        <f>BJ18</f>
        <v>38.449900207251076</v>
      </c>
      <c r="BL18" s="55">
        <v>2</v>
      </c>
    </row>
    <row r="19" spans="1:64" ht="15" x14ac:dyDescent="0.25">
      <c r="A19" s="57" t="s">
        <v>2</v>
      </c>
      <c r="B19" s="38"/>
      <c r="C19" s="38"/>
      <c r="D19" s="38"/>
      <c r="E19" s="45">
        <f>SUM(E5:E18)</f>
        <v>103013.07</v>
      </c>
      <c r="F19" s="38"/>
      <c r="G19" s="45">
        <f>SUM(G5:G18)</f>
        <v>72555.804000000004</v>
      </c>
      <c r="H19" s="38"/>
      <c r="I19" s="44">
        <f>SUM(I5:I18)</f>
        <v>43337.15</v>
      </c>
      <c r="J19" s="38"/>
      <c r="K19" s="44">
        <f>SUM(K5:K18)</f>
        <v>43337.15</v>
      </c>
      <c r="L19" s="38"/>
      <c r="M19" s="44">
        <f>SUM(M5:M18)</f>
        <v>43337.15</v>
      </c>
      <c r="N19" s="38"/>
      <c r="O19" s="44">
        <f>SUM(O5:O18)</f>
        <v>43337.15</v>
      </c>
      <c r="P19" s="38"/>
      <c r="Q19" s="45">
        <f>SUM(Q5:Q18)</f>
        <v>370642.11000000004</v>
      </c>
      <c r="R19" s="38"/>
      <c r="S19" s="45">
        <f>SUM(S5:S18)</f>
        <v>140849.87</v>
      </c>
      <c r="T19" s="38"/>
      <c r="U19" s="45">
        <f>SUM(U5:U18)</f>
        <v>72555.804000000004</v>
      </c>
      <c r="V19" s="38"/>
      <c r="W19" s="44">
        <f>SUM(W5:W18)</f>
        <v>43337.15</v>
      </c>
      <c r="X19" s="38"/>
      <c r="Y19" s="44">
        <f>SUM(Y5:Y18)</f>
        <v>43337.15</v>
      </c>
      <c r="Z19" s="38"/>
      <c r="AA19" s="44">
        <f>SUM(AA5:AA18)</f>
        <v>43337.15</v>
      </c>
      <c r="AB19" s="38"/>
      <c r="AC19" s="44">
        <f>SUM(AC5:AC18)</f>
        <v>43337.15</v>
      </c>
      <c r="AD19" s="38"/>
      <c r="AE19" s="44">
        <f>SUM(AE5:AE18)</f>
        <v>466642.11000000004</v>
      </c>
      <c r="AF19" s="38"/>
      <c r="AG19" s="45">
        <f>SUM(AG5:AG18)</f>
        <v>103013.07</v>
      </c>
      <c r="AH19" s="38"/>
      <c r="AI19" s="45">
        <f>SUM(AI5:AI18)</f>
        <v>72555.804000000004</v>
      </c>
      <c r="AJ19" s="38"/>
      <c r="AK19" s="44">
        <f>SUM(AK5:AK18)</f>
        <v>43337.15</v>
      </c>
      <c r="AL19" s="38"/>
      <c r="AM19" s="44">
        <f>SUM(AM5:AM18)</f>
        <v>43337.15</v>
      </c>
      <c r="AN19" s="38"/>
      <c r="AO19" s="44">
        <f>SUM(AO5:AO18)</f>
        <v>43337.15</v>
      </c>
      <c r="AP19" s="38"/>
      <c r="AQ19" s="44">
        <f>SUM(AQ5:AQ18)</f>
        <v>43337.15</v>
      </c>
      <c r="AR19" s="38"/>
      <c r="AS19" s="44">
        <f>SUM(AS5:AS18)</f>
        <v>370642.11000000004</v>
      </c>
      <c r="AT19" s="38"/>
      <c r="AU19" s="45">
        <f>SUM(AU5:AU18)</f>
        <v>140849.87</v>
      </c>
      <c r="AV19" s="38"/>
      <c r="AW19" s="45">
        <f>SUM(AW5:AW18)</f>
        <v>72555.804000000004</v>
      </c>
      <c r="AX19" s="38"/>
      <c r="AY19" s="44">
        <f>SUM(AY5:AY18)</f>
        <v>43337.15</v>
      </c>
      <c r="AZ19" s="38"/>
      <c r="BA19" s="44">
        <f>SUM(BA5:BA18)</f>
        <v>43337.15</v>
      </c>
      <c r="BB19" s="38"/>
      <c r="BC19" s="44">
        <f>SUM(BC5:BC18)</f>
        <v>43337.15</v>
      </c>
      <c r="BD19" s="38"/>
      <c r="BE19" s="44">
        <f>SUM(BE5:BE18)</f>
        <v>43337.15</v>
      </c>
      <c r="BF19" s="38"/>
      <c r="BG19" s="44">
        <f>SUM(BG5:BG18)</f>
        <v>466642.11000000004</v>
      </c>
      <c r="BH19" s="45">
        <f t="shared" si="9"/>
        <v>3145911.9359999993</v>
      </c>
      <c r="BI19" s="58">
        <v>100</v>
      </c>
      <c r="BJ19" s="38">
        <f>SUM(BJ5:BJ18)</f>
        <v>100.00000000000003</v>
      </c>
      <c r="BK19" s="51">
        <f>SUM(BK5:BK18)</f>
        <v>100.00000000000003</v>
      </c>
    </row>
    <row r="21" spans="1:64" ht="15" x14ac:dyDescent="0.25">
      <c r="A21" s="59" t="s">
        <v>64</v>
      </c>
      <c r="B21" s="60">
        <f>((BH19/28)/64)</f>
        <v>1755.531214285714</v>
      </c>
      <c r="BH21" s="61"/>
    </row>
    <row r="22" spans="1:64" ht="15" x14ac:dyDescent="0.25">
      <c r="A22" s="62"/>
      <c r="E22" s="105" t="s">
        <v>78</v>
      </c>
      <c r="F22" s="105"/>
      <c r="G22" s="105"/>
      <c r="H22" s="105"/>
      <c r="I22" s="96"/>
      <c r="J22" s="96"/>
      <c r="K22" s="96"/>
      <c r="L22" s="96"/>
      <c r="M22" s="96"/>
      <c r="N22" s="96"/>
      <c r="O22" s="96"/>
      <c r="P22" s="96"/>
      <c r="Q22" s="106"/>
      <c r="R22" s="106"/>
      <c r="S22" s="106"/>
      <c r="T22" s="61"/>
    </row>
    <row r="23" spans="1:64" x14ac:dyDescent="0.2">
      <c r="E23" s="38">
        <v>1</v>
      </c>
      <c r="F23" s="45">
        <v>65</v>
      </c>
      <c r="G23" s="38">
        <f>350*64</f>
        <v>22400</v>
      </c>
      <c r="H23" s="45">
        <f>G23*F23</f>
        <v>1456000</v>
      </c>
      <c r="I23" s="63"/>
      <c r="J23" s="63"/>
      <c r="K23" s="63"/>
      <c r="L23" s="63"/>
      <c r="M23" s="63"/>
      <c r="N23" s="63"/>
      <c r="O23" s="63"/>
      <c r="P23" s="63"/>
      <c r="Q23" s="63"/>
      <c r="R23" s="64"/>
      <c r="S23" s="63"/>
      <c r="BH23" s="61"/>
    </row>
    <row r="24" spans="1:64" x14ac:dyDescent="0.2">
      <c r="E24" s="38">
        <v>2</v>
      </c>
      <c r="F24" s="45">
        <v>65</v>
      </c>
      <c r="G24" s="38">
        <f t="shared" ref="G24:G26" si="17">350*64</f>
        <v>22400</v>
      </c>
      <c r="H24" s="45">
        <f t="shared" ref="H24:H26" si="18">G24*F24</f>
        <v>1456000</v>
      </c>
      <c r="I24" s="63"/>
      <c r="J24" s="63"/>
      <c r="K24" s="63"/>
      <c r="L24" s="63"/>
      <c r="M24" s="63"/>
      <c r="N24" s="63"/>
      <c r="O24" s="63"/>
      <c r="P24" s="63"/>
      <c r="Q24" s="63"/>
      <c r="R24" s="64"/>
      <c r="S24" s="63"/>
      <c r="AG24" s="61"/>
    </row>
    <row r="25" spans="1:64" x14ac:dyDescent="0.2">
      <c r="A25" s="56"/>
      <c r="E25" s="38">
        <v>3</v>
      </c>
      <c r="F25" s="45">
        <v>65</v>
      </c>
      <c r="G25" s="38">
        <f t="shared" si="17"/>
        <v>22400</v>
      </c>
      <c r="H25" s="45">
        <f t="shared" si="18"/>
        <v>1456000</v>
      </c>
      <c r="I25" s="63"/>
      <c r="J25" s="63"/>
      <c r="K25" s="63"/>
      <c r="L25" s="63"/>
      <c r="M25" s="63"/>
      <c r="N25" s="63"/>
      <c r="O25" s="63"/>
      <c r="P25" s="63"/>
      <c r="Q25" s="63"/>
      <c r="R25" s="64"/>
      <c r="S25" s="63"/>
      <c r="AG25" s="61"/>
    </row>
    <row r="26" spans="1:64" x14ac:dyDescent="0.2">
      <c r="E26" s="65">
        <v>4</v>
      </c>
      <c r="F26" s="45">
        <v>65</v>
      </c>
      <c r="G26" s="38">
        <f t="shared" si="17"/>
        <v>22400</v>
      </c>
      <c r="H26" s="45">
        <f t="shared" si="18"/>
        <v>1456000</v>
      </c>
      <c r="I26" s="63"/>
      <c r="J26" s="63"/>
      <c r="K26" s="63"/>
      <c r="L26" s="63"/>
      <c r="M26" s="63"/>
      <c r="N26" s="63"/>
      <c r="O26" s="63"/>
      <c r="P26" s="63"/>
      <c r="Q26" s="63"/>
      <c r="R26" s="64"/>
      <c r="S26" s="63"/>
      <c r="AG26" s="61"/>
    </row>
    <row r="27" spans="1:64" x14ac:dyDescent="0.2">
      <c r="T27" s="61"/>
      <c r="U27" s="61"/>
      <c r="AT27" s="61"/>
      <c r="AU27" s="61"/>
    </row>
    <row r="28" spans="1:64" ht="15" x14ac:dyDescent="0.25">
      <c r="E28" s="105" t="s">
        <v>92</v>
      </c>
      <c r="F28" s="105"/>
      <c r="G28" s="105"/>
      <c r="H28" s="105"/>
      <c r="I28" s="96"/>
      <c r="J28" s="96"/>
      <c r="K28" s="96"/>
      <c r="L28" s="96"/>
      <c r="M28" s="96"/>
      <c r="N28" s="96"/>
      <c r="O28" s="96"/>
      <c r="P28" s="96"/>
      <c r="AU28" s="61"/>
      <c r="BH28" s="61"/>
    </row>
    <row r="29" spans="1:64" ht="15" x14ac:dyDescent="0.25">
      <c r="E29" s="37" t="s">
        <v>89</v>
      </c>
      <c r="F29" s="37" t="s">
        <v>51</v>
      </c>
      <c r="G29" s="37" t="s">
        <v>90</v>
      </c>
      <c r="H29" s="37" t="s">
        <v>91</v>
      </c>
      <c r="I29" s="96"/>
      <c r="J29" s="96"/>
      <c r="K29" s="96"/>
      <c r="L29" s="96"/>
      <c r="M29" s="96"/>
      <c r="N29" s="96"/>
      <c r="O29" s="96"/>
      <c r="P29" s="96"/>
    </row>
    <row r="30" spans="1:64" x14ac:dyDescent="0.2">
      <c r="E30" s="38">
        <v>64</v>
      </c>
      <c r="F30" s="44">
        <v>3061.28</v>
      </c>
      <c r="G30" s="66">
        <v>6.9999999999999999E-4</v>
      </c>
      <c r="H30" s="44">
        <f>((E30*F30)*G30)</f>
        <v>137.14534399999999</v>
      </c>
      <c r="I30" s="99"/>
      <c r="J30" s="99"/>
      <c r="K30" s="99"/>
      <c r="L30" s="99"/>
      <c r="M30" s="99"/>
      <c r="N30" s="99"/>
      <c r="O30" s="99"/>
      <c r="P30" s="99"/>
    </row>
  </sheetData>
  <mergeCells count="47">
    <mergeCell ref="BD3:BE3"/>
    <mergeCell ref="BF3:BG3"/>
    <mergeCell ref="AP3:AQ3"/>
    <mergeCell ref="AR3:AS3"/>
    <mergeCell ref="AX3:AY3"/>
    <mergeCell ref="AZ3:BA3"/>
    <mergeCell ref="BB3:BC3"/>
    <mergeCell ref="A1:BG1"/>
    <mergeCell ref="D2:Q2"/>
    <mergeCell ref="R2:AE2"/>
    <mergeCell ref="AF2:AS2"/>
    <mergeCell ref="AT2:BG2"/>
    <mergeCell ref="AF3:AG3"/>
    <mergeCell ref="AH3:AI3"/>
    <mergeCell ref="AT3:AU3"/>
    <mergeCell ref="AV3:AW3"/>
    <mergeCell ref="D3:E3"/>
    <mergeCell ref="F3:G3"/>
    <mergeCell ref="R3:S3"/>
    <mergeCell ref="T3:U3"/>
    <mergeCell ref="V3:W3"/>
    <mergeCell ref="X3:Y3"/>
    <mergeCell ref="Z3:AA3"/>
    <mergeCell ref="AB3:AC3"/>
    <mergeCell ref="AD3:AE3"/>
    <mergeCell ref="AJ3:AK3"/>
    <mergeCell ref="AL3:AM3"/>
    <mergeCell ref="AN3:AO3"/>
    <mergeCell ref="E22:H22"/>
    <mergeCell ref="Q22:S22"/>
    <mergeCell ref="E28:H28"/>
    <mergeCell ref="A2:A4"/>
    <mergeCell ref="B2:B4"/>
    <mergeCell ref="C2:C4"/>
    <mergeCell ref="H3:I3"/>
    <mergeCell ref="J3:K3"/>
    <mergeCell ref="L3:M3"/>
    <mergeCell ref="N3:O3"/>
    <mergeCell ref="P3:Q3"/>
    <mergeCell ref="BK11:BK13"/>
    <mergeCell ref="BK9:BK10"/>
    <mergeCell ref="BK7:BK8"/>
    <mergeCell ref="BK5:BK6"/>
    <mergeCell ref="BL5:BL6"/>
    <mergeCell ref="BL7:BL8"/>
    <mergeCell ref="BL9:BL10"/>
    <mergeCell ref="BL11:BL13"/>
  </mergeCells>
  <pageMargins left="0.511811024" right="0.511811024" top="0.78740157499999996" bottom="0.78740157499999996" header="0.31496062000000002" footer="0.31496062000000002"/>
  <pageSetup orientation="portrait" r:id="rId1"/>
  <headerFooter>
    <oddFooter>&amp;C&amp;1#&amp;"Calibri"&amp;10&amp;K000000Classificação da informação: Uso Interno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3"/>
  <sheetViews>
    <sheetView showGridLines="0" tabSelected="1" workbookViewId="0">
      <selection activeCell="D18" sqref="D18"/>
    </sheetView>
  </sheetViews>
  <sheetFormatPr defaultColWidth="17.85546875" defaultRowHeight="15" x14ac:dyDescent="0.25"/>
  <cols>
    <col min="1" max="1" width="24.7109375" bestFit="1" customWidth="1"/>
    <col min="8" max="8" width="15.85546875" bestFit="1" customWidth="1"/>
  </cols>
  <sheetData>
    <row r="1" spans="1:34" x14ac:dyDescent="0.25">
      <c r="A1" s="120" t="s">
        <v>42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2"/>
      <c r="AE1" s="102" t="s">
        <v>104</v>
      </c>
    </row>
    <row r="2" spans="1:34" x14ac:dyDescent="0.25">
      <c r="A2" s="20" t="s">
        <v>43</v>
      </c>
      <c r="B2" s="124" t="s">
        <v>44</v>
      </c>
      <c r="C2" s="124"/>
      <c r="D2" s="124"/>
      <c r="E2" s="124"/>
      <c r="F2" s="124"/>
      <c r="G2" s="124"/>
      <c r="H2" s="124"/>
      <c r="I2" s="124"/>
      <c r="J2" s="126" t="s">
        <v>45</v>
      </c>
      <c r="K2" s="127"/>
      <c r="L2" s="127"/>
      <c r="M2" s="127"/>
      <c r="N2" s="127"/>
      <c r="O2" s="127"/>
      <c r="P2" s="128"/>
      <c r="Q2" s="129" t="s">
        <v>76</v>
      </c>
      <c r="R2" s="130"/>
      <c r="S2" s="130"/>
      <c r="T2" s="130"/>
      <c r="U2" s="130"/>
      <c r="V2" s="130"/>
      <c r="W2" s="131"/>
      <c r="X2" s="117" t="s">
        <v>77</v>
      </c>
      <c r="Y2" s="118"/>
      <c r="Z2" s="118"/>
      <c r="AA2" s="118"/>
      <c r="AB2" s="118"/>
      <c r="AC2" s="118"/>
      <c r="AD2" s="119"/>
      <c r="AE2" s="102"/>
    </row>
    <row r="3" spans="1:34" s="1" customFormat="1" x14ac:dyDescent="0.25">
      <c r="A3" s="17" t="s">
        <v>40</v>
      </c>
      <c r="B3" s="3">
        <v>0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23">
        <v>15</v>
      </c>
      <c r="R3" s="23">
        <v>16</v>
      </c>
      <c r="S3" s="23">
        <v>17</v>
      </c>
      <c r="T3" s="23">
        <v>18</v>
      </c>
      <c r="U3" s="23">
        <v>19</v>
      </c>
      <c r="V3" s="23">
        <v>20</v>
      </c>
      <c r="W3" s="23">
        <v>21</v>
      </c>
      <c r="X3" s="23">
        <v>22</v>
      </c>
      <c r="Y3" s="23">
        <v>23</v>
      </c>
      <c r="Z3" s="23">
        <v>24</v>
      </c>
      <c r="AA3" s="23">
        <v>25</v>
      </c>
      <c r="AB3" s="23">
        <v>26</v>
      </c>
      <c r="AC3" s="23">
        <v>27</v>
      </c>
      <c r="AD3" s="23">
        <v>28</v>
      </c>
      <c r="AE3" s="102"/>
    </row>
    <row r="4" spans="1:34" x14ac:dyDescent="0.25">
      <c r="A4" s="4" t="s">
        <v>5</v>
      </c>
      <c r="B4" s="5">
        <f>-'Custos Implantação'!F30</f>
        <v>-1324879.0959999997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4"/>
    </row>
    <row r="5" spans="1:34" x14ac:dyDescent="0.25">
      <c r="A5" s="4" t="s">
        <v>6</v>
      </c>
      <c r="B5" s="5"/>
      <c r="C5" s="5"/>
      <c r="D5" s="5"/>
      <c r="E5" s="5"/>
      <c r="F5" s="5"/>
      <c r="G5" s="5"/>
      <c r="H5" s="5"/>
      <c r="I5" s="5">
        <f>D30</f>
        <v>1456000</v>
      </c>
      <c r="J5" s="5"/>
      <c r="K5" s="5"/>
      <c r="L5" s="5"/>
      <c r="M5" s="5"/>
      <c r="N5" s="5"/>
      <c r="O5" s="5"/>
      <c r="P5" s="5">
        <f>D31</f>
        <v>1456000</v>
      </c>
      <c r="Q5" s="5"/>
      <c r="R5" s="5"/>
      <c r="S5" s="5"/>
      <c r="T5" s="5"/>
      <c r="U5" s="5"/>
      <c r="V5" s="5"/>
      <c r="W5" s="5">
        <f>D32</f>
        <v>1456000</v>
      </c>
      <c r="X5" s="5"/>
      <c r="Y5" s="5"/>
      <c r="Z5" s="5"/>
      <c r="AA5" s="5"/>
      <c r="AB5" s="5"/>
      <c r="AC5" s="5"/>
      <c r="AD5" s="5">
        <f>D33</f>
        <v>1456000</v>
      </c>
      <c r="AE5" s="6">
        <f>SUM(C5:AD5)</f>
        <v>5824000</v>
      </c>
    </row>
    <row r="6" spans="1:34" x14ac:dyDescent="0.25">
      <c r="A6" s="4" t="s">
        <v>7</v>
      </c>
      <c r="B6" s="5"/>
      <c r="C6" s="5">
        <f>'Custos Manutenção'!E19</f>
        <v>103013.07</v>
      </c>
      <c r="D6" s="5">
        <f>'Custos Manutenção'!G19</f>
        <v>72555.804000000004</v>
      </c>
      <c r="E6" s="5">
        <f>'Custos Manutenção'!I19</f>
        <v>43337.15</v>
      </c>
      <c r="F6" s="5">
        <f>'Custos Manutenção'!K19</f>
        <v>43337.15</v>
      </c>
      <c r="G6" s="5">
        <f>'Custos Manutenção'!M19</f>
        <v>43337.15</v>
      </c>
      <c r="H6" s="5">
        <f>'Custos Manutenção'!O19</f>
        <v>43337.15</v>
      </c>
      <c r="I6" s="5">
        <f>'Custos Manutenção'!Q19</f>
        <v>370642.11000000004</v>
      </c>
      <c r="J6" s="5">
        <f>'Custos Manutenção'!S19</f>
        <v>140849.87</v>
      </c>
      <c r="K6" s="5">
        <f>'Custos Manutenção'!U19</f>
        <v>72555.804000000004</v>
      </c>
      <c r="L6" s="5">
        <f>'Custos Manutenção'!W19</f>
        <v>43337.15</v>
      </c>
      <c r="M6" s="5">
        <f>'Custos Manutenção'!Y19</f>
        <v>43337.15</v>
      </c>
      <c r="N6" s="5">
        <f>'Custos Manutenção'!AA19</f>
        <v>43337.15</v>
      </c>
      <c r="O6" s="5">
        <f>'Custos Manutenção'!AC19</f>
        <v>43337.15</v>
      </c>
      <c r="P6" s="5">
        <f>'Custos Manutenção'!AE19</f>
        <v>466642.11000000004</v>
      </c>
      <c r="Q6" s="5">
        <f>('Custos Manutenção'!AG19+'Custos Implantação'!H30)</f>
        <v>403892.16599999997</v>
      </c>
      <c r="R6" s="5">
        <f>'Custos Manutenção'!AI19</f>
        <v>72555.804000000004</v>
      </c>
      <c r="S6" s="5">
        <f>'Custos Manutenção'!AK19</f>
        <v>43337.15</v>
      </c>
      <c r="T6" s="5">
        <f>'Custos Manutenção'!AM19</f>
        <v>43337.15</v>
      </c>
      <c r="U6" s="5">
        <f>'Custos Manutenção'!AO19</f>
        <v>43337.15</v>
      </c>
      <c r="V6" s="5">
        <f>'Custos Manutenção'!AQ19</f>
        <v>43337.15</v>
      </c>
      <c r="W6" s="5">
        <f>'Custos Manutenção'!AS19</f>
        <v>370642.11000000004</v>
      </c>
      <c r="X6" s="5">
        <f>'Custos Manutenção'!AU19</f>
        <v>140849.87</v>
      </c>
      <c r="Y6" s="5">
        <f>'Custos Manutenção'!AW19</f>
        <v>72555.804000000004</v>
      </c>
      <c r="Z6" s="5">
        <f>'Custos Manutenção'!AY19</f>
        <v>43337.15</v>
      </c>
      <c r="AA6" s="5">
        <f>'Custos Manutenção'!BA19</f>
        <v>43337.15</v>
      </c>
      <c r="AB6" s="5">
        <f>'Custos Manutenção'!BC19</f>
        <v>43337.15</v>
      </c>
      <c r="AC6" s="5">
        <f>'Custos Manutenção'!BE19</f>
        <v>43337.15</v>
      </c>
      <c r="AD6" s="5">
        <f>'Custos Manutenção'!BG19</f>
        <v>466642.11000000004</v>
      </c>
      <c r="AE6" s="6">
        <f>SUM(B6:AD6)</f>
        <v>3446791.0319999992</v>
      </c>
      <c r="AF6" s="2">
        <f>AE6-'Custos Implantação'!H30</f>
        <v>3145911.9359999993</v>
      </c>
      <c r="AG6" s="2">
        <f>AF6/28</f>
        <v>112353.9977142857</v>
      </c>
      <c r="AH6" s="2">
        <f>AG6/64</f>
        <v>1755.531214285714</v>
      </c>
    </row>
    <row r="7" spans="1:34" x14ac:dyDescent="0.25">
      <c r="A7" s="4" t="s">
        <v>83</v>
      </c>
      <c r="B7" s="5"/>
      <c r="C7" s="5"/>
      <c r="D7" s="5"/>
      <c r="E7" s="5"/>
      <c r="F7" s="5"/>
      <c r="G7" s="5"/>
      <c r="H7" s="5"/>
      <c r="I7" s="5">
        <f>H30</f>
        <v>99060.083679999996</v>
      </c>
      <c r="J7" s="5"/>
      <c r="K7" s="5"/>
      <c r="L7" s="5"/>
      <c r="M7" s="5"/>
      <c r="N7" s="5"/>
      <c r="O7" s="5"/>
      <c r="P7" s="5">
        <f>H31</f>
        <v>88308.083679999996</v>
      </c>
      <c r="Q7" s="5"/>
      <c r="R7" s="5"/>
      <c r="S7" s="5"/>
      <c r="T7" s="5"/>
      <c r="U7" s="5"/>
      <c r="V7" s="5"/>
      <c r="W7" s="5">
        <f>H32</f>
        <v>99060.083679999996</v>
      </c>
      <c r="X7" s="5"/>
      <c r="Y7" s="5"/>
      <c r="Z7" s="5"/>
      <c r="AA7" s="5"/>
      <c r="AB7" s="5"/>
      <c r="AC7" s="5"/>
      <c r="AD7" s="5">
        <f>H33</f>
        <v>88308.083679999996</v>
      </c>
      <c r="AE7" s="6">
        <f>SUM(B7:AD7)</f>
        <v>374736.33471999998</v>
      </c>
    </row>
    <row r="8" spans="1:34" x14ac:dyDescent="0.25">
      <c r="A8" s="4" t="s">
        <v>8</v>
      </c>
      <c r="B8" s="5">
        <f>B4</f>
        <v>-1324879.0959999997</v>
      </c>
      <c r="C8" s="5">
        <f t="shared" ref="C8:H8" si="0">-C6</f>
        <v>-103013.07</v>
      </c>
      <c r="D8" s="5">
        <f t="shared" si="0"/>
        <v>-72555.804000000004</v>
      </c>
      <c r="E8" s="5">
        <f t="shared" si="0"/>
        <v>-43337.15</v>
      </c>
      <c r="F8" s="5">
        <f t="shared" si="0"/>
        <v>-43337.15</v>
      </c>
      <c r="G8" s="5">
        <f t="shared" si="0"/>
        <v>-43337.15</v>
      </c>
      <c r="H8" s="5">
        <f t="shared" si="0"/>
        <v>-43337.15</v>
      </c>
      <c r="I8" s="5">
        <f>I5-I6-I7</f>
        <v>986297.80631999986</v>
      </c>
      <c r="J8" s="5">
        <f t="shared" ref="J8:O8" si="1">-J6</f>
        <v>-140849.87</v>
      </c>
      <c r="K8" s="5">
        <f t="shared" si="1"/>
        <v>-72555.804000000004</v>
      </c>
      <c r="L8" s="5">
        <f t="shared" si="1"/>
        <v>-43337.15</v>
      </c>
      <c r="M8" s="5">
        <f t="shared" si="1"/>
        <v>-43337.15</v>
      </c>
      <c r="N8" s="5">
        <f t="shared" si="1"/>
        <v>-43337.15</v>
      </c>
      <c r="O8" s="5">
        <f t="shared" si="1"/>
        <v>-43337.15</v>
      </c>
      <c r="P8" s="5">
        <f>P5-P6-P7</f>
        <v>901049.80631999986</v>
      </c>
      <c r="Q8" s="5">
        <f t="shared" ref="Q8:V8" si="2">-Q6</f>
        <v>-403892.16599999997</v>
      </c>
      <c r="R8" s="5">
        <f t="shared" si="2"/>
        <v>-72555.804000000004</v>
      </c>
      <c r="S8" s="5">
        <f t="shared" si="2"/>
        <v>-43337.15</v>
      </c>
      <c r="T8" s="5">
        <f t="shared" si="2"/>
        <v>-43337.15</v>
      </c>
      <c r="U8" s="5">
        <f t="shared" si="2"/>
        <v>-43337.15</v>
      </c>
      <c r="V8" s="5">
        <f t="shared" si="2"/>
        <v>-43337.15</v>
      </c>
      <c r="W8" s="5">
        <f>W5-W6-W7</f>
        <v>986297.80631999986</v>
      </c>
      <c r="X8" s="5">
        <f t="shared" ref="X8:AC8" si="3">-X6</f>
        <v>-140849.87</v>
      </c>
      <c r="Y8" s="5">
        <f t="shared" si="3"/>
        <v>-72555.804000000004</v>
      </c>
      <c r="Z8" s="5">
        <f t="shared" si="3"/>
        <v>-43337.15</v>
      </c>
      <c r="AA8" s="5">
        <f t="shared" si="3"/>
        <v>-43337.15</v>
      </c>
      <c r="AB8" s="5">
        <f t="shared" si="3"/>
        <v>-43337.15</v>
      </c>
      <c r="AC8" s="5">
        <f t="shared" si="3"/>
        <v>-43337.15</v>
      </c>
      <c r="AD8" s="5">
        <f>AD5-AD6-AD7</f>
        <v>901049.80631999986</v>
      </c>
      <c r="AE8" s="4"/>
    </row>
    <row r="9" spans="1:34" x14ac:dyDescent="0.25">
      <c r="A9" s="12" t="s">
        <v>9</v>
      </c>
      <c r="B9" s="5">
        <f>B8</f>
        <v>-1324879.0959999997</v>
      </c>
      <c r="C9" s="5">
        <f t="shared" ref="C9:O9" si="4">B9+C8</f>
        <v>-1427892.1659999997</v>
      </c>
      <c r="D9" s="5">
        <f t="shared" si="4"/>
        <v>-1500447.9699999997</v>
      </c>
      <c r="E9" s="5">
        <f t="shared" si="4"/>
        <v>-1543785.1199999996</v>
      </c>
      <c r="F9" s="5">
        <f t="shared" si="4"/>
        <v>-1587122.2699999996</v>
      </c>
      <c r="G9" s="5">
        <f t="shared" si="4"/>
        <v>-1630459.4199999995</v>
      </c>
      <c r="H9" s="5">
        <f t="shared" si="4"/>
        <v>-1673796.5699999994</v>
      </c>
      <c r="I9" s="5">
        <f t="shared" si="4"/>
        <v>-687498.76367999951</v>
      </c>
      <c r="J9" s="5">
        <f t="shared" si="4"/>
        <v>-828348.6336799995</v>
      </c>
      <c r="K9" s="5">
        <f t="shared" si="4"/>
        <v>-900904.43767999951</v>
      </c>
      <c r="L9" s="5">
        <f t="shared" si="4"/>
        <v>-944241.58767999953</v>
      </c>
      <c r="M9" s="5">
        <f t="shared" si="4"/>
        <v>-987578.73767999955</v>
      </c>
      <c r="N9" s="5">
        <f t="shared" si="4"/>
        <v>-1030915.8876799996</v>
      </c>
      <c r="O9" s="5">
        <f t="shared" si="4"/>
        <v>-1074253.0376799996</v>
      </c>
      <c r="P9" s="5">
        <f t="shared" ref="P9" si="5">O9+P8</f>
        <v>-173203.23135999974</v>
      </c>
      <c r="Q9" s="5">
        <f t="shared" ref="Q9:AD9" si="6">P9+Q8</f>
        <v>-577095.39735999971</v>
      </c>
      <c r="R9" s="5">
        <f t="shared" si="6"/>
        <v>-649651.20135999972</v>
      </c>
      <c r="S9" s="5">
        <f t="shared" si="6"/>
        <v>-692988.35135999974</v>
      </c>
      <c r="T9" s="5">
        <f t="shared" si="6"/>
        <v>-736325.50135999976</v>
      </c>
      <c r="U9" s="5">
        <f t="shared" si="6"/>
        <v>-779662.65135999979</v>
      </c>
      <c r="V9" s="5">
        <f t="shared" si="6"/>
        <v>-822999.80135999981</v>
      </c>
      <c r="W9" s="5">
        <f t="shared" si="6"/>
        <v>163298.00496000005</v>
      </c>
      <c r="X9" s="5">
        <f>W9+X8</f>
        <v>22448.134960000054</v>
      </c>
      <c r="Y9" s="5">
        <f t="shared" si="6"/>
        <v>-50107.66903999995</v>
      </c>
      <c r="Z9" s="5">
        <f t="shared" si="6"/>
        <v>-93444.819039999944</v>
      </c>
      <c r="AA9" s="5">
        <f t="shared" si="6"/>
        <v>-136781.96903999994</v>
      </c>
      <c r="AB9" s="5">
        <f t="shared" si="6"/>
        <v>-180119.11903999993</v>
      </c>
      <c r="AC9" s="5">
        <f t="shared" si="6"/>
        <v>-223456.26903999993</v>
      </c>
      <c r="AD9" s="5">
        <f t="shared" si="6"/>
        <v>677593.53727999993</v>
      </c>
      <c r="AE9" s="4"/>
    </row>
    <row r="10" spans="1:34" x14ac:dyDescent="0.25">
      <c r="A10" s="87" t="s">
        <v>115</v>
      </c>
      <c r="B10" s="88">
        <f>B4</f>
        <v>-1324879.0959999997</v>
      </c>
      <c r="C10" s="89">
        <f t="shared" ref="C10:AD10" si="7">PV($B$16,C3,,-C9,)</f>
        <v>-1335131.8507352883</v>
      </c>
      <c r="D10" s="89">
        <f t="shared" si="7"/>
        <v>-1311832.6371142766</v>
      </c>
      <c r="E10" s="89">
        <f t="shared" si="7"/>
        <v>-1262039.9055070989</v>
      </c>
      <c r="F10" s="89">
        <f t="shared" si="7"/>
        <v>-1213180.3518087936</v>
      </c>
      <c r="G10" s="89">
        <f t="shared" si="7"/>
        <v>-1165342.8673069929</v>
      </c>
      <c r="H10" s="89">
        <f t="shared" si="7"/>
        <v>-1118600.8557777628</v>
      </c>
      <c r="I10" s="89">
        <f t="shared" si="7"/>
        <v>-429608.77236467361</v>
      </c>
      <c r="J10" s="89">
        <f t="shared" si="7"/>
        <v>-483997.50755326659</v>
      </c>
      <c r="K10" s="89">
        <f t="shared" si="7"/>
        <v>-492195.27102081088</v>
      </c>
      <c r="L10" s="89">
        <f t="shared" si="7"/>
        <v>-482359.21588906093</v>
      </c>
      <c r="M10" s="89">
        <f t="shared" si="7"/>
        <v>-471723.95696936129</v>
      </c>
      <c r="N10" s="89">
        <f t="shared" si="7"/>
        <v>-460434.84196326241</v>
      </c>
      <c r="O10" s="89">
        <f t="shared" si="7"/>
        <v>-448621.70689929358</v>
      </c>
      <c r="P10" s="89">
        <f t="shared" si="7"/>
        <v>-67632.965256930314</v>
      </c>
      <c r="Q10" s="89">
        <f t="shared" si="7"/>
        <v>-210706.91804141446</v>
      </c>
      <c r="R10" s="89">
        <f t="shared" si="7"/>
        <v>-221789.08833428202</v>
      </c>
      <c r="S10" s="89">
        <f t="shared" si="7"/>
        <v>-221215.01934304382</v>
      </c>
      <c r="T10" s="89">
        <f t="shared" si="7"/>
        <v>-219779.54141105068</v>
      </c>
      <c r="U10" s="89">
        <f t="shared" si="7"/>
        <v>-217596.99683432138</v>
      </c>
      <c r="V10" s="89">
        <f t="shared" si="7"/>
        <v>-214770.50716950267</v>
      </c>
      <c r="W10" s="89">
        <f t="shared" si="7"/>
        <v>39845.982221245598</v>
      </c>
      <c r="X10" s="89">
        <f t="shared" si="7"/>
        <v>5121.682686123444</v>
      </c>
      <c r="Y10" s="89">
        <f t="shared" si="7"/>
        <v>-10689.695870971171</v>
      </c>
      <c r="Z10" s="89">
        <f t="shared" si="7"/>
        <v>-18639.966268646342</v>
      </c>
      <c r="AA10" s="89">
        <f t="shared" si="7"/>
        <v>-25512.175377608619</v>
      </c>
      <c r="AB10" s="89">
        <f t="shared" si="7"/>
        <v>-31412.839849432261</v>
      </c>
      <c r="AC10" s="89">
        <f t="shared" si="7"/>
        <v>-36439.186670168623</v>
      </c>
      <c r="AD10" s="89">
        <f t="shared" si="7"/>
        <v>103317.55792617021</v>
      </c>
      <c r="AE10" s="135" t="s">
        <v>125</v>
      </c>
    </row>
    <row r="11" spans="1:34" x14ac:dyDescent="0.25">
      <c r="A11" s="87" t="s">
        <v>116</v>
      </c>
      <c r="B11" s="88">
        <f>B4</f>
        <v>-1324879.0959999997</v>
      </c>
      <c r="C11" s="88">
        <f>B11+C10</f>
        <v>-2660010.946735288</v>
      </c>
      <c r="D11" s="88">
        <f t="shared" ref="D11:AD11" si="8">C11+D10</f>
        <v>-3971843.5838495647</v>
      </c>
      <c r="E11" s="88">
        <f t="shared" si="8"/>
        <v>-5233883.4893566631</v>
      </c>
      <c r="F11" s="88">
        <f t="shared" si="8"/>
        <v>-6447063.8411654569</v>
      </c>
      <c r="G11" s="88">
        <f t="shared" si="8"/>
        <v>-7612406.7084724493</v>
      </c>
      <c r="H11" s="88">
        <f t="shared" si="8"/>
        <v>-8731007.5642502122</v>
      </c>
      <c r="I11" s="88">
        <f t="shared" si="8"/>
        <v>-9160616.3366148863</v>
      </c>
      <c r="J11" s="88">
        <f t="shared" si="8"/>
        <v>-9644613.8441681527</v>
      </c>
      <c r="K11" s="88">
        <f t="shared" si="8"/>
        <v>-10136809.115188964</v>
      </c>
      <c r="L11" s="88">
        <f t="shared" si="8"/>
        <v>-10619168.331078025</v>
      </c>
      <c r="M11" s="88">
        <f t="shared" si="8"/>
        <v>-11090892.288047386</v>
      </c>
      <c r="N11" s="88">
        <f t="shared" si="8"/>
        <v>-11551327.13001065</v>
      </c>
      <c r="O11" s="88">
        <f t="shared" si="8"/>
        <v>-11999948.836909942</v>
      </c>
      <c r="P11" s="88">
        <f t="shared" si="8"/>
        <v>-12067581.802166872</v>
      </c>
      <c r="Q11" s="88">
        <f t="shared" si="8"/>
        <v>-12278288.720208285</v>
      </c>
      <c r="R11" s="88">
        <f t="shared" si="8"/>
        <v>-12500077.808542568</v>
      </c>
      <c r="S11" s="88">
        <f t="shared" si="8"/>
        <v>-12721292.827885613</v>
      </c>
      <c r="T11" s="88">
        <f t="shared" si="8"/>
        <v>-12941072.369296664</v>
      </c>
      <c r="U11" s="88">
        <f t="shared" si="8"/>
        <v>-13158669.366130985</v>
      </c>
      <c r="V11" s="88">
        <f t="shared" si="8"/>
        <v>-13373439.873300487</v>
      </c>
      <c r="W11" s="88">
        <f t="shared" si="8"/>
        <v>-13333593.891079241</v>
      </c>
      <c r="X11" s="88">
        <f t="shared" si="8"/>
        <v>-13328472.208393117</v>
      </c>
      <c r="Y11" s="88">
        <f t="shared" si="8"/>
        <v>-13339161.904264089</v>
      </c>
      <c r="Z11" s="88">
        <f t="shared" si="8"/>
        <v>-13357801.870532734</v>
      </c>
      <c r="AA11" s="88">
        <f t="shared" si="8"/>
        <v>-13383314.045910344</v>
      </c>
      <c r="AB11" s="88">
        <f t="shared" si="8"/>
        <v>-13414726.885759776</v>
      </c>
      <c r="AC11" s="88">
        <f t="shared" si="8"/>
        <v>-13451166.072429946</v>
      </c>
      <c r="AD11" s="88">
        <f t="shared" si="8"/>
        <v>-13347848.514503775</v>
      </c>
      <c r="AE11" s="136"/>
    </row>
    <row r="12" spans="1:34" x14ac:dyDescent="0.25">
      <c r="A12" s="90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7"/>
    </row>
    <row r="13" spans="1:34" x14ac:dyDescent="0.25">
      <c r="A13" s="67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</row>
    <row r="14" spans="1:34" x14ac:dyDescent="0.25">
      <c r="A14" s="57" t="s">
        <v>102</v>
      </c>
      <c r="B14" s="69" t="s">
        <v>103</v>
      </c>
    </row>
    <row r="15" spans="1:34" x14ac:dyDescent="0.25">
      <c r="A15" s="69" t="s">
        <v>112</v>
      </c>
      <c r="B15" s="70">
        <f>SUM(A25:C25)</f>
        <v>0.1114</v>
      </c>
      <c r="AC15" s="2"/>
    </row>
    <row r="16" spans="1:34" x14ac:dyDescent="0.25">
      <c r="A16" s="57" t="s">
        <v>110</v>
      </c>
      <c r="B16" s="86">
        <f>(1+B15)/(1+D25)-1</f>
        <v>6.9476520400308051E-2</v>
      </c>
      <c r="C16" s="85" t="s">
        <v>113</v>
      </c>
      <c r="AC16" s="2"/>
    </row>
    <row r="17" spans="1:29" x14ac:dyDescent="0.25">
      <c r="A17" s="69" t="s">
        <v>3</v>
      </c>
      <c r="B17" s="45">
        <f>NPV(B15,C8:AD8)+B8</f>
        <v>-1047731.3736259637</v>
      </c>
      <c r="AC17" s="2"/>
    </row>
    <row r="18" spans="1:29" x14ac:dyDescent="0.25">
      <c r="A18" s="69" t="s">
        <v>10</v>
      </c>
      <c r="B18" s="71">
        <f>IRR(B8:AD8,B15)</f>
        <v>2.0844647641288683E-2</v>
      </c>
    </row>
    <row r="19" spans="1:29" x14ac:dyDescent="0.25">
      <c r="A19" s="69" t="s">
        <v>41</v>
      </c>
      <c r="B19" s="76">
        <f>V9/(V9-W9)+V3</f>
        <v>20.834433368995025</v>
      </c>
      <c r="C19" s="77"/>
      <c r="D19" s="77"/>
      <c r="Q19" s="16"/>
      <c r="R19" s="16"/>
      <c r="S19" s="2"/>
      <c r="W19" s="2"/>
    </row>
    <row r="20" spans="1:29" x14ac:dyDescent="0.25">
      <c r="A20" s="69" t="s">
        <v>114</v>
      </c>
      <c r="B20" s="97" t="s">
        <v>126</v>
      </c>
      <c r="C20" s="77"/>
      <c r="D20" s="77"/>
      <c r="Q20" s="16"/>
      <c r="R20" s="16"/>
      <c r="S20" s="2"/>
      <c r="W20" s="2"/>
    </row>
    <row r="21" spans="1:29" x14ac:dyDescent="0.25">
      <c r="D21" s="77"/>
      <c r="Q21" s="16"/>
      <c r="R21" s="16"/>
      <c r="S21" s="2"/>
      <c r="W21" s="2"/>
    </row>
    <row r="23" spans="1:29" x14ac:dyDescent="0.25">
      <c r="A23" s="125" t="s">
        <v>112</v>
      </c>
      <c r="B23" s="125"/>
      <c r="C23" s="125"/>
      <c r="D23" s="73" t="s">
        <v>110</v>
      </c>
    </row>
    <row r="24" spans="1:29" x14ac:dyDescent="0.25">
      <c r="A24" s="15" t="s">
        <v>73</v>
      </c>
      <c r="B24" s="12" t="s">
        <v>75</v>
      </c>
      <c r="C24" s="12" t="s">
        <v>74</v>
      </c>
      <c r="D24" s="74" t="s">
        <v>111</v>
      </c>
      <c r="J24" s="16"/>
    </row>
    <row r="25" spans="1:29" x14ac:dyDescent="0.25">
      <c r="A25" s="22">
        <v>0.02</v>
      </c>
      <c r="B25" s="22">
        <v>2.7099999999999999E-2</v>
      </c>
      <c r="C25" s="22">
        <v>6.4299999999999996E-2</v>
      </c>
      <c r="D25" s="84">
        <v>3.9199999999999999E-2</v>
      </c>
      <c r="J25" s="16"/>
      <c r="K25" s="2"/>
    </row>
    <row r="26" spans="1:29" x14ac:dyDescent="0.25">
      <c r="J26" s="16"/>
    </row>
    <row r="28" spans="1:29" x14ac:dyDescent="0.25">
      <c r="A28" s="123" t="s">
        <v>78</v>
      </c>
      <c r="B28" s="123"/>
      <c r="C28" s="123"/>
      <c r="D28" s="123"/>
      <c r="E28" s="132" t="s">
        <v>84</v>
      </c>
      <c r="F28" s="133"/>
      <c r="G28" s="133"/>
      <c r="H28" s="134"/>
    </row>
    <row r="29" spans="1:29" x14ac:dyDescent="0.25">
      <c r="A29" s="21" t="s">
        <v>93</v>
      </c>
      <c r="B29" s="21" t="s">
        <v>94</v>
      </c>
      <c r="C29" s="21" t="s">
        <v>95</v>
      </c>
      <c r="D29" s="21" t="s">
        <v>85</v>
      </c>
      <c r="E29" s="21" t="s">
        <v>86</v>
      </c>
      <c r="F29" s="21" t="s">
        <v>87</v>
      </c>
      <c r="G29" s="23" t="s">
        <v>88</v>
      </c>
      <c r="H29" s="23" t="s">
        <v>2</v>
      </c>
    </row>
    <row r="30" spans="1:29" x14ac:dyDescent="0.25">
      <c r="A30" s="4">
        <v>1</v>
      </c>
      <c r="B30" s="6">
        <v>65</v>
      </c>
      <c r="C30" s="4">
        <f>350*64</f>
        <v>22400</v>
      </c>
      <c r="D30" s="6">
        <f>C30*B30</f>
        <v>1456000</v>
      </c>
      <c r="E30" s="6">
        <f>I6</f>
        <v>370642.11000000004</v>
      </c>
      <c r="F30" s="24">
        <v>0.112</v>
      </c>
      <c r="G30" s="5">
        <v>22500</v>
      </c>
      <c r="H30" s="6">
        <f>((D30-E30)*F30)-G30</f>
        <v>99060.083679999996</v>
      </c>
    </row>
    <row r="31" spans="1:29" x14ac:dyDescent="0.25">
      <c r="A31" s="4">
        <v>2</v>
      </c>
      <c r="B31" s="6">
        <v>65</v>
      </c>
      <c r="C31" s="4">
        <f>350*64</f>
        <v>22400</v>
      </c>
      <c r="D31" s="6">
        <f t="shared" ref="D31:D33" si="9">C31*B31</f>
        <v>1456000</v>
      </c>
      <c r="E31" s="6">
        <f>P6</f>
        <v>466642.11000000004</v>
      </c>
      <c r="F31" s="24">
        <v>0.112</v>
      </c>
      <c r="G31" s="5">
        <v>22500</v>
      </c>
      <c r="H31" s="6">
        <f>((D31-E31)*F31)-G31</f>
        <v>88308.083679999996</v>
      </c>
    </row>
    <row r="32" spans="1:29" x14ac:dyDescent="0.25">
      <c r="A32" s="4">
        <v>3</v>
      </c>
      <c r="B32" s="6">
        <v>65</v>
      </c>
      <c r="C32" s="4">
        <f>350*64</f>
        <v>22400</v>
      </c>
      <c r="D32" s="6">
        <f t="shared" si="9"/>
        <v>1456000</v>
      </c>
      <c r="E32" s="6">
        <f>W6</f>
        <v>370642.11000000004</v>
      </c>
      <c r="F32" s="24">
        <v>0.112</v>
      </c>
      <c r="G32" s="5">
        <v>22500</v>
      </c>
      <c r="H32" s="6">
        <f>((D32-E32)*F32)-G32</f>
        <v>99060.083679999996</v>
      </c>
    </row>
    <row r="33" spans="1:8" x14ac:dyDescent="0.25">
      <c r="A33" s="7">
        <v>4</v>
      </c>
      <c r="B33" s="6">
        <v>65</v>
      </c>
      <c r="C33" s="4">
        <f>350*64</f>
        <v>22400</v>
      </c>
      <c r="D33" s="6">
        <f t="shared" si="9"/>
        <v>1456000</v>
      </c>
      <c r="E33" s="6">
        <f>AD6</f>
        <v>466642.11000000004</v>
      </c>
      <c r="F33" s="24">
        <v>0.112</v>
      </c>
      <c r="G33" s="5">
        <v>22500</v>
      </c>
      <c r="H33" s="6">
        <f>((D33-E33)*F33)-G33</f>
        <v>88308.083679999996</v>
      </c>
    </row>
  </sheetData>
  <mergeCells count="10">
    <mergeCell ref="AE1:AE3"/>
    <mergeCell ref="X2:AD2"/>
    <mergeCell ref="A1:AD1"/>
    <mergeCell ref="A28:D28"/>
    <mergeCell ref="B2:I2"/>
    <mergeCell ref="A23:C23"/>
    <mergeCell ref="J2:P2"/>
    <mergeCell ref="Q2:W2"/>
    <mergeCell ref="E28:H28"/>
    <mergeCell ref="AE10:AE11"/>
  </mergeCells>
  <pageMargins left="0.511811024" right="0.511811024" top="0.78740157499999996" bottom="0.78740157499999996" header="0.31496062000000002" footer="0.31496062000000002"/>
  <pageSetup orientation="portrait" r:id="rId1"/>
  <headerFooter>
    <oddFooter>&amp;C&amp;1#&amp;"Calibri"&amp;10&amp;K000000Classificação da informação: Uso Interno</oddFooter>
  </headerFooter>
  <ignoredErrors>
    <ignoredError sqref="I8" 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H33"/>
  <sheetViews>
    <sheetView showGridLines="0" topLeftCell="A6" workbookViewId="0">
      <selection activeCell="F14" sqref="F14"/>
    </sheetView>
  </sheetViews>
  <sheetFormatPr defaultColWidth="17.85546875" defaultRowHeight="15" x14ac:dyDescent="0.25"/>
  <cols>
    <col min="1" max="1" width="24.7109375" bestFit="1" customWidth="1"/>
    <col min="8" max="8" width="15.85546875" bestFit="1" customWidth="1"/>
  </cols>
  <sheetData>
    <row r="1" spans="1:86" x14ac:dyDescent="0.25">
      <c r="A1" s="140" t="s">
        <v>42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</row>
    <row r="2" spans="1:86" x14ac:dyDescent="0.25">
      <c r="A2" s="20" t="s">
        <v>43</v>
      </c>
      <c r="B2" s="124" t="s">
        <v>44</v>
      </c>
      <c r="C2" s="124"/>
      <c r="D2" s="124"/>
      <c r="E2" s="124"/>
      <c r="F2" s="124"/>
      <c r="G2" s="124"/>
      <c r="H2" s="124"/>
      <c r="I2" s="124"/>
      <c r="J2" s="126" t="s">
        <v>45</v>
      </c>
      <c r="K2" s="127"/>
      <c r="L2" s="127"/>
      <c r="M2" s="127"/>
      <c r="N2" s="127"/>
      <c r="O2" s="127"/>
      <c r="P2" s="128"/>
      <c r="Q2" s="129" t="s">
        <v>76</v>
      </c>
      <c r="R2" s="130"/>
      <c r="S2" s="130"/>
      <c r="T2" s="130"/>
      <c r="U2" s="130"/>
      <c r="V2" s="130"/>
      <c r="W2" s="131"/>
      <c r="X2" s="117" t="s">
        <v>77</v>
      </c>
      <c r="Y2" s="118"/>
      <c r="Z2" s="118"/>
      <c r="AA2" s="118"/>
      <c r="AB2" s="118"/>
      <c r="AC2" s="118"/>
      <c r="AD2" s="119"/>
      <c r="AE2" s="137" t="s">
        <v>117</v>
      </c>
      <c r="AF2" s="138"/>
      <c r="AG2" s="138"/>
      <c r="AH2" s="138"/>
      <c r="AI2" s="138"/>
      <c r="AJ2" s="138"/>
      <c r="AK2" s="138"/>
      <c r="AL2" s="139" t="s">
        <v>118</v>
      </c>
      <c r="AM2" s="139"/>
      <c r="AN2" s="139"/>
      <c r="AO2" s="139"/>
      <c r="AP2" s="139"/>
      <c r="AQ2" s="139"/>
      <c r="AR2" s="139"/>
      <c r="AS2" s="141" t="s">
        <v>119</v>
      </c>
      <c r="AT2" s="141"/>
      <c r="AU2" s="141"/>
      <c r="AV2" s="141"/>
      <c r="AW2" s="141"/>
      <c r="AX2" s="141"/>
      <c r="AY2" s="141"/>
      <c r="AZ2" s="142" t="s">
        <v>120</v>
      </c>
      <c r="BA2" s="142"/>
      <c r="BB2" s="142"/>
      <c r="BC2" s="142"/>
      <c r="BD2" s="142"/>
      <c r="BE2" s="142"/>
      <c r="BF2" s="142"/>
      <c r="BG2" s="137" t="s">
        <v>121</v>
      </c>
      <c r="BH2" s="138"/>
      <c r="BI2" s="138"/>
      <c r="BJ2" s="138"/>
      <c r="BK2" s="138"/>
      <c r="BL2" s="138"/>
      <c r="BM2" s="138"/>
      <c r="BN2" s="139" t="s">
        <v>122</v>
      </c>
      <c r="BO2" s="139"/>
      <c r="BP2" s="139"/>
      <c r="BQ2" s="139"/>
      <c r="BR2" s="139"/>
      <c r="BS2" s="139"/>
      <c r="BT2" s="139"/>
      <c r="BU2" s="141" t="s">
        <v>123</v>
      </c>
      <c r="BV2" s="141"/>
      <c r="BW2" s="141"/>
      <c r="BX2" s="141"/>
      <c r="BY2" s="141"/>
      <c r="BZ2" s="141"/>
      <c r="CA2" s="141"/>
      <c r="CB2" s="142" t="s">
        <v>124</v>
      </c>
      <c r="CC2" s="142"/>
      <c r="CD2" s="142"/>
      <c r="CE2" s="142"/>
      <c r="CF2" s="142"/>
      <c r="CG2" s="142"/>
      <c r="CH2" s="142"/>
    </row>
    <row r="3" spans="1:86" s="1" customFormat="1" x14ac:dyDescent="0.25">
      <c r="A3" s="17" t="s">
        <v>40</v>
      </c>
      <c r="B3" s="82">
        <v>0</v>
      </c>
      <c r="C3" s="82">
        <v>1</v>
      </c>
      <c r="D3" s="82">
        <v>2</v>
      </c>
      <c r="E3" s="82">
        <v>3</v>
      </c>
      <c r="F3" s="82">
        <v>4</v>
      </c>
      <c r="G3" s="82">
        <v>5</v>
      </c>
      <c r="H3" s="82">
        <v>6</v>
      </c>
      <c r="I3" s="82">
        <v>7</v>
      </c>
      <c r="J3" s="82">
        <v>8</v>
      </c>
      <c r="K3" s="82">
        <v>9</v>
      </c>
      <c r="L3" s="82">
        <v>10</v>
      </c>
      <c r="M3" s="82">
        <v>11</v>
      </c>
      <c r="N3" s="82">
        <v>12</v>
      </c>
      <c r="O3" s="82">
        <v>13</v>
      </c>
      <c r="P3" s="82">
        <v>14</v>
      </c>
      <c r="Q3" s="83">
        <v>15</v>
      </c>
      <c r="R3" s="83">
        <v>16</v>
      </c>
      <c r="S3" s="83">
        <v>17</v>
      </c>
      <c r="T3" s="83">
        <v>18</v>
      </c>
      <c r="U3" s="83">
        <v>19</v>
      </c>
      <c r="V3" s="83">
        <v>20</v>
      </c>
      <c r="W3" s="83">
        <v>21</v>
      </c>
      <c r="X3" s="83">
        <v>22</v>
      </c>
      <c r="Y3" s="83">
        <v>23</v>
      </c>
      <c r="Z3" s="83">
        <v>24</v>
      </c>
      <c r="AA3" s="83">
        <v>25</v>
      </c>
      <c r="AB3" s="83">
        <v>26</v>
      </c>
      <c r="AC3" s="83">
        <v>27</v>
      </c>
      <c r="AD3" s="83">
        <v>28</v>
      </c>
      <c r="AE3" s="83">
        <v>29</v>
      </c>
      <c r="AF3" s="83">
        <v>30</v>
      </c>
      <c r="AG3" s="83">
        <v>31</v>
      </c>
      <c r="AH3" s="83">
        <v>32</v>
      </c>
      <c r="AI3" s="83">
        <v>33</v>
      </c>
      <c r="AJ3" s="83">
        <v>34</v>
      </c>
      <c r="AK3" s="83">
        <v>35</v>
      </c>
      <c r="AL3" s="83">
        <v>36</v>
      </c>
      <c r="AM3" s="83">
        <v>37</v>
      </c>
      <c r="AN3" s="83">
        <v>38</v>
      </c>
      <c r="AO3" s="83">
        <v>39</v>
      </c>
      <c r="AP3" s="83">
        <v>40</v>
      </c>
      <c r="AQ3" s="83">
        <v>41</v>
      </c>
      <c r="AR3" s="83">
        <v>42</v>
      </c>
      <c r="AS3" s="83">
        <v>43</v>
      </c>
      <c r="AT3" s="83">
        <v>44</v>
      </c>
      <c r="AU3" s="83">
        <v>45</v>
      </c>
      <c r="AV3" s="83">
        <v>46</v>
      </c>
      <c r="AW3" s="83">
        <v>47</v>
      </c>
      <c r="AX3" s="83">
        <v>48</v>
      </c>
      <c r="AY3" s="83">
        <v>49</v>
      </c>
      <c r="AZ3" s="83">
        <v>50</v>
      </c>
      <c r="BA3" s="83">
        <v>51</v>
      </c>
      <c r="BB3" s="83">
        <v>52</v>
      </c>
      <c r="BC3" s="83">
        <v>53</v>
      </c>
      <c r="BD3" s="83">
        <v>54</v>
      </c>
      <c r="BE3" s="83">
        <v>55</v>
      </c>
      <c r="BF3" s="83">
        <v>56</v>
      </c>
      <c r="BG3" s="83">
        <v>57</v>
      </c>
      <c r="BH3" s="83">
        <v>58</v>
      </c>
      <c r="BI3" s="83">
        <v>59</v>
      </c>
      <c r="BJ3" s="83">
        <v>60</v>
      </c>
      <c r="BK3" s="83">
        <v>61</v>
      </c>
      <c r="BL3" s="83">
        <v>62</v>
      </c>
      <c r="BM3" s="83">
        <v>63</v>
      </c>
      <c r="BN3" s="83">
        <v>64</v>
      </c>
      <c r="BO3" s="83">
        <v>65</v>
      </c>
      <c r="BP3" s="83">
        <v>66</v>
      </c>
      <c r="BQ3" s="83">
        <v>67</v>
      </c>
      <c r="BR3" s="83">
        <v>68</v>
      </c>
      <c r="BS3" s="83">
        <v>69</v>
      </c>
      <c r="BT3" s="83">
        <v>70</v>
      </c>
      <c r="BU3" s="83">
        <v>71</v>
      </c>
      <c r="BV3" s="83">
        <v>72</v>
      </c>
      <c r="BW3" s="83">
        <v>73</v>
      </c>
      <c r="BX3" s="83">
        <v>74</v>
      </c>
      <c r="BY3" s="83">
        <v>75</v>
      </c>
      <c r="BZ3" s="83">
        <v>76</v>
      </c>
      <c r="CA3" s="83">
        <v>77</v>
      </c>
      <c r="CB3" s="83">
        <v>78</v>
      </c>
      <c r="CC3" s="83">
        <v>79</v>
      </c>
      <c r="CD3" s="83">
        <v>80</v>
      </c>
      <c r="CE3" s="83">
        <v>81</v>
      </c>
      <c r="CF3" s="83">
        <v>82</v>
      </c>
      <c r="CG3" s="83">
        <v>83</v>
      </c>
      <c r="CH3" s="83">
        <v>84</v>
      </c>
    </row>
    <row r="4" spans="1:86" x14ac:dyDescent="0.25">
      <c r="A4" s="4" t="s">
        <v>5</v>
      </c>
      <c r="B4" s="5">
        <f>-'Custos Implantação'!F30</f>
        <v>-1324879.0959999997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91"/>
      <c r="AF4" s="91"/>
      <c r="AG4" s="91"/>
      <c r="AH4" s="91"/>
      <c r="AI4" s="91"/>
      <c r="AJ4" s="91"/>
      <c r="AK4" s="91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91"/>
      <c r="BH4" s="91"/>
      <c r="BI4" s="91"/>
      <c r="BJ4" s="91"/>
      <c r="BK4" s="91"/>
      <c r="BL4" s="91"/>
      <c r="BM4" s="91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6" x14ac:dyDescent="0.25">
      <c r="A5" s="4" t="s">
        <v>6</v>
      </c>
      <c r="B5" s="5"/>
      <c r="C5" s="5"/>
      <c r="D5" s="5"/>
      <c r="E5" s="5"/>
      <c r="F5" s="5"/>
      <c r="G5" s="5"/>
      <c r="H5" s="5"/>
      <c r="I5" s="5">
        <f>D30</f>
        <v>1456000</v>
      </c>
      <c r="J5" s="5"/>
      <c r="K5" s="5"/>
      <c r="L5" s="5"/>
      <c r="M5" s="5"/>
      <c r="N5" s="5"/>
      <c r="O5" s="5"/>
      <c r="P5" s="5">
        <f>D31</f>
        <v>1456000</v>
      </c>
      <c r="Q5" s="5"/>
      <c r="R5" s="5"/>
      <c r="S5" s="5"/>
      <c r="T5" s="5"/>
      <c r="U5" s="5"/>
      <c r="V5" s="5"/>
      <c r="W5" s="5">
        <f>D32</f>
        <v>1456000</v>
      </c>
      <c r="X5" s="5"/>
      <c r="Y5" s="5"/>
      <c r="Z5" s="5"/>
      <c r="AA5" s="5"/>
      <c r="AB5" s="5"/>
      <c r="AC5" s="5"/>
      <c r="AD5" s="5">
        <f>D33</f>
        <v>1456000</v>
      </c>
      <c r="AE5" s="91"/>
      <c r="AF5" s="91"/>
      <c r="AG5" s="91"/>
      <c r="AH5" s="91"/>
      <c r="AI5" s="91"/>
      <c r="AJ5" s="91"/>
      <c r="AK5" s="91">
        <v>1456000</v>
      </c>
      <c r="AL5" s="5"/>
      <c r="AM5" s="5"/>
      <c r="AN5" s="5"/>
      <c r="AO5" s="5"/>
      <c r="AP5" s="5"/>
      <c r="AQ5" s="5"/>
      <c r="AR5" s="5">
        <v>1456000</v>
      </c>
      <c r="AS5" s="5"/>
      <c r="AT5" s="5"/>
      <c r="AU5" s="5"/>
      <c r="AV5" s="5"/>
      <c r="AW5" s="5"/>
      <c r="AX5" s="5"/>
      <c r="AY5" s="5">
        <v>1456000</v>
      </c>
      <c r="AZ5" s="5"/>
      <c r="BA5" s="5"/>
      <c r="BB5" s="5"/>
      <c r="BC5" s="5"/>
      <c r="BD5" s="5"/>
      <c r="BE5" s="5"/>
      <c r="BF5" s="5">
        <v>1456000</v>
      </c>
      <c r="BG5" s="91"/>
      <c r="BH5" s="91"/>
      <c r="BI5" s="91"/>
      <c r="BJ5" s="91"/>
      <c r="BK5" s="91"/>
      <c r="BL5" s="91"/>
      <c r="BM5" s="91">
        <v>1456000</v>
      </c>
      <c r="BN5" s="5"/>
      <c r="BO5" s="5"/>
      <c r="BP5" s="5"/>
      <c r="BQ5" s="5"/>
      <c r="BR5" s="5"/>
      <c r="BS5" s="5"/>
      <c r="BT5" s="5">
        <v>1456000</v>
      </c>
      <c r="BU5" s="5"/>
      <c r="BV5" s="5"/>
      <c r="BW5" s="5"/>
      <c r="BX5" s="5"/>
      <c r="BY5" s="5"/>
      <c r="BZ5" s="5"/>
      <c r="CA5" s="5">
        <v>1456000</v>
      </c>
      <c r="CB5" s="5"/>
      <c r="CC5" s="5"/>
      <c r="CD5" s="5"/>
      <c r="CE5" s="5"/>
      <c r="CF5" s="5"/>
      <c r="CG5" s="5"/>
      <c r="CH5" s="5">
        <v>1456000</v>
      </c>
    </row>
    <row r="6" spans="1:86" x14ac:dyDescent="0.25">
      <c r="A6" s="4" t="s">
        <v>7</v>
      </c>
      <c r="B6" s="5"/>
      <c r="C6" s="5">
        <f>'Custos Manutenção'!E19</f>
        <v>103013.07</v>
      </c>
      <c r="D6" s="5">
        <f>'Custos Manutenção'!G19</f>
        <v>72555.804000000004</v>
      </c>
      <c r="E6" s="5">
        <v>0</v>
      </c>
      <c r="F6" s="5">
        <v>0</v>
      </c>
      <c r="G6" s="5">
        <v>0</v>
      </c>
      <c r="H6" s="5">
        <v>0</v>
      </c>
      <c r="I6" s="5">
        <f>'Custos Manutenção'!Q19</f>
        <v>370642.11000000004</v>
      </c>
      <c r="J6" s="5">
        <f>'Custos Manutenção'!S19</f>
        <v>140849.87</v>
      </c>
      <c r="K6" s="5">
        <f>'Custos Manutenção'!U19</f>
        <v>72555.804000000004</v>
      </c>
      <c r="L6" s="5">
        <v>0</v>
      </c>
      <c r="M6" s="5">
        <v>0</v>
      </c>
      <c r="N6" s="5">
        <v>0</v>
      </c>
      <c r="O6" s="5">
        <v>0</v>
      </c>
      <c r="P6" s="5" t="e">
        <f>'Custos Manutenção'!#REF!</f>
        <v>#REF!</v>
      </c>
      <c r="Q6" s="5">
        <f>('Custos Manutenção'!AG19+'Custos Implantação'!H30)</f>
        <v>403892.16599999997</v>
      </c>
      <c r="R6" s="5">
        <f>'Custos Manutenção'!AI19</f>
        <v>72555.804000000004</v>
      </c>
      <c r="S6" s="5">
        <v>0</v>
      </c>
      <c r="T6" s="5">
        <v>0</v>
      </c>
      <c r="U6" s="5">
        <v>0</v>
      </c>
      <c r="V6" s="5">
        <v>0</v>
      </c>
      <c r="W6" s="5" t="e">
        <f>'Custos Manutenção'!#REF!</f>
        <v>#REF!</v>
      </c>
      <c r="X6" s="5">
        <f>'Custos Manutenção'!AU19</f>
        <v>140849.87</v>
      </c>
      <c r="Y6" s="5">
        <f>'Custos Manutenção'!AW19</f>
        <v>72555.804000000004</v>
      </c>
      <c r="Z6" s="5">
        <v>0</v>
      </c>
      <c r="AA6" s="5">
        <v>0</v>
      </c>
      <c r="AB6" s="5">
        <v>0</v>
      </c>
      <c r="AC6" s="5">
        <v>0</v>
      </c>
      <c r="AD6" s="5" t="e">
        <f>'Custos Manutenção'!#REF!</f>
        <v>#REF!</v>
      </c>
      <c r="AE6" s="91">
        <v>403892.16600000003</v>
      </c>
      <c r="AF6" s="91">
        <v>72555.804000000004</v>
      </c>
      <c r="AG6" s="91">
        <v>0</v>
      </c>
      <c r="AH6" s="91">
        <v>0</v>
      </c>
      <c r="AI6" s="91">
        <v>0</v>
      </c>
      <c r="AJ6" s="91">
        <v>0</v>
      </c>
      <c r="AK6" s="91">
        <v>543990.71</v>
      </c>
      <c r="AL6" s="5">
        <v>140849.87</v>
      </c>
      <c r="AM6" s="5">
        <v>72555.804000000004</v>
      </c>
      <c r="AN6" s="5">
        <v>0</v>
      </c>
      <c r="AO6" s="5">
        <v>0</v>
      </c>
      <c r="AP6" s="5">
        <v>0</v>
      </c>
      <c r="AQ6" s="5">
        <v>0</v>
      </c>
      <c r="AR6" s="5">
        <v>639990.71</v>
      </c>
      <c r="AS6" s="5">
        <v>403892.16599999997</v>
      </c>
      <c r="AT6" s="5">
        <v>72555.804000000004</v>
      </c>
      <c r="AU6" s="5">
        <v>0</v>
      </c>
      <c r="AV6" s="5">
        <v>0</v>
      </c>
      <c r="AW6" s="5">
        <v>0</v>
      </c>
      <c r="AX6" s="5">
        <v>0</v>
      </c>
      <c r="AY6" s="5">
        <v>543990.71</v>
      </c>
      <c r="AZ6" s="5">
        <v>140849.87</v>
      </c>
      <c r="BA6" s="5">
        <v>72555.804000000004</v>
      </c>
      <c r="BB6" s="5">
        <v>0</v>
      </c>
      <c r="BC6" s="5">
        <v>0</v>
      </c>
      <c r="BD6" s="5">
        <v>0</v>
      </c>
      <c r="BE6" s="5">
        <v>0</v>
      </c>
      <c r="BF6" s="5">
        <v>639990.71</v>
      </c>
      <c r="BG6" s="91">
        <v>403892.16600000003</v>
      </c>
      <c r="BH6" s="91">
        <v>72555.804000000004</v>
      </c>
      <c r="BI6" s="91">
        <v>0</v>
      </c>
      <c r="BJ6" s="91">
        <v>0</v>
      </c>
      <c r="BK6" s="91">
        <v>0</v>
      </c>
      <c r="BL6" s="91">
        <v>0</v>
      </c>
      <c r="BM6" s="91">
        <v>543990.71</v>
      </c>
      <c r="BN6" s="5">
        <v>140849.87</v>
      </c>
      <c r="BO6" s="5">
        <v>72555.804000000004</v>
      </c>
      <c r="BP6" s="5">
        <v>0</v>
      </c>
      <c r="BQ6" s="5">
        <v>0</v>
      </c>
      <c r="BR6" s="5">
        <v>0</v>
      </c>
      <c r="BS6" s="5">
        <v>0</v>
      </c>
      <c r="BT6" s="5">
        <v>639990.71</v>
      </c>
      <c r="BU6" s="5">
        <v>403892.16599999997</v>
      </c>
      <c r="BV6" s="5">
        <v>72555.804000000004</v>
      </c>
      <c r="BW6" s="5">
        <v>0</v>
      </c>
      <c r="BX6" s="5">
        <v>0</v>
      </c>
      <c r="BY6" s="5">
        <v>0</v>
      </c>
      <c r="BZ6" s="5">
        <v>0</v>
      </c>
      <c r="CA6" s="5">
        <v>543990.71</v>
      </c>
      <c r="CB6" s="5">
        <v>140849.87</v>
      </c>
      <c r="CC6" s="5">
        <v>72555.804000000004</v>
      </c>
      <c r="CD6" s="5">
        <v>0</v>
      </c>
      <c r="CE6" s="5">
        <v>0</v>
      </c>
      <c r="CF6" s="5">
        <v>0</v>
      </c>
      <c r="CG6" s="5">
        <v>0</v>
      </c>
      <c r="CH6" s="5">
        <v>639990.71</v>
      </c>
    </row>
    <row r="7" spans="1:86" x14ac:dyDescent="0.25">
      <c r="A7" s="4" t="s">
        <v>83</v>
      </c>
      <c r="B7" s="5"/>
      <c r="C7" s="5"/>
      <c r="D7" s="5"/>
      <c r="E7" s="5"/>
      <c r="F7" s="5"/>
      <c r="G7" s="5"/>
      <c r="H7" s="5"/>
      <c r="I7" s="5">
        <f>H30</f>
        <v>99060.083679999996</v>
      </c>
      <c r="J7" s="5"/>
      <c r="K7" s="5"/>
      <c r="L7" s="5"/>
      <c r="M7" s="5"/>
      <c r="N7" s="5"/>
      <c r="O7" s="5"/>
      <c r="P7" s="5" t="e">
        <f>H31</f>
        <v>#REF!</v>
      </c>
      <c r="Q7" s="5"/>
      <c r="R7" s="5"/>
      <c r="S7" s="5"/>
      <c r="T7" s="5"/>
      <c r="U7" s="5"/>
      <c r="V7" s="5"/>
      <c r="W7" s="5" t="e">
        <f>H32</f>
        <v>#REF!</v>
      </c>
      <c r="X7" s="5"/>
      <c r="Y7" s="5"/>
      <c r="Z7" s="5"/>
      <c r="AA7" s="5"/>
      <c r="AB7" s="5"/>
      <c r="AC7" s="5"/>
      <c r="AD7" s="5" t="e">
        <f>H33</f>
        <v>#REF!</v>
      </c>
      <c r="AE7" s="91"/>
      <c r="AF7" s="91"/>
      <c r="AG7" s="91"/>
      <c r="AH7" s="91"/>
      <c r="AI7" s="91"/>
      <c r="AJ7" s="91"/>
      <c r="AK7" s="91">
        <v>79645.040480000011</v>
      </c>
      <c r="AL7" s="5"/>
      <c r="AM7" s="5"/>
      <c r="AN7" s="5"/>
      <c r="AO7" s="5"/>
      <c r="AP7" s="5"/>
      <c r="AQ7" s="5"/>
      <c r="AR7" s="5">
        <v>68893.040480000011</v>
      </c>
      <c r="AS7" s="5"/>
      <c r="AT7" s="5"/>
      <c r="AU7" s="5"/>
      <c r="AV7" s="5"/>
      <c r="AW7" s="5"/>
      <c r="AX7" s="5"/>
      <c r="AY7" s="5">
        <v>79645.040480000011</v>
      </c>
      <c r="AZ7" s="5"/>
      <c r="BA7" s="5"/>
      <c r="BB7" s="5"/>
      <c r="BC7" s="5"/>
      <c r="BD7" s="5"/>
      <c r="BE7" s="5"/>
      <c r="BF7" s="5">
        <v>68893.040480000011</v>
      </c>
      <c r="BG7" s="91"/>
      <c r="BH7" s="91"/>
      <c r="BI7" s="91"/>
      <c r="BJ7" s="91"/>
      <c r="BK7" s="91"/>
      <c r="BL7" s="91"/>
      <c r="BM7" s="91">
        <v>79645.040480000011</v>
      </c>
      <c r="BN7" s="5"/>
      <c r="BO7" s="5"/>
      <c r="BP7" s="5"/>
      <c r="BQ7" s="5"/>
      <c r="BR7" s="5"/>
      <c r="BS7" s="5"/>
      <c r="BT7" s="5">
        <v>68893.040480000011</v>
      </c>
      <c r="BU7" s="5"/>
      <c r="BV7" s="5"/>
      <c r="BW7" s="5"/>
      <c r="BX7" s="5"/>
      <c r="BY7" s="5"/>
      <c r="BZ7" s="5"/>
      <c r="CA7" s="5">
        <v>79645.040480000011</v>
      </c>
      <c r="CB7" s="5"/>
      <c r="CC7" s="5"/>
      <c r="CD7" s="5"/>
      <c r="CE7" s="5"/>
      <c r="CF7" s="5"/>
      <c r="CG7" s="5"/>
      <c r="CH7" s="5">
        <v>68893.040480000011</v>
      </c>
    </row>
    <row r="8" spans="1:86" x14ac:dyDescent="0.25">
      <c r="A8" s="4" t="s">
        <v>8</v>
      </c>
      <c r="B8" s="5">
        <f>B4</f>
        <v>-1324879.0959999997</v>
      </c>
      <c r="C8" s="5">
        <f t="shared" ref="C8:H8" si="0">-C6</f>
        <v>-103013.07</v>
      </c>
      <c r="D8" s="5">
        <f t="shared" si="0"/>
        <v>-72555.804000000004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5">
        <f>I5-I6-I7</f>
        <v>986297.80631999986</v>
      </c>
      <c r="J8" s="5">
        <f t="shared" ref="J8:O8" si="1">-J6</f>
        <v>-140849.87</v>
      </c>
      <c r="K8" s="5">
        <f t="shared" si="1"/>
        <v>-72555.804000000004</v>
      </c>
      <c r="L8" s="5">
        <f t="shared" si="1"/>
        <v>0</v>
      </c>
      <c r="M8" s="5">
        <f t="shared" si="1"/>
        <v>0</v>
      </c>
      <c r="N8" s="5">
        <f t="shared" si="1"/>
        <v>0</v>
      </c>
      <c r="O8" s="5">
        <f t="shared" si="1"/>
        <v>0</v>
      </c>
      <c r="P8" s="5" t="e">
        <f>P5-P6-P7</f>
        <v>#REF!</v>
      </c>
      <c r="Q8" s="5">
        <f t="shared" ref="Q8:V8" si="2">-Q6</f>
        <v>-403892.16599999997</v>
      </c>
      <c r="R8" s="5">
        <f t="shared" si="2"/>
        <v>-72555.804000000004</v>
      </c>
      <c r="S8" s="5">
        <f t="shared" si="2"/>
        <v>0</v>
      </c>
      <c r="T8" s="5">
        <f t="shared" si="2"/>
        <v>0</v>
      </c>
      <c r="U8" s="5">
        <f t="shared" si="2"/>
        <v>0</v>
      </c>
      <c r="V8" s="5">
        <f t="shared" si="2"/>
        <v>0</v>
      </c>
      <c r="W8" s="5" t="e">
        <f>W5-W6-W7</f>
        <v>#REF!</v>
      </c>
      <c r="X8" s="5">
        <f t="shared" ref="X8:AC8" si="3">-X6</f>
        <v>-140849.87</v>
      </c>
      <c r="Y8" s="5">
        <f t="shared" si="3"/>
        <v>-72555.804000000004</v>
      </c>
      <c r="Z8" s="5">
        <f t="shared" si="3"/>
        <v>0</v>
      </c>
      <c r="AA8" s="5">
        <f t="shared" si="3"/>
        <v>0</v>
      </c>
      <c r="AB8" s="5">
        <f t="shared" si="3"/>
        <v>0</v>
      </c>
      <c r="AC8" s="5">
        <f t="shared" si="3"/>
        <v>0</v>
      </c>
      <c r="AD8" s="5" t="e">
        <f>AD5-AD6-AD7</f>
        <v>#REF!</v>
      </c>
      <c r="AE8" s="91">
        <f t="shared" ref="AE8:AJ8" si="4">-AE6</f>
        <v>-403892.16600000003</v>
      </c>
      <c r="AF8" s="91">
        <f t="shared" si="4"/>
        <v>-72555.804000000004</v>
      </c>
      <c r="AG8" s="91">
        <f t="shared" si="4"/>
        <v>0</v>
      </c>
      <c r="AH8" s="91">
        <f t="shared" si="4"/>
        <v>0</v>
      </c>
      <c r="AI8" s="91">
        <f t="shared" si="4"/>
        <v>0</v>
      </c>
      <c r="AJ8" s="91">
        <f t="shared" si="4"/>
        <v>0</v>
      </c>
      <c r="AK8" s="91">
        <f>AK5-AK6-AK7</f>
        <v>832364.24952000007</v>
      </c>
      <c r="AL8" s="5">
        <f>-AL6</f>
        <v>-140849.87</v>
      </c>
      <c r="AM8" s="5">
        <f>-AM6</f>
        <v>-72555.804000000004</v>
      </c>
      <c r="AN8" s="5">
        <f t="shared" ref="AN8:AQ8" si="5">-AN6</f>
        <v>0</v>
      </c>
      <c r="AO8" s="5">
        <f t="shared" si="5"/>
        <v>0</v>
      </c>
      <c r="AP8" s="5">
        <f t="shared" si="5"/>
        <v>0</v>
      </c>
      <c r="AQ8" s="5">
        <f t="shared" si="5"/>
        <v>0</v>
      </c>
      <c r="AR8" s="5">
        <f>AR5-AR6-AR7</f>
        <v>747116.24952000007</v>
      </c>
      <c r="AS8" s="5">
        <f>-AS6</f>
        <v>-403892.16599999997</v>
      </c>
      <c r="AT8" s="5">
        <f t="shared" ref="AT8:AX8" si="6">-AT6</f>
        <v>-72555.804000000004</v>
      </c>
      <c r="AU8" s="5">
        <f t="shared" si="6"/>
        <v>0</v>
      </c>
      <c r="AV8" s="5">
        <f t="shared" si="6"/>
        <v>0</v>
      </c>
      <c r="AW8" s="5">
        <f t="shared" si="6"/>
        <v>0</v>
      </c>
      <c r="AX8" s="5">
        <f t="shared" si="6"/>
        <v>0</v>
      </c>
      <c r="AY8" s="5">
        <f>AY5-AY6-AY7</f>
        <v>832364.24952000007</v>
      </c>
      <c r="AZ8" s="5">
        <f>-AZ6</f>
        <v>-140849.87</v>
      </c>
      <c r="BA8" s="5">
        <f t="shared" ref="BA8:BE8" si="7">-BA6</f>
        <v>-72555.804000000004</v>
      </c>
      <c r="BB8" s="5">
        <f t="shared" si="7"/>
        <v>0</v>
      </c>
      <c r="BC8" s="5">
        <f t="shared" si="7"/>
        <v>0</v>
      </c>
      <c r="BD8" s="5">
        <f t="shared" si="7"/>
        <v>0</v>
      </c>
      <c r="BE8" s="5">
        <f t="shared" si="7"/>
        <v>0</v>
      </c>
      <c r="BF8" s="5">
        <f>BF5-BF6-BF7</f>
        <v>747116.24952000007</v>
      </c>
      <c r="BG8" s="91">
        <f t="shared" ref="BG8:BL8" si="8">-BG6</f>
        <v>-403892.16600000003</v>
      </c>
      <c r="BH8" s="91">
        <f t="shared" si="8"/>
        <v>-72555.804000000004</v>
      </c>
      <c r="BI8" s="91">
        <f t="shared" si="8"/>
        <v>0</v>
      </c>
      <c r="BJ8" s="91">
        <f t="shared" si="8"/>
        <v>0</v>
      </c>
      <c r="BK8" s="91">
        <f t="shared" si="8"/>
        <v>0</v>
      </c>
      <c r="BL8" s="91">
        <f t="shared" si="8"/>
        <v>0</v>
      </c>
      <c r="BM8" s="91">
        <f>BM5-BM6-BM7</f>
        <v>832364.24952000007</v>
      </c>
      <c r="BN8" s="5">
        <f>-BN6</f>
        <v>-140849.87</v>
      </c>
      <c r="BO8" s="5">
        <f>-BO6</f>
        <v>-72555.804000000004</v>
      </c>
      <c r="BP8" s="5">
        <f t="shared" ref="BP8:BS8" si="9">-BP6</f>
        <v>0</v>
      </c>
      <c r="BQ8" s="5">
        <f t="shared" si="9"/>
        <v>0</v>
      </c>
      <c r="BR8" s="5">
        <f t="shared" si="9"/>
        <v>0</v>
      </c>
      <c r="BS8" s="5">
        <f t="shared" si="9"/>
        <v>0</v>
      </c>
      <c r="BT8" s="5">
        <f>BT5-BT6-BT7</f>
        <v>747116.24952000007</v>
      </c>
      <c r="BU8" s="5">
        <f>-BU6</f>
        <v>-403892.16599999997</v>
      </c>
      <c r="BV8" s="5">
        <f t="shared" ref="BV8:BZ8" si="10">-BV6</f>
        <v>-72555.804000000004</v>
      </c>
      <c r="BW8" s="5">
        <f t="shared" si="10"/>
        <v>0</v>
      </c>
      <c r="BX8" s="5">
        <f t="shared" si="10"/>
        <v>0</v>
      </c>
      <c r="BY8" s="5">
        <f t="shared" si="10"/>
        <v>0</v>
      </c>
      <c r="BZ8" s="5">
        <f t="shared" si="10"/>
        <v>0</v>
      </c>
      <c r="CA8" s="5">
        <f>CA5-CA6-CA7</f>
        <v>832364.24952000007</v>
      </c>
      <c r="CB8" s="5">
        <f>-CB6</f>
        <v>-140849.87</v>
      </c>
      <c r="CC8" s="5">
        <f t="shared" ref="CC8:CG8" si="11">-CC6</f>
        <v>-72555.804000000004</v>
      </c>
      <c r="CD8" s="5">
        <f t="shared" si="11"/>
        <v>0</v>
      </c>
      <c r="CE8" s="5">
        <f t="shared" si="11"/>
        <v>0</v>
      </c>
      <c r="CF8" s="5">
        <f t="shared" si="11"/>
        <v>0</v>
      </c>
      <c r="CG8" s="5">
        <f t="shared" si="11"/>
        <v>0</v>
      </c>
      <c r="CH8" s="5">
        <f>CH5-CH6-CH7</f>
        <v>747116.24952000007</v>
      </c>
    </row>
    <row r="9" spans="1:86" x14ac:dyDescent="0.25">
      <c r="A9" s="12" t="s">
        <v>9</v>
      </c>
      <c r="B9" s="5">
        <f>B8</f>
        <v>-1324879.0959999997</v>
      </c>
      <c r="C9" s="5">
        <f t="shared" ref="C9:AE9" si="12">B9+C8</f>
        <v>-1427892.1659999997</v>
      </c>
      <c r="D9" s="5">
        <f t="shared" si="12"/>
        <v>-1500447.9699999997</v>
      </c>
      <c r="E9" s="5">
        <f t="shared" si="12"/>
        <v>-1500447.9699999997</v>
      </c>
      <c r="F9" s="5">
        <f t="shared" si="12"/>
        <v>-1500447.9699999997</v>
      </c>
      <c r="G9" s="5">
        <f t="shared" si="12"/>
        <v>-1500447.9699999997</v>
      </c>
      <c r="H9" s="5">
        <f t="shared" si="12"/>
        <v>-1500447.9699999997</v>
      </c>
      <c r="I9" s="5">
        <f t="shared" si="12"/>
        <v>-514150.16367999988</v>
      </c>
      <c r="J9" s="5">
        <f t="shared" si="12"/>
        <v>-655000.03367999988</v>
      </c>
      <c r="K9" s="5">
        <f t="shared" si="12"/>
        <v>-727555.83767999988</v>
      </c>
      <c r="L9" s="5">
        <f t="shared" si="12"/>
        <v>-727555.83767999988</v>
      </c>
      <c r="M9" s="5">
        <f t="shared" si="12"/>
        <v>-727555.83767999988</v>
      </c>
      <c r="N9" s="5">
        <f t="shared" si="12"/>
        <v>-727555.83767999988</v>
      </c>
      <c r="O9" s="5">
        <f t="shared" si="12"/>
        <v>-727555.83767999988</v>
      </c>
      <c r="P9" s="5" t="e">
        <f t="shared" si="12"/>
        <v>#REF!</v>
      </c>
      <c r="Q9" s="5" t="e">
        <f t="shared" si="12"/>
        <v>#REF!</v>
      </c>
      <c r="R9" s="5" t="e">
        <f t="shared" si="12"/>
        <v>#REF!</v>
      </c>
      <c r="S9" s="5" t="e">
        <f t="shared" si="12"/>
        <v>#REF!</v>
      </c>
      <c r="T9" s="5" t="e">
        <f t="shared" si="12"/>
        <v>#REF!</v>
      </c>
      <c r="U9" s="5" t="e">
        <f t="shared" si="12"/>
        <v>#REF!</v>
      </c>
      <c r="V9" s="5" t="e">
        <f t="shared" si="12"/>
        <v>#REF!</v>
      </c>
      <c r="W9" s="5" t="e">
        <f t="shared" si="12"/>
        <v>#REF!</v>
      </c>
      <c r="X9" s="5" t="e">
        <f>W9+X8</f>
        <v>#REF!</v>
      </c>
      <c r="Y9" s="5" t="e">
        <f t="shared" si="12"/>
        <v>#REF!</v>
      </c>
      <c r="Z9" s="5" t="e">
        <f t="shared" si="12"/>
        <v>#REF!</v>
      </c>
      <c r="AA9" s="5" t="e">
        <f t="shared" si="12"/>
        <v>#REF!</v>
      </c>
      <c r="AB9" s="5" t="e">
        <f t="shared" si="12"/>
        <v>#REF!</v>
      </c>
      <c r="AC9" s="5" t="e">
        <f t="shared" si="12"/>
        <v>#REF!</v>
      </c>
      <c r="AD9" s="5" t="e">
        <f t="shared" si="12"/>
        <v>#REF!</v>
      </c>
      <c r="AE9" s="5" t="e">
        <f t="shared" si="12"/>
        <v>#REF!</v>
      </c>
      <c r="AF9" s="5" t="e">
        <f t="shared" ref="AF9" si="13">AE9+AF8</f>
        <v>#REF!</v>
      </c>
      <c r="AG9" s="5" t="e">
        <f t="shared" ref="AG9" si="14">AF9+AG8</f>
        <v>#REF!</v>
      </c>
      <c r="AH9" s="5" t="e">
        <f t="shared" ref="AH9" si="15">AG9+AH8</f>
        <v>#REF!</v>
      </c>
      <c r="AI9" s="5" t="e">
        <f t="shared" ref="AI9" si="16">AH9+AI8</f>
        <v>#REF!</v>
      </c>
      <c r="AJ9" s="5" t="e">
        <f t="shared" ref="AJ9" si="17">AI9+AJ8</f>
        <v>#REF!</v>
      </c>
      <c r="AK9" s="5" t="e">
        <f t="shared" ref="AK9" si="18">AJ9+AK8</f>
        <v>#REF!</v>
      </c>
      <c r="AL9" s="5" t="e">
        <f t="shared" ref="AL9" si="19">AK9+AL8</f>
        <v>#REF!</v>
      </c>
      <c r="AM9" s="5" t="e">
        <f t="shared" ref="AM9" si="20">AL9+AM8</f>
        <v>#REF!</v>
      </c>
      <c r="AN9" s="5" t="e">
        <f t="shared" ref="AN9" si="21">AM9+AN8</f>
        <v>#REF!</v>
      </c>
      <c r="AO9" s="5" t="e">
        <f t="shared" ref="AO9" si="22">AN9+AO8</f>
        <v>#REF!</v>
      </c>
      <c r="AP9" s="5" t="e">
        <f t="shared" ref="AP9" si="23">AO9+AP8</f>
        <v>#REF!</v>
      </c>
      <c r="AQ9" s="5" t="e">
        <f t="shared" ref="AQ9" si="24">AP9+AQ8</f>
        <v>#REF!</v>
      </c>
      <c r="AR9" s="5" t="e">
        <f t="shared" ref="AR9" si="25">AQ9+AR8</f>
        <v>#REF!</v>
      </c>
      <c r="AS9" s="5" t="e">
        <f t="shared" ref="AS9" si="26">AR9+AS8</f>
        <v>#REF!</v>
      </c>
      <c r="AT9" s="5" t="e">
        <f t="shared" ref="AT9" si="27">AS9+AT8</f>
        <v>#REF!</v>
      </c>
      <c r="AU9" s="5" t="e">
        <f t="shared" ref="AU9" si="28">AT9+AU8</f>
        <v>#REF!</v>
      </c>
      <c r="AV9" s="5" t="e">
        <f t="shared" ref="AV9" si="29">AU9+AV8</f>
        <v>#REF!</v>
      </c>
      <c r="AW9" s="5" t="e">
        <f t="shared" ref="AW9" si="30">AV9+AW8</f>
        <v>#REF!</v>
      </c>
      <c r="AX9" s="5" t="e">
        <f t="shared" ref="AX9" si="31">AW9+AX8</f>
        <v>#REF!</v>
      </c>
      <c r="AY9" s="5" t="e">
        <f t="shared" ref="AY9" si="32">AX9+AY8</f>
        <v>#REF!</v>
      </c>
      <c r="AZ9" s="5" t="e">
        <f t="shared" ref="AZ9" si="33">AY9+AZ8</f>
        <v>#REF!</v>
      </c>
      <c r="BA9" s="5" t="e">
        <f t="shared" ref="BA9" si="34">AZ9+BA8</f>
        <v>#REF!</v>
      </c>
      <c r="BB9" s="5" t="e">
        <f t="shared" ref="BB9" si="35">BA9+BB8</f>
        <v>#REF!</v>
      </c>
      <c r="BC9" s="5" t="e">
        <f t="shared" ref="BC9" si="36">BB9+BC8</f>
        <v>#REF!</v>
      </c>
      <c r="BD9" s="5" t="e">
        <f t="shared" ref="BD9" si="37">BC9+BD8</f>
        <v>#REF!</v>
      </c>
      <c r="BE9" s="5" t="e">
        <f t="shared" ref="BE9" si="38">BD9+BE8</f>
        <v>#REF!</v>
      </c>
      <c r="BF9" s="5" t="e">
        <f t="shared" ref="BF9" si="39">BE9+BF8</f>
        <v>#REF!</v>
      </c>
      <c r="BG9" s="5" t="e">
        <f t="shared" ref="BG9" si="40">BF9+BG8</f>
        <v>#REF!</v>
      </c>
      <c r="BH9" s="5" t="e">
        <f t="shared" ref="BH9" si="41">BG9+BH8</f>
        <v>#REF!</v>
      </c>
      <c r="BI9" s="5" t="e">
        <f t="shared" ref="BI9" si="42">BH9+BI8</f>
        <v>#REF!</v>
      </c>
      <c r="BJ9" s="5" t="e">
        <f t="shared" ref="BJ9" si="43">BI9+BJ8</f>
        <v>#REF!</v>
      </c>
      <c r="BK9" s="5" t="e">
        <f t="shared" ref="BK9" si="44">BJ9+BK8</f>
        <v>#REF!</v>
      </c>
      <c r="BL9" s="5" t="e">
        <f t="shared" ref="BL9" si="45">BK9+BL8</f>
        <v>#REF!</v>
      </c>
      <c r="BM9" s="5" t="e">
        <f t="shared" ref="BM9" si="46">BL9+BM8</f>
        <v>#REF!</v>
      </c>
      <c r="BN9" s="5" t="e">
        <f t="shared" ref="BN9" si="47">BM9+BN8</f>
        <v>#REF!</v>
      </c>
      <c r="BO9" s="5" t="e">
        <f t="shared" ref="BO9" si="48">BN9+BO8</f>
        <v>#REF!</v>
      </c>
      <c r="BP9" s="5" t="e">
        <f t="shared" ref="BP9" si="49">BO9+BP8</f>
        <v>#REF!</v>
      </c>
      <c r="BQ9" s="5" t="e">
        <f t="shared" ref="BQ9" si="50">BP9+BQ8</f>
        <v>#REF!</v>
      </c>
      <c r="BR9" s="5" t="e">
        <f t="shared" ref="BR9" si="51">BQ9+BR8</f>
        <v>#REF!</v>
      </c>
      <c r="BS9" s="5" t="e">
        <f t="shared" ref="BS9" si="52">BR9+BS8</f>
        <v>#REF!</v>
      </c>
      <c r="BT9" s="5" t="e">
        <f t="shared" ref="BT9" si="53">BS9+BT8</f>
        <v>#REF!</v>
      </c>
      <c r="BU9" s="5" t="e">
        <f t="shared" ref="BU9" si="54">BT9+BU8</f>
        <v>#REF!</v>
      </c>
      <c r="BV9" s="5" t="e">
        <f t="shared" ref="BV9" si="55">BU9+BV8</f>
        <v>#REF!</v>
      </c>
      <c r="BW9" s="5" t="e">
        <f t="shared" ref="BW9" si="56">BV9+BW8</f>
        <v>#REF!</v>
      </c>
      <c r="BX9" s="5" t="e">
        <f t="shared" ref="BX9" si="57">BW9+BX8</f>
        <v>#REF!</v>
      </c>
      <c r="BY9" s="5" t="e">
        <f t="shared" ref="BY9" si="58">BX9+BY8</f>
        <v>#REF!</v>
      </c>
      <c r="BZ9" s="5" t="e">
        <f t="shared" ref="BZ9" si="59">BY9+BZ8</f>
        <v>#REF!</v>
      </c>
      <c r="CA9" s="5" t="e">
        <f t="shared" ref="CA9" si="60">BZ9+CA8</f>
        <v>#REF!</v>
      </c>
      <c r="CB9" s="5" t="e">
        <f t="shared" ref="CB9" si="61">CA9+CB8</f>
        <v>#REF!</v>
      </c>
      <c r="CC9" s="5" t="e">
        <f t="shared" ref="CC9" si="62">CB9+CC8</f>
        <v>#REF!</v>
      </c>
      <c r="CD9" s="5" t="e">
        <f t="shared" ref="CD9" si="63">CC9+CD8</f>
        <v>#REF!</v>
      </c>
      <c r="CE9" s="5" t="e">
        <f t="shared" ref="CE9" si="64">CD9+CE8</f>
        <v>#REF!</v>
      </c>
      <c r="CF9" s="5" t="e">
        <f t="shared" ref="CF9" si="65">CE9+CF8</f>
        <v>#REF!</v>
      </c>
      <c r="CG9" s="5" t="e">
        <f t="shared" ref="CG9" si="66">CF9+CG8</f>
        <v>#REF!</v>
      </c>
      <c r="CH9" s="5" t="e">
        <f t="shared" ref="CH9" si="67">CG9+CH8</f>
        <v>#REF!</v>
      </c>
    </row>
    <row r="10" spans="1:86" x14ac:dyDescent="0.25">
      <c r="A10" s="87" t="s">
        <v>115</v>
      </c>
      <c r="B10" s="88">
        <f>B4</f>
        <v>-1324879.0959999997</v>
      </c>
      <c r="C10" s="89">
        <f>PV($B$16,C3,,-C9,)</f>
        <v>-1335131.8507352883</v>
      </c>
      <c r="D10" s="89">
        <f t="shared" ref="D10:BF10" si="68">PV($B$16,D3,,-D9,)</f>
        <v>-1311832.6371142766</v>
      </c>
      <c r="E10" s="89">
        <f t="shared" si="68"/>
        <v>-1226611.9097437072</v>
      </c>
      <c r="F10" s="89">
        <f t="shared" si="68"/>
        <v>-1146927.3858247797</v>
      </c>
      <c r="G10" s="89">
        <f t="shared" si="68"/>
        <v>-1072419.4163659448</v>
      </c>
      <c r="H10" s="89">
        <f t="shared" si="68"/>
        <v>-1002751.7162925047</v>
      </c>
      <c r="I10" s="89">
        <f t="shared" si="68"/>
        <v>-321285.55322387791</v>
      </c>
      <c r="J10" s="89">
        <f t="shared" si="68"/>
        <v>-382711.30156881915</v>
      </c>
      <c r="K10" s="89">
        <f t="shared" si="68"/>
        <v>-397488.93193583901</v>
      </c>
      <c r="L10" s="89">
        <f t="shared" si="68"/>
        <v>-371666.81488908024</v>
      </c>
      <c r="M10" s="89">
        <f t="shared" si="68"/>
        <v>-347522.18286191486</v>
      </c>
      <c r="N10" s="89">
        <f t="shared" si="68"/>
        <v>-324946.06121117674</v>
      </c>
      <c r="O10" s="89">
        <f t="shared" si="68"/>
        <v>-303836.55462538684</v>
      </c>
      <c r="P10" s="89" t="e">
        <f t="shared" si="68"/>
        <v>#REF!</v>
      </c>
      <c r="Q10" s="89" t="e">
        <f t="shared" si="68"/>
        <v>#REF!</v>
      </c>
      <c r="R10" s="89" t="e">
        <f t="shared" si="68"/>
        <v>#REF!</v>
      </c>
      <c r="S10" s="89" t="e">
        <f t="shared" si="68"/>
        <v>#REF!</v>
      </c>
      <c r="T10" s="89" t="e">
        <f t="shared" si="68"/>
        <v>#REF!</v>
      </c>
      <c r="U10" s="89" t="e">
        <f t="shared" si="68"/>
        <v>#REF!</v>
      </c>
      <c r="V10" s="89" t="e">
        <f t="shared" si="68"/>
        <v>#REF!</v>
      </c>
      <c r="W10" s="89" t="e">
        <f t="shared" si="68"/>
        <v>#REF!</v>
      </c>
      <c r="X10" s="89" t="e">
        <f t="shared" si="68"/>
        <v>#REF!</v>
      </c>
      <c r="Y10" s="89" t="e">
        <f t="shared" si="68"/>
        <v>#REF!</v>
      </c>
      <c r="Z10" s="89" t="e">
        <f t="shared" si="68"/>
        <v>#REF!</v>
      </c>
      <c r="AA10" s="89" t="e">
        <f t="shared" si="68"/>
        <v>#REF!</v>
      </c>
      <c r="AB10" s="89" t="e">
        <f t="shared" si="68"/>
        <v>#REF!</v>
      </c>
      <c r="AC10" s="89" t="e">
        <f t="shared" si="68"/>
        <v>#REF!</v>
      </c>
      <c r="AD10" s="89" t="e">
        <f t="shared" si="68"/>
        <v>#REF!</v>
      </c>
      <c r="AE10" s="89" t="e">
        <f t="shared" si="68"/>
        <v>#REF!</v>
      </c>
      <c r="AF10" s="89" t="e">
        <f t="shared" si="68"/>
        <v>#REF!</v>
      </c>
      <c r="AG10" s="89" t="e">
        <f t="shared" si="68"/>
        <v>#REF!</v>
      </c>
      <c r="AH10" s="89" t="e">
        <f t="shared" si="68"/>
        <v>#REF!</v>
      </c>
      <c r="AI10" s="89" t="e">
        <f t="shared" si="68"/>
        <v>#REF!</v>
      </c>
      <c r="AJ10" s="89" t="e">
        <f t="shared" si="68"/>
        <v>#REF!</v>
      </c>
      <c r="AK10" s="89" t="e">
        <f t="shared" si="68"/>
        <v>#REF!</v>
      </c>
      <c r="AL10" s="89" t="e">
        <f t="shared" si="68"/>
        <v>#REF!</v>
      </c>
      <c r="AM10" s="89" t="e">
        <f t="shared" si="68"/>
        <v>#REF!</v>
      </c>
      <c r="AN10" s="89" t="e">
        <f t="shared" si="68"/>
        <v>#REF!</v>
      </c>
      <c r="AO10" s="89" t="e">
        <f t="shared" si="68"/>
        <v>#REF!</v>
      </c>
      <c r="AP10" s="89" t="e">
        <f t="shared" si="68"/>
        <v>#REF!</v>
      </c>
      <c r="AQ10" s="89" t="e">
        <f t="shared" si="68"/>
        <v>#REF!</v>
      </c>
      <c r="AR10" s="89" t="e">
        <f t="shared" si="68"/>
        <v>#REF!</v>
      </c>
      <c r="AS10" s="89" t="e">
        <f t="shared" si="68"/>
        <v>#REF!</v>
      </c>
      <c r="AT10" s="89" t="e">
        <f t="shared" si="68"/>
        <v>#REF!</v>
      </c>
      <c r="AU10" s="89" t="e">
        <f t="shared" si="68"/>
        <v>#REF!</v>
      </c>
      <c r="AV10" s="89" t="e">
        <f t="shared" si="68"/>
        <v>#REF!</v>
      </c>
      <c r="AW10" s="89" t="e">
        <f t="shared" si="68"/>
        <v>#REF!</v>
      </c>
      <c r="AX10" s="89" t="e">
        <f t="shared" si="68"/>
        <v>#REF!</v>
      </c>
      <c r="AY10" s="89" t="e">
        <f t="shared" si="68"/>
        <v>#REF!</v>
      </c>
      <c r="AZ10" s="89" t="e">
        <f t="shared" si="68"/>
        <v>#REF!</v>
      </c>
      <c r="BA10" s="89" t="e">
        <f t="shared" si="68"/>
        <v>#REF!</v>
      </c>
      <c r="BB10" s="89" t="e">
        <f t="shared" si="68"/>
        <v>#REF!</v>
      </c>
      <c r="BC10" s="89" t="e">
        <f t="shared" si="68"/>
        <v>#REF!</v>
      </c>
      <c r="BD10" s="89" t="e">
        <f t="shared" si="68"/>
        <v>#REF!</v>
      </c>
      <c r="BE10" s="89" t="e">
        <f t="shared" si="68"/>
        <v>#REF!</v>
      </c>
      <c r="BF10" s="89" t="e">
        <f t="shared" si="68"/>
        <v>#REF!</v>
      </c>
      <c r="BG10" s="89" t="e">
        <f t="shared" ref="BG10" si="69">PV($B$16,BG3,,-BG9,)</f>
        <v>#REF!</v>
      </c>
      <c r="BH10" s="89" t="e">
        <f t="shared" ref="BH10" si="70">PV($B$16,BH3,,-BH9,)</f>
        <v>#REF!</v>
      </c>
      <c r="BI10" s="89" t="e">
        <f t="shared" ref="BI10" si="71">PV($B$16,BI3,,-BI9,)</f>
        <v>#REF!</v>
      </c>
      <c r="BJ10" s="89" t="e">
        <f t="shared" ref="BJ10" si="72">PV($B$16,BJ3,,-BJ9,)</f>
        <v>#REF!</v>
      </c>
      <c r="BK10" s="89" t="e">
        <f t="shared" ref="BK10" si="73">PV($B$16,BK3,,-BK9,)</f>
        <v>#REF!</v>
      </c>
      <c r="BL10" s="89" t="e">
        <f t="shared" ref="BL10" si="74">PV($B$16,BL3,,-BL9,)</f>
        <v>#REF!</v>
      </c>
      <c r="BM10" s="89" t="e">
        <f t="shared" ref="BM10" si="75">PV($B$16,BM3,,-BM9,)</f>
        <v>#REF!</v>
      </c>
      <c r="BN10" s="89" t="e">
        <f t="shared" ref="BN10" si="76">PV($B$16,BN3,,-BN9,)</f>
        <v>#REF!</v>
      </c>
      <c r="BO10" s="89" t="e">
        <f t="shared" ref="BO10" si="77">PV($B$16,BO3,,-BO9,)</f>
        <v>#REF!</v>
      </c>
      <c r="BP10" s="89" t="e">
        <f t="shared" ref="BP10" si="78">PV($B$16,BP3,,-BP9,)</f>
        <v>#REF!</v>
      </c>
      <c r="BQ10" s="89" t="e">
        <f t="shared" ref="BQ10" si="79">PV($B$16,BQ3,,-BQ9,)</f>
        <v>#REF!</v>
      </c>
      <c r="BR10" s="89" t="e">
        <f t="shared" ref="BR10" si="80">PV($B$16,BR3,,-BR9,)</f>
        <v>#REF!</v>
      </c>
      <c r="BS10" s="89" t="e">
        <f t="shared" ref="BS10" si="81">PV($B$16,BS3,,-BS9,)</f>
        <v>#REF!</v>
      </c>
      <c r="BT10" s="89" t="e">
        <f t="shared" ref="BT10" si="82">PV($B$16,BT3,,-BT9,)</f>
        <v>#REF!</v>
      </c>
      <c r="BU10" s="89" t="e">
        <f t="shared" ref="BU10" si="83">PV($B$16,BU3,,-BU9,)</f>
        <v>#REF!</v>
      </c>
      <c r="BV10" s="89" t="e">
        <f t="shared" ref="BV10" si="84">PV($B$16,BV3,,-BV9,)</f>
        <v>#REF!</v>
      </c>
      <c r="BW10" s="89" t="e">
        <f t="shared" ref="BW10" si="85">PV($B$16,BW3,,-BW9,)</f>
        <v>#REF!</v>
      </c>
      <c r="BX10" s="89" t="e">
        <f t="shared" ref="BX10" si="86">PV($B$16,BX3,,-BX9,)</f>
        <v>#REF!</v>
      </c>
      <c r="BY10" s="89" t="e">
        <f t="shared" ref="BY10" si="87">PV($B$16,BY3,,-BY9,)</f>
        <v>#REF!</v>
      </c>
      <c r="BZ10" s="89" t="e">
        <f t="shared" ref="BZ10" si="88">PV($B$16,BZ3,,-BZ9,)</f>
        <v>#REF!</v>
      </c>
      <c r="CA10" s="89" t="e">
        <f t="shared" ref="CA10" si="89">PV($B$16,CA3,,-CA9,)</f>
        <v>#REF!</v>
      </c>
      <c r="CB10" s="89" t="e">
        <f t="shared" ref="CB10" si="90">PV($B$16,CB3,,-CB9,)</f>
        <v>#REF!</v>
      </c>
      <c r="CC10" s="89" t="e">
        <f t="shared" ref="CC10" si="91">PV($B$16,CC3,,-CC9,)</f>
        <v>#REF!</v>
      </c>
      <c r="CD10" s="89" t="e">
        <f t="shared" ref="CD10" si="92">PV($B$16,CD3,,-CD9,)</f>
        <v>#REF!</v>
      </c>
      <c r="CE10" s="89" t="e">
        <f t="shared" ref="CE10" si="93">PV($B$16,CE3,,-CE9,)</f>
        <v>#REF!</v>
      </c>
      <c r="CF10" s="89" t="e">
        <f t="shared" ref="CF10" si="94">PV($B$16,CF3,,-CF9,)</f>
        <v>#REF!</v>
      </c>
      <c r="CG10" s="89" t="e">
        <f t="shared" ref="CG10" si="95">PV($B$16,CG3,,-CG9,)</f>
        <v>#REF!</v>
      </c>
      <c r="CH10" s="89" t="e">
        <f t="shared" ref="CH10" si="96">PV($B$16,CH3,,-CH9,)</f>
        <v>#REF!</v>
      </c>
    </row>
    <row r="11" spans="1:86" x14ac:dyDescent="0.25">
      <c r="A11" s="87" t="s">
        <v>116</v>
      </c>
      <c r="B11" s="88">
        <f>B4</f>
        <v>-1324879.0959999997</v>
      </c>
      <c r="C11" s="88">
        <f>B11+C10</f>
        <v>-2660010.946735288</v>
      </c>
      <c r="D11" s="88">
        <f t="shared" ref="D11:AD11" si="97">C11+D10</f>
        <v>-3971843.5838495647</v>
      </c>
      <c r="E11" s="88">
        <f t="shared" si="97"/>
        <v>-5198455.4935932718</v>
      </c>
      <c r="F11" s="88">
        <f t="shared" si="97"/>
        <v>-6345382.8794180518</v>
      </c>
      <c r="G11" s="88">
        <f t="shared" si="97"/>
        <v>-7417802.2957839966</v>
      </c>
      <c r="H11" s="88">
        <f t="shared" si="97"/>
        <v>-8420554.0120765008</v>
      </c>
      <c r="I11" s="88">
        <f t="shared" si="97"/>
        <v>-8741839.5653003789</v>
      </c>
      <c r="J11" s="88">
        <f t="shared" si="97"/>
        <v>-9124550.8668691982</v>
      </c>
      <c r="K11" s="88">
        <f t="shared" si="97"/>
        <v>-9522039.7988050375</v>
      </c>
      <c r="L11" s="88">
        <f t="shared" si="97"/>
        <v>-9893706.6136941183</v>
      </c>
      <c r="M11" s="88">
        <f t="shared" si="97"/>
        <v>-10241228.796556033</v>
      </c>
      <c r="N11" s="88">
        <f t="shared" si="97"/>
        <v>-10566174.857767209</v>
      </c>
      <c r="O11" s="88">
        <f t="shared" si="97"/>
        <v>-10870011.412392596</v>
      </c>
      <c r="P11" s="88" t="e">
        <f t="shared" si="97"/>
        <v>#REF!</v>
      </c>
      <c r="Q11" s="88" t="e">
        <f t="shared" si="97"/>
        <v>#REF!</v>
      </c>
      <c r="R11" s="88" t="e">
        <f t="shared" si="97"/>
        <v>#REF!</v>
      </c>
      <c r="S11" s="88" t="e">
        <f t="shared" si="97"/>
        <v>#REF!</v>
      </c>
      <c r="T11" s="88" t="e">
        <f t="shared" si="97"/>
        <v>#REF!</v>
      </c>
      <c r="U11" s="88" t="e">
        <f t="shared" si="97"/>
        <v>#REF!</v>
      </c>
      <c r="V11" s="88" t="e">
        <f t="shared" si="97"/>
        <v>#REF!</v>
      </c>
      <c r="W11" s="88" t="e">
        <f t="shared" si="97"/>
        <v>#REF!</v>
      </c>
      <c r="X11" s="88" t="e">
        <f t="shared" si="97"/>
        <v>#REF!</v>
      </c>
      <c r="Y11" s="88" t="e">
        <f t="shared" si="97"/>
        <v>#REF!</v>
      </c>
      <c r="Z11" s="88" t="e">
        <f t="shared" si="97"/>
        <v>#REF!</v>
      </c>
      <c r="AA11" s="88" t="e">
        <f t="shared" si="97"/>
        <v>#REF!</v>
      </c>
      <c r="AB11" s="88" t="e">
        <f t="shared" si="97"/>
        <v>#REF!</v>
      </c>
      <c r="AC11" s="88" t="e">
        <f t="shared" si="97"/>
        <v>#REF!</v>
      </c>
      <c r="AD11" s="88" t="e">
        <f t="shared" si="97"/>
        <v>#REF!</v>
      </c>
      <c r="AE11" s="88" t="e">
        <f t="shared" ref="AE11" si="98">AD11+AE10</f>
        <v>#REF!</v>
      </c>
      <c r="AF11" s="88" t="e">
        <f t="shared" ref="AF11" si="99">AE11+AF10</f>
        <v>#REF!</v>
      </c>
      <c r="AG11" s="88" t="e">
        <f t="shared" ref="AG11" si="100">AF11+AG10</f>
        <v>#REF!</v>
      </c>
      <c r="AH11" s="88" t="e">
        <f t="shared" ref="AH11" si="101">AG11+AH10</f>
        <v>#REF!</v>
      </c>
      <c r="AI11" s="88" t="e">
        <f t="shared" ref="AI11" si="102">AH11+AI10</f>
        <v>#REF!</v>
      </c>
      <c r="AJ11" s="88" t="e">
        <f t="shared" ref="AJ11" si="103">AI11+AJ10</f>
        <v>#REF!</v>
      </c>
      <c r="AK11" s="88" t="e">
        <f t="shared" ref="AK11" si="104">AJ11+AK10</f>
        <v>#REF!</v>
      </c>
      <c r="AL11" s="88" t="e">
        <f t="shared" ref="AL11" si="105">AK11+AL10</f>
        <v>#REF!</v>
      </c>
      <c r="AM11" s="88" t="e">
        <f t="shared" ref="AM11" si="106">AL11+AM10</f>
        <v>#REF!</v>
      </c>
      <c r="AN11" s="88" t="e">
        <f t="shared" ref="AN11" si="107">AM11+AN10</f>
        <v>#REF!</v>
      </c>
      <c r="AO11" s="88" t="e">
        <f t="shared" ref="AO11" si="108">AN11+AO10</f>
        <v>#REF!</v>
      </c>
      <c r="AP11" s="88" t="e">
        <f t="shared" ref="AP11" si="109">AO11+AP10</f>
        <v>#REF!</v>
      </c>
      <c r="AQ11" s="88" t="e">
        <f t="shared" ref="AQ11" si="110">AP11+AQ10</f>
        <v>#REF!</v>
      </c>
      <c r="AR11" s="88" t="e">
        <f t="shared" ref="AR11" si="111">AQ11+AR10</f>
        <v>#REF!</v>
      </c>
      <c r="AS11" s="88" t="e">
        <f t="shared" ref="AS11" si="112">AR11+AS10</f>
        <v>#REF!</v>
      </c>
      <c r="AT11" s="88" t="e">
        <f t="shared" ref="AT11" si="113">AS11+AT10</f>
        <v>#REF!</v>
      </c>
      <c r="AU11" s="88" t="e">
        <f t="shared" ref="AU11" si="114">AT11+AU10</f>
        <v>#REF!</v>
      </c>
      <c r="AV11" s="88" t="e">
        <f t="shared" ref="AV11" si="115">AU11+AV10</f>
        <v>#REF!</v>
      </c>
      <c r="AW11" s="88" t="e">
        <f t="shared" ref="AW11" si="116">AV11+AW10</f>
        <v>#REF!</v>
      </c>
      <c r="AX11" s="88" t="e">
        <f t="shared" ref="AX11" si="117">AW11+AX10</f>
        <v>#REF!</v>
      </c>
      <c r="AY11" s="88" t="e">
        <f t="shared" ref="AY11" si="118">AX11+AY10</f>
        <v>#REF!</v>
      </c>
      <c r="AZ11" s="88" t="e">
        <f t="shared" ref="AZ11" si="119">AY11+AZ10</f>
        <v>#REF!</v>
      </c>
      <c r="BA11" s="88" t="e">
        <f t="shared" ref="BA11" si="120">AZ11+BA10</f>
        <v>#REF!</v>
      </c>
      <c r="BB11" s="88" t="e">
        <f t="shared" ref="BB11" si="121">BA11+BB10</f>
        <v>#REF!</v>
      </c>
      <c r="BC11" s="88" t="e">
        <f t="shared" ref="BC11" si="122">BB11+BC10</f>
        <v>#REF!</v>
      </c>
      <c r="BD11" s="88" t="e">
        <f t="shared" ref="BD11" si="123">BC11+BD10</f>
        <v>#REF!</v>
      </c>
      <c r="BE11" s="88" t="e">
        <f t="shared" ref="BE11" si="124">BD11+BE10</f>
        <v>#REF!</v>
      </c>
      <c r="BF11" s="88" t="e">
        <f t="shared" ref="BF11" si="125">BE11+BF10</f>
        <v>#REF!</v>
      </c>
      <c r="BG11" s="88" t="e">
        <f t="shared" ref="BG11" si="126">BF11+BG10</f>
        <v>#REF!</v>
      </c>
      <c r="BH11" s="88" t="e">
        <f t="shared" ref="BH11" si="127">BG11+BH10</f>
        <v>#REF!</v>
      </c>
      <c r="BI11" s="88" t="e">
        <f t="shared" ref="BI11" si="128">BH11+BI10</f>
        <v>#REF!</v>
      </c>
      <c r="BJ11" s="88" t="e">
        <f t="shared" ref="BJ11" si="129">BI11+BJ10</f>
        <v>#REF!</v>
      </c>
      <c r="BK11" s="88" t="e">
        <f t="shared" ref="BK11" si="130">BJ11+BK10</f>
        <v>#REF!</v>
      </c>
      <c r="BL11" s="88" t="e">
        <f t="shared" ref="BL11" si="131">BK11+BL10</f>
        <v>#REF!</v>
      </c>
      <c r="BM11" s="88" t="e">
        <f t="shared" ref="BM11" si="132">BL11+BM10</f>
        <v>#REF!</v>
      </c>
      <c r="BN11" s="88" t="e">
        <f t="shared" ref="BN11" si="133">BM11+BN10</f>
        <v>#REF!</v>
      </c>
      <c r="BO11" s="88" t="e">
        <f t="shared" ref="BO11" si="134">BN11+BO10</f>
        <v>#REF!</v>
      </c>
      <c r="BP11" s="88" t="e">
        <f t="shared" ref="BP11" si="135">BO11+BP10</f>
        <v>#REF!</v>
      </c>
      <c r="BQ11" s="88" t="e">
        <f t="shared" ref="BQ11" si="136">BP11+BQ10</f>
        <v>#REF!</v>
      </c>
      <c r="BR11" s="88" t="e">
        <f t="shared" ref="BR11" si="137">BQ11+BR10</f>
        <v>#REF!</v>
      </c>
      <c r="BS11" s="88" t="e">
        <f t="shared" ref="BS11" si="138">BR11+BS10</f>
        <v>#REF!</v>
      </c>
      <c r="BT11" s="88" t="e">
        <f t="shared" ref="BT11" si="139">BS11+BT10</f>
        <v>#REF!</v>
      </c>
      <c r="BU11" s="88" t="e">
        <f t="shared" ref="BU11" si="140">BT11+BU10</f>
        <v>#REF!</v>
      </c>
      <c r="BV11" s="88" t="e">
        <f t="shared" ref="BV11" si="141">BU11+BV10</f>
        <v>#REF!</v>
      </c>
      <c r="BW11" s="88" t="e">
        <f t="shared" ref="BW11" si="142">BV11+BW10</f>
        <v>#REF!</v>
      </c>
      <c r="BX11" s="88" t="e">
        <f t="shared" ref="BX11" si="143">BW11+BX10</f>
        <v>#REF!</v>
      </c>
      <c r="BY11" s="88" t="e">
        <f t="shared" ref="BY11" si="144">BX11+BY10</f>
        <v>#REF!</v>
      </c>
      <c r="BZ11" s="88" t="e">
        <f t="shared" ref="BZ11" si="145">BY11+BZ10</f>
        <v>#REF!</v>
      </c>
      <c r="CA11" s="88" t="e">
        <f t="shared" ref="CA11" si="146">BZ11+CA10</f>
        <v>#REF!</v>
      </c>
      <c r="CB11" s="88" t="e">
        <f t="shared" ref="CB11" si="147">CA11+CB10</f>
        <v>#REF!</v>
      </c>
      <c r="CC11" s="88" t="e">
        <f t="shared" ref="CC11" si="148">CB11+CC10</f>
        <v>#REF!</v>
      </c>
      <c r="CD11" s="88" t="e">
        <f t="shared" ref="CD11" si="149">CC11+CD10</f>
        <v>#REF!</v>
      </c>
      <c r="CE11" s="88" t="e">
        <f t="shared" ref="CE11" si="150">CD11+CE10</f>
        <v>#REF!</v>
      </c>
      <c r="CF11" s="88" t="e">
        <f t="shared" ref="CF11" si="151">CE11+CF10</f>
        <v>#REF!</v>
      </c>
      <c r="CG11" s="88" t="e">
        <f t="shared" ref="CG11" si="152">CF11+CG10</f>
        <v>#REF!</v>
      </c>
      <c r="CH11" s="88" t="e">
        <f t="shared" ref="CH11" si="153">CG11+CH10</f>
        <v>#REF!</v>
      </c>
    </row>
    <row r="12" spans="1:86" x14ac:dyDescent="0.25">
      <c r="A12" s="90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</row>
    <row r="13" spans="1:86" x14ac:dyDescent="0.25">
      <c r="A13" s="67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</row>
    <row r="14" spans="1:86" x14ac:dyDescent="0.25">
      <c r="A14" s="57" t="s">
        <v>102</v>
      </c>
      <c r="B14" s="69" t="s">
        <v>103</v>
      </c>
    </row>
    <row r="15" spans="1:86" x14ac:dyDescent="0.25">
      <c r="A15" s="69" t="s">
        <v>112</v>
      </c>
      <c r="B15" s="70">
        <f>SUM(A25:C25)</f>
        <v>0.1114</v>
      </c>
      <c r="AC15" s="2"/>
      <c r="BC15" s="2"/>
    </row>
    <row r="16" spans="1:86" x14ac:dyDescent="0.25">
      <c r="A16" s="57" t="s">
        <v>110</v>
      </c>
      <c r="B16" s="86">
        <f>(1+B15)/(1+D25)-1</f>
        <v>6.9476520400308051E-2</v>
      </c>
      <c r="C16" s="85" t="s">
        <v>113</v>
      </c>
      <c r="AC16" s="2"/>
    </row>
    <row r="17" spans="1:29" x14ac:dyDescent="0.25">
      <c r="A17" s="69" t="s">
        <v>3</v>
      </c>
      <c r="B17" s="45" t="e">
        <f>NPV(B15,C8:AD8)+B8</f>
        <v>#REF!</v>
      </c>
      <c r="AC17" s="2"/>
    </row>
    <row r="18" spans="1:29" x14ac:dyDescent="0.25">
      <c r="A18" s="69" t="s">
        <v>10</v>
      </c>
      <c r="B18" s="71" t="e">
        <f>IRR(B8:AD8,B15)</f>
        <v>#VALUE!</v>
      </c>
    </row>
    <row r="19" spans="1:29" x14ac:dyDescent="0.25">
      <c r="A19" s="69" t="s">
        <v>41</v>
      </c>
      <c r="B19" s="76" t="e">
        <f>V9/(V9-W9)+V3</f>
        <v>#REF!</v>
      </c>
      <c r="C19" s="77"/>
      <c r="D19" s="77"/>
      <c r="Q19" s="16"/>
      <c r="R19" s="16"/>
      <c r="S19" s="2"/>
      <c r="W19" s="2"/>
    </row>
    <row r="20" spans="1:29" x14ac:dyDescent="0.25">
      <c r="A20" s="69" t="s">
        <v>114</v>
      </c>
      <c r="B20" s="76"/>
      <c r="C20" s="77"/>
      <c r="D20" s="77"/>
      <c r="Q20" s="16"/>
      <c r="R20" s="16"/>
      <c r="S20" s="2"/>
      <c r="W20" s="2"/>
    </row>
    <row r="21" spans="1:29" x14ac:dyDescent="0.25">
      <c r="D21" s="77"/>
      <c r="Q21" s="16"/>
      <c r="R21" s="16"/>
      <c r="S21" s="2"/>
      <c r="W21" s="2"/>
    </row>
    <row r="23" spans="1:29" x14ac:dyDescent="0.25">
      <c r="A23" s="125" t="s">
        <v>112</v>
      </c>
      <c r="B23" s="125"/>
      <c r="C23" s="125"/>
      <c r="D23" s="82" t="s">
        <v>110</v>
      </c>
    </row>
    <row r="24" spans="1:29" x14ac:dyDescent="0.25">
      <c r="A24" s="15" t="s">
        <v>73</v>
      </c>
      <c r="B24" s="12" t="s">
        <v>75</v>
      </c>
      <c r="C24" s="12" t="s">
        <v>74</v>
      </c>
      <c r="D24" s="83" t="s">
        <v>111</v>
      </c>
      <c r="J24" s="16"/>
    </row>
    <row r="25" spans="1:29" x14ac:dyDescent="0.25">
      <c r="A25" s="22">
        <v>0.02</v>
      </c>
      <c r="B25" s="22">
        <v>2.7099999999999999E-2</v>
      </c>
      <c r="C25" s="22">
        <v>6.4299999999999996E-2</v>
      </c>
      <c r="D25" s="84">
        <v>3.9199999999999999E-2</v>
      </c>
      <c r="J25" s="16"/>
      <c r="K25" s="2"/>
    </row>
    <row r="26" spans="1:29" x14ac:dyDescent="0.25">
      <c r="J26" s="16"/>
    </row>
    <row r="28" spans="1:29" x14ac:dyDescent="0.25">
      <c r="A28" s="123" t="s">
        <v>78</v>
      </c>
      <c r="B28" s="123"/>
      <c r="C28" s="123"/>
      <c r="D28" s="123"/>
      <c r="E28" s="132" t="s">
        <v>84</v>
      </c>
      <c r="F28" s="133"/>
      <c r="G28" s="133"/>
      <c r="H28" s="134"/>
    </row>
    <row r="29" spans="1:29" x14ac:dyDescent="0.25">
      <c r="A29" s="82" t="s">
        <v>93</v>
      </c>
      <c r="B29" s="82" t="s">
        <v>94</v>
      </c>
      <c r="C29" s="82" t="s">
        <v>95</v>
      </c>
      <c r="D29" s="82" t="s">
        <v>85</v>
      </c>
      <c r="E29" s="82" t="s">
        <v>86</v>
      </c>
      <c r="F29" s="82" t="s">
        <v>87</v>
      </c>
      <c r="G29" s="83" t="s">
        <v>88</v>
      </c>
      <c r="H29" s="83" t="s">
        <v>2</v>
      </c>
    </row>
    <row r="30" spans="1:29" x14ac:dyDescent="0.25">
      <c r="A30" s="4">
        <v>1</v>
      </c>
      <c r="B30" s="6">
        <v>65</v>
      </c>
      <c r="C30" s="4">
        <f>350*64</f>
        <v>22400</v>
      </c>
      <c r="D30" s="6">
        <f>C30*B30</f>
        <v>1456000</v>
      </c>
      <c r="E30" s="6">
        <f>I6</f>
        <v>370642.11000000004</v>
      </c>
      <c r="F30" s="24">
        <v>0.112</v>
      </c>
      <c r="G30" s="5">
        <v>22500</v>
      </c>
      <c r="H30" s="6">
        <f>((D30-E30)*F30)-G30</f>
        <v>99060.083679999996</v>
      </c>
    </row>
    <row r="31" spans="1:29" x14ac:dyDescent="0.25">
      <c r="A31" s="4">
        <v>2</v>
      </c>
      <c r="B31" s="6">
        <v>65</v>
      </c>
      <c r="C31" s="4">
        <f>350*64</f>
        <v>22400</v>
      </c>
      <c r="D31" s="6">
        <f t="shared" ref="D31:D33" si="154">C31*B31</f>
        <v>1456000</v>
      </c>
      <c r="E31" s="6" t="e">
        <f>P6</f>
        <v>#REF!</v>
      </c>
      <c r="F31" s="24">
        <v>0.112</v>
      </c>
      <c r="G31" s="5">
        <v>22500</v>
      </c>
      <c r="H31" s="6" t="e">
        <f>((D31-E31)*F31)-G31</f>
        <v>#REF!</v>
      </c>
    </row>
    <row r="32" spans="1:29" x14ac:dyDescent="0.25">
      <c r="A32" s="4">
        <v>3</v>
      </c>
      <c r="B32" s="6">
        <v>65</v>
      </c>
      <c r="C32" s="4">
        <f>350*64</f>
        <v>22400</v>
      </c>
      <c r="D32" s="6">
        <f t="shared" si="154"/>
        <v>1456000</v>
      </c>
      <c r="E32" s="6" t="e">
        <f>W6</f>
        <v>#REF!</v>
      </c>
      <c r="F32" s="24">
        <v>0.112</v>
      </c>
      <c r="G32" s="5">
        <v>22500</v>
      </c>
      <c r="H32" s="6" t="e">
        <f>((D32-E32)*F32)-G32</f>
        <v>#REF!</v>
      </c>
    </row>
    <row r="33" spans="1:8" x14ac:dyDescent="0.25">
      <c r="A33" s="7">
        <v>4</v>
      </c>
      <c r="B33" s="6">
        <v>65</v>
      </c>
      <c r="C33" s="4">
        <f>350*64</f>
        <v>22400</v>
      </c>
      <c r="D33" s="6">
        <f t="shared" si="154"/>
        <v>1456000</v>
      </c>
      <c r="E33" s="6" t="e">
        <f>AD6</f>
        <v>#REF!</v>
      </c>
      <c r="F33" s="24">
        <v>0.112</v>
      </c>
      <c r="G33" s="5">
        <v>22500</v>
      </c>
      <c r="H33" s="6" t="e">
        <f>((D33-E33)*F33)-G33</f>
        <v>#REF!</v>
      </c>
    </row>
  </sheetData>
  <mergeCells count="16">
    <mergeCell ref="A1:BF1"/>
    <mergeCell ref="BG2:BM2"/>
    <mergeCell ref="BN2:BT2"/>
    <mergeCell ref="BU2:CA2"/>
    <mergeCell ref="CB2:CH2"/>
    <mergeCell ref="AS2:AY2"/>
    <mergeCell ref="AZ2:BF2"/>
    <mergeCell ref="A23:C23"/>
    <mergeCell ref="A28:D28"/>
    <mergeCell ref="E28:H28"/>
    <mergeCell ref="AE2:AK2"/>
    <mergeCell ref="AL2:AR2"/>
    <mergeCell ref="B2:I2"/>
    <mergeCell ref="J2:P2"/>
    <mergeCell ref="Q2:W2"/>
    <mergeCell ref="X2:AD2"/>
  </mergeCells>
  <pageMargins left="0.511811024" right="0.511811024" top="0.78740157499999996" bottom="0.78740157499999996" header="0.31496062000000002" footer="0.31496062000000002"/>
  <pageSetup orientation="portrait" r:id="rId1"/>
  <headerFooter>
    <oddFooter>&amp;C&amp;1#&amp;"Calibri"&amp;10&amp;K000000Classificação da informação: Uso Interno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Custos Implantação</vt:lpstr>
      <vt:lpstr>Custos Manutenção</vt:lpstr>
      <vt:lpstr>Fluxo de Caixa</vt:lpstr>
      <vt:lpstr>FC Payback DESCONTADO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Nair</dc:creator>
  <cp:lastModifiedBy>Cliente</cp:lastModifiedBy>
  <dcterms:created xsi:type="dcterms:W3CDTF">2019-08-16T22:20:02Z</dcterms:created>
  <dcterms:modified xsi:type="dcterms:W3CDTF">2024-04-11T13:48:13Z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9deea41-824f-4c3c-afd5-7afdfc16eee8_Enabled">
    <vt:lpwstr>True</vt:lpwstr>
  </property>
  <property fmtid="{D5CDD505-2E9C-101B-9397-08002B2CF9AE}" pid="3" name="MSIP_Label_99deea41-824f-4c3c-afd5-7afdfc16eee8_SiteId">
    <vt:lpwstr>3223964c-6e1f-48ba-b705-423351281a8c</vt:lpwstr>
  </property>
  <property fmtid="{D5CDD505-2E9C-101B-9397-08002B2CF9AE}" pid="4" name="MSIP_Label_99deea41-824f-4c3c-afd5-7afdfc16eee8_Owner">
    <vt:lpwstr>michele_geus@sicredi.com.br</vt:lpwstr>
  </property>
  <property fmtid="{D5CDD505-2E9C-101B-9397-08002B2CF9AE}" pid="5" name="MSIP_Label_99deea41-824f-4c3c-afd5-7afdfc16eee8_SetDate">
    <vt:lpwstr>2020-11-24T17:52:09.9759552Z</vt:lpwstr>
  </property>
  <property fmtid="{D5CDD505-2E9C-101B-9397-08002B2CF9AE}" pid="6" name="MSIP_Label_99deea41-824f-4c3c-afd5-7afdfc16eee8_Name">
    <vt:lpwstr>Uso Interno</vt:lpwstr>
  </property>
  <property fmtid="{D5CDD505-2E9C-101B-9397-08002B2CF9AE}" pid="7" name="MSIP_Label_99deea41-824f-4c3c-afd5-7afdfc16eee8_Application">
    <vt:lpwstr>Microsoft Azure Information Protection</vt:lpwstr>
  </property>
  <property fmtid="{D5CDD505-2E9C-101B-9397-08002B2CF9AE}" pid="8" name="MSIP_Label_99deea41-824f-4c3c-afd5-7afdfc16eee8_ActionId">
    <vt:lpwstr>3406d3da-c8c0-4417-8df3-f4e412ae4e3b</vt:lpwstr>
  </property>
  <property fmtid="{D5CDD505-2E9C-101B-9397-08002B2CF9AE}" pid="9" name="MSIP_Label_99deea41-824f-4c3c-afd5-7afdfc16eee8_Extended_MSFT_Method">
    <vt:lpwstr>Automatic</vt:lpwstr>
  </property>
  <property fmtid="{D5CDD505-2E9C-101B-9397-08002B2CF9AE}" pid="10" name="Sensitivity">
    <vt:lpwstr>Uso Interno</vt:lpwstr>
  </property>
</Properties>
</file>