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ichele Palumbo\Desktop\"/>
    </mc:Choice>
  </mc:AlternateContent>
  <bookViews>
    <workbookView xWindow="0" yWindow="0" windowWidth="23040" windowHeight="8808" tabRatio="558" activeTab="6"/>
  </bookViews>
  <sheets>
    <sheet name="Costi" sheetId="3" r:id="rId1"/>
    <sheet name="C.E." sheetId="5" r:id="rId2"/>
    <sheet name="Flussi" sheetId="7" r:id="rId3"/>
    <sheet name="Stato Patrimoniale" sheetId="6" r:id="rId4"/>
    <sheet name="Ammortamenti" sheetId="9" r:id="rId5"/>
    <sheet name="ROE" sheetId="8" r:id="rId6"/>
    <sheet name="BEP" sheetId="10" r:id="rId7"/>
  </sheets>
  <definedNames>
    <definedName name="g">'C.E.'!$F$29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0" l="1"/>
  <c r="K30" i="10"/>
  <c r="C14" i="5"/>
  <c r="K26" i="5"/>
  <c r="K45" i="5"/>
  <c r="K46" i="5"/>
  <c r="E45" i="5"/>
  <c r="H51" i="5"/>
  <c r="H50" i="5"/>
  <c r="H49" i="5"/>
  <c r="E14" i="3"/>
  <c r="E16" i="3"/>
  <c r="E17" i="3"/>
  <c r="E18" i="3"/>
  <c r="E19" i="3"/>
  <c r="E20" i="3"/>
  <c r="E21" i="3"/>
  <c r="F14" i="3"/>
  <c r="C26" i="3"/>
  <c r="D38" i="3"/>
  <c r="D39" i="3"/>
  <c r="C40" i="3"/>
  <c r="D40" i="3"/>
  <c r="C41" i="3"/>
  <c r="D41" i="3"/>
  <c r="D42" i="3"/>
  <c r="E38" i="3"/>
  <c r="E42" i="3"/>
  <c r="F42" i="3"/>
  <c r="D15" i="3"/>
  <c r="F15" i="3"/>
  <c r="C27" i="3"/>
  <c r="F16" i="3"/>
  <c r="C28" i="3"/>
  <c r="F17" i="3"/>
  <c r="C29" i="3"/>
  <c r="F18" i="3"/>
  <c r="C30" i="3"/>
  <c r="F19" i="3"/>
  <c r="C31" i="3"/>
  <c r="F20" i="3"/>
  <c r="C32" i="3"/>
  <c r="C33" i="3"/>
  <c r="B54" i="3"/>
  <c r="E44" i="5"/>
  <c r="F44" i="5"/>
  <c r="F45" i="5"/>
  <c r="F47" i="5"/>
  <c r="C54" i="3"/>
  <c r="D54" i="3"/>
  <c r="D19" i="9"/>
  <c r="D20" i="9"/>
  <c r="D21" i="9"/>
  <c r="D22" i="9"/>
  <c r="D23" i="9"/>
  <c r="D24" i="9"/>
  <c r="D25" i="9"/>
  <c r="B51" i="3"/>
  <c r="E25" i="5"/>
  <c r="F25" i="5"/>
  <c r="E26" i="5"/>
  <c r="F26" i="5"/>
  <c r="F29" i="5"/>
  <c r="C51" i="3"/>
  <c r="D51" i="3"/>
  <c r="E29" i="5"/>
  <c r="D21" i="3"/>
  <c r="C26" i="5"/>
  <c r="F39" i="3"/>
  <c r="C27" i="5"/>
  <c r="C29" i="5"/>
  <c r="C32" i="5"/>
  <c r="E34" i="5"/>
  <c r="E13" i="10"/>
  <c r="E14" i="10"/>
  <c r="E12" i="10"/>
  <c r="E11" i="10"/>
  <c r="E10" i="10"/>
  <c r="E9" i="10"/>
  <c r="I12" i="10"/>
  <c r="I13" i="10"/>
  <c r="I14" i="10"/>
  <c r="I10" i="10"/>
  <c r="I11" i="10"/>
  <c r="I9" i="10"/>
  <c r="C28" i="7"/>
  <c r="D28" i="7"/>
  <c r="D22" i="7"/>
  <c r="C25" i="7"/>
  <c r="D25" i="7"/>
  <c r="C26" i="7"/>
  <c r="D26" i="7"/>
  <c r="C27" i="7"/>
  <c r="D27" i="7"/>
  <c r="D30" i="7"/>
  <c r="D31" i="7"/>
  <c r="E28" i="7"/>
  <c r="E22" i="7"/>
  <c r="E25" i="7"/>
  <c r="E26" i="7"/>
  <c r="E27" i="7"/>
  <c r="E30" i="7"/>
  <c r="E31" i="7"/>
  <c r="F28" i="7"/>
  <c r="F22" i="7"/>
  <c r="F23" i="7"/>
  <c r="F25" i="7"/>
  <c r="F26" i="7"/>
  <c r="F27" i="7"/>
  <c r="F30" i="7"/>
  <c r="F31" i="7"/>
  <c r="C21" i="7"/>
  <c r="C23" i="7"/>
  <c r="C30" i="7"/>
  <c r="C31" i="7"/>
  <c r="C8" i="7"/>
  <c r="E41" i="6"/>
  <c r="E16" i="6"/>
  <c r="C32" i="7"/>
  <c r="C40" i="7"/>
  <c r="E7" i="5"/>
  <c r="F7" i="5"/>
  <c r="G7" i="5"/>
  <c r="C11" i="7"/>
  <c r="C15" i="7"/>
  <c r="C39" i="7"/>
  <c r="C42" i="7"/>
  <c r="C43" i="7"/>
  <c r="C45" i="7"/>
  <c r="D32" i="7"/>
  <c r="D40" i="7"/>
  <c r="D11" i="7"/>
  <c r="D15" i="7"/>
  <c r="D39" i="7"/>
  <c r="D42" i="7"/>
  <c r="D43" i="7"/>
  <c r="D45" i="7"/>
  <c r="E32" i="7"/>
  <c r="E40" i="7"/>
  <c r="E11" i="7"/>
  <c r="E15" i="7"/>
  <c r="E39" i="7"/>
  <c r="E42" i="7"/>
  <c r="E43" i="7"/>
  <c r="E45" i="7"/>
  <c r="F32" i="7"/>
  <c r="F40" i="7"/>
  <c r="F11" i="7"/>
  <c r="F13" i="7"/>
  <c r="F15" i="7"/>
  <c r="F39" i="7"/>
  <c r="F42" i="7"/>
  <c r="F8" i="7"/>
  <c r="F43" i="7"/>
  <c r="F45" i="7"/>
  <c r="G45" i="7"/>
  <c r="C16" i="6"/>
  <c r="G40" i="7"/>
  <c r="G42" i="7"/>
  <c r="G43" i="7"/>
  <c r="G39" i="7"/>
  <c r="G31" i="7"/>
  <c r="G30" i="7"/>
  <c r="G32" i="7"/>
  <c r="C48" i="3"/>
  <c r="D6" i="3"/>
  <c r="D7" i="3"/>
  <c r="D8" i="3"/>
  <c r="D9" i="3"/>
  <c r="D10" i="3"/>
  <c r="B48" i="3"/>
  <c r="D48" i="3"/>
  <c r="E11" i="5"/>
  <c r="C8" i="5"/>
  <c r="C9" i="5"/>
  <c r="C10" i="3"/>
  <c r="C7" i="5"/>
  <c r="C11" i="5"/>
  <c r="E20" i="6"/>
  <c r="E49" i="6"/>
  <c r="E80" i="6"/>
  <c r="F40" i="3"/>
  <c r="F41" i="3"/>
  <c r="F38" i="3"/>
  <c r="C45" i="5"/>
  <c r="E72" i="6"/>
  <c r="E43" i="6"/>
  <c r="F21" i="3"/>
  <c r="C42" i="3"/>
  <c r="C44" i="5"/>
  <c r="C46" i="5"/>
  <c r="C47" i="5"/>
  <c r="E47" i="5"/>
  <c r="C50" i="5"/>
  <c r="E66" i="6"/>
  <c r="E78" i="6"/>
  <c r="E51" i="6"/>
  <c r="G45" i="5"/>
  <c r="G44" i="5"/>
  <c r="G47" i="5"/>
  <c r="C110" i="7"/>
  <c r="D110" i="7"/>
  <c r="D114" i="7"/>
  <c r="E110" i="7"/>
  <c r="E114" i="7"/>
  <c r="F110" i="7"/>
  <c r="F112" i="7"/>
  <c r="F114" i="7"/>
  <c r="C114" i="7"/>
  <c r="G112" i="7"/>
  <c r="G26" i="5"/>
  <c r="G25" i="5"/>
  <c r="G29" i="5"/>
  <c r="C60" i="7"/>
  <c r="D60" i="7"/>
  <c r="D64" i="7"/>
  <c r="E60" i="7"/>
  <c r="E64" i="7"/>
  <c r="F60" i="7"/>
  <c r="F62" i="7"/>
  <c r="F64" i="7"/>
  <c r="C64" i="7"/>
  <c r="G62" i="7"/>
  <c r="G13" i="7"/>
  <c r="G8" i="7"/>
  <c r="G11" i="7"/>
  <c r="G12" i="7"/>
  <c r="H14" i="10"/>
  <c r="J14" i="10"/>
  <c r="H13" i="10"/>
  <c r="J13" i="10"/>
  <c r="H11" i="10"/>
  <c r="J11" i="10"/>
  <c r="H10" i="10"/>
  <c r="J10" i="10"/>
  <c r="H9" i="10"/>
  <c r="J9" i="10"/>
  <c r="L9" i="10"/>
  <c r="L10" i="10"/>
  <c r="L11" i="10"/>
  <c r="H12" i="10"/>
  <c r="J12" i="10"/>
  <c r="L12" i="10"/>
  <c r="L13" i="10"/>
  <c r="L14" i="10"/>
  <c r="K8" i="10"/>
  <c r="K9" i="10"/>
  <c r="K10" i="10"/>
  <c r="K11" i="10"/>
  <c r="K12" i="10"/>
  <c r="K13" i="10"/>
  <c r="K14" i="10"/>
  <c r="M14" i="10"/>
  <c r="G9" i="10"/>
  <c r="B9" i="10"/>
  <c r="E6" i="3"/>
  <c r="E7" i="3"/>
  <c r="E8" i="3"/>
  <c r="E9" i="3"/>
  <c r="E10" i="3"/>
  <c r="C9" i="10"/>
  <c r="C10" i="10"/>
  <c r="C11" i="10"/>
  <c r="C12" i="10"/>
  <c r="C13" i="10"/>
  <c r="C14" i="10"/>
  <c r="G10" i="10"/>
  <c r="B10" i="10"/>
  <c r="G11" i="10"/>
  <c r="B11" i="10"/>
  <c r="G12" i="10"/>
  <c r="B12" i="10"/>
  <c r="G13" i="10"/>
  <c r="B13" i="10"/>
  <c r="G14" i="10"/>
  <c r="B14" i="10"/>
  <c r="M13" i="10"/>
  <c r="M12" i="10"/>
  <c r="M11" i="10"/>
  <c r="M10" i="10"/>
  <c r="M9" i="10"/>
  <c r="M8" i="10"/>
  <c r="C20" i="9"/>
  <c r="C24" i="9"/>
  <c r="C19" i="9"/>
  <c r="C23" i="9"/>
  <c r="C22" i="9"/>
  <c r="C21" i="9"/>
  <c r="C6" i="9"/>
  <c r="C5" i="9"/>
  <c r="E5" i="9"/>
  <c r="E6" i="9"/>
  <c r="E7" i="9"/>
  <c r="E25" i="9"/>
  <c r="C7" i="9"/>
  <c r="E70" i="6"/>
  <c r="E68" i="6"/>
  <c r="E76" i="6"/>
  <c r="E39" i="6"/>
  <c r="C80" i="7"/>
  <c r="F92" i="7"/>
  <c r="C129" i="7"/>
  <c r="G129" i="7"/>
  <c r="F141" i="7"/>
  <c r="D120" i="7"/>
  <c r="E120" i="7"/>
  <c r="F120" i="7"/>
  <c r="D70" i="7"/>
  <c r="E70" i="7"/>
  <c r="F70" i="7"/>
  <c r="C125" i="7"/>
  <c r="D125" i="7"/>
  <c r="C122" i="7"/>
  <c r="C124" i="7"/>
  <c r="D124" i="7"/>
  <c r="C75" i="7"/>
  <c r="C72" i="7"/>
  <c r="C74" i="7"/>
  <c r="D74" i="7"/>
  <c r="E74" i="7"/>
  <c r="F74" i="7"/>
  <c r="C123" i="7"/>
  <c r="D123" i="7"/>
  <c r="E123" i="7"/>
  <c r="F123" i="7"/>
  <c r="F122" i="7"/>
  <c r="C73" i="7"/>
  <c r="D73" i="7"/>
  <c r="C76" i="7"/>
  <c r="G76" i="7"/>
  <c r="D92" i="7"/>
  <c r="E92" i="7"/>
  <c r="F72" i="7"/>
  <c r="D141" i="7"/>
  <c r="E141" i="7"/>
  <c r="G139" i="7"/>
  <c r="G121" i="7"/>
  <c r="G120" i="7"/>
  <c r="G111" i="7"/>
  <c r="G70" i="7"/>
  <c r="G71" i="7"/>
  <c r="G80" i="7"/>
  <c r="G90" i="7"/>
  <c r="G61" i="7"/>
  <c r="G24" i="7"/>
  <c r="E16" i="8"/>
  <c r="E11" i="8"/>
  <c r="E6" i="8"/>
  <c r="C25" i="9"/>
  <c r="C13" i="9"/>
  <c r="E13" i="9"/>
  <c r="E14" i="9"/>
  <c r="E73" i="7"/>
  <c r="F73" i="7"/>
  <c r="G22" i="7"/>
  <c r="G25" i="7"/>
  <c r="D122" i="7"/>
  <c r="E122" i="7"/>
  <c r="C127" i="7"/>
  <c r="C128" i="7"/>
  <c r="G74" i="7"/>
  <c r="G123" i="7"/>
  <c r="C78" i="7"/>
  <c r="D72" i="7"/>
  <c r="G28" i="7"/>
  <c r="G21" i="7"/>
  <c r="E125" i="7"/>
  <c r="F125" i="7"/>
  <c r="E35" i="5"/>
  <c r="E36" i="5"/>
  <c r="E10" i="8"/>
  <c r="G10" i="8"/>
  <c r="I10" i="8"/>
  <c r="E124" i="7"/>
  <c r="G23" i="7"/>
  <c r="D75" i="7"/>
  <c r="E75" i="7"/>
  <c r="F75" i="7"/>
  <c r="D127" i="7"/>
  <c r="D128" i="7"/>
  <c r="D130" i="7"/>
  <c r="D138" i="7"/>
  <c r="C14" i="9"/>
  <c r="C130" i="7"/>
  <c r="C138" i="7"/>
  <c r="G73" i="7"/>
  <c r="F78" i="7"/>
  <c r="F79" i="7"/>
  <c r="F81" i="7"/>
  <c r="F89" i="7"/>
  <c r="G122" i="7"/>
  <c r="G27" i="7"/>
  <c r="F124" i="7"/>
  <c r="F127" i="7"/>
  <c r="E127" i="7"/>
  <c r="G125" i="7"/>
  <c r="G75" i="7"/>
  <c r="D78" i="7"/>
  <c r="E72" i="7"/>
  <c r="E78" i="7"/>
  <c r="C79" i="7"/>
  <c r="C81" i="7"/>
  <c r="E52" i="5"/>
  <c r="G26" i="7"/>
  <c r="G78" i="7"/>
  <c r="G79" i="7"/>
  <c r="G124" i="7"/>
  <c r="C88" i="7"/>
  <c r="E79" i="7"/>
  <c r="E81" i="7"/>
  <c r="E89" i="7"/>
  <c r="E128" i="7"/>
  <c r="E130" i="7"/>
  <c r="G127" i="7"/>
  <c r="G128" i="7"/>
  <c r="E16" i="5"/>
  <c r="C137" i="7"/>
  <c r="F128" i="7"/>
  <c r="F130" i="7"/>
  <c r="F138" i="7"/>
  <c r="C89" i="7"/>
  <c r="D79" i="7"/>
  <c r="D81" i="7"/>
  <c r="D89" i="7"/>
  <c r="D137" i="7"/>
  <c r="D140" i="7"/>
  <c r="D143" i="7"/>
  <c r="E53" i="5"/>
  <c r="E54" i="5"/>
  <c r="E15" i="8"/>
  <c r="G15" i="8"/>
  <c r="I15" i="8"/>
  <c r="G72" i="7"/>
  <c r="D88" i="7"/>
  <c r="E138" i="7"/>
  <c r="G138" i="7"/>
  <c r="G130" i="7"/>
  <c r="E17" i="5"/>
  <c r="E18" i="5"/>
  <c r="E5" i="8"/>
  <c r="G5" i="8"/>
  <c r="I5" i="8"/>
  <c r="C140" i="7"/>
  <c r="G89" i="7"/>
  <c r="D91" i="7"/>
  <c r="D94" i="7"/>
  <c r="G81" i="7"/>
  <c r="E82" i="6"/>
  <c r="E53" i="6"/>
  <c r="E23" i="6"/>
  <c r="F88" i="7"/>
  <c r="F91" i="7"/>
  <c r="F94" i="7"/>
  <c r="E88" i="7"/>
  <c r="E91" i="7"/>
  <c r="E94" i="7"/>
  <c r="C91" i="7"/>
  <c r="G91" i="7"/>
  <c r="G88" i="7"/>
  <c r="F137" i="7"/>
  <c r="F140" i="7"/>
  <c r="F143" i="7"/>
  <c r="G110" i="7"/>
  <c r="E137" i="7"/>
  <c r="G64" i="7"/>
  <c r="G60" i="7"/>
  <c r="G114" i="7"/>
  <c r="E140" i="7"/>
  <c r="G137" i="7"/>
  <c r="E143" i="7"/>
  <c r="G140" i="7"/>
  <c r="G15" i="7"/>
  <c r="C23" i="6"/>
  <c r="D26" i="6"/>
  <c r="C57" i="7"/>
  <c r="G57" i="7"/>
  <c r="C92" i="7"/>
  <c r="G92" i="7"/>
  <c r="C94" i="7"/>
  <c r="G94" i="7"/>
  <c r="C43" i="6"/>
  <c r="C53" i="6"/>
  <c r="D56" i="6"/>
  <c r="C107" i="7"/>
  <c r="G107" i="7"/>
  <c r="C141" i="7"/>
  <c r="G141" i="7"/>
  <c r="G142" i="7"/>
  <c r="C143" i="7"/>
  <c r="G143" i="7"/>
  <c r="C72" i="6"/>
  <c r="C82" i="6"/>
  <c r="D86" i="6"/>
</calcChain>
</file>

<file path=xl/sharedStrings.xml><?xml version="1.0" encoding="utf-8"?>
<sst xmlns="http://schemas.openxmlformats.org/spreadsheetml/2006/main" count="403" uniqueCount="182">
  <si>
    <t>Profit before taxes(Profitto prima delle tasse)</t>
  </si>
  <si>
    <t>Incomung tax(Imposta sul reddito)</t>
  </si>
  <si>
    <t>Net profit(Profitto netto)</t>
  </si>
  <si>
    <t>Attrezzature da ufficio</t>
  </si>
  <si>
    <t>Attrezzature da lavoro</t>
  </si>
  <si>
    <t>Costi S.R.L.</t>
  </si>
  <si>
    <t>Licenza PlayStore</t>
  </si>
  <si>
    <t>VOCI</t>
  </si>
  <si>
    <t>TOTALE</t>
  </si>
  <si>
    <t>Affitto e strutture</t>
  </si>
  <si>
    <t>Spese amministrative</t>
  </si>
  <si>
    <t>COSTI INIZIALI</t>
  </si>
  <si>
    <t>pubblicità(volantinaggio)</t>
  </si>
  <si>
    <t>Altri costi</t>
  </si>
  <si>
    <t>Totale</t>
  </si>
  <si>
    <t>pubblicità (youtube)</t>
  </si>
  <si>
    <t>Licenza AppStore(iOS)</t>
  </si>
  <si>
    <t>Conto economico Anno 2017</t>
  </si>
  <si>
    <t>Decrizione</t>
  </si>
  <si>
    <t>Importo in Euro</t>
  </si>
  <si>
    <t>Descrizione</t>
  </si>
  <si>
    <t>Costi iniziali</t>
  </si>
  <si>
    <t>Costi annuali</t>
  </si>
  <si>
    <t>Ammortamento</t>
  </si>
  <si>
    <t>Accantonamento TFR</t>
  </si>
  <si>
    <t>Ricavi dalle vendite</t>
  </si>
  <si>
    <t>COSTI</t>
  </si>
  <si>
    <t>RICAVI</t>
  </si>
  <si>
    <t>Conto economico Anno 2018</t>
  </si>
  <si>
    <t>Utile =</t>
  </si>
  <si>
    <t>Ricavi delle nuove vendite</t>
  </si>
  <si>
    <t>Ricavi rinnovo vendite</t>
  </si>
  <si>
    <t>Conto economico Anno 2019</t>
  </si>
  <si>
    <t>Costi nuovi Investimenti</t>
  </si>
  <si>
    <t xml:space="preserve">ATTIVITA’ </t>
  </si>
  <si>
    <t xml:space="preserve">Descrizione </t>
  </si>
  <si>
    <t xml:space="preserve">Importo in € </t>
  </si>
  <si>
    <t xml:space="preserve">Attrezzature da lavoro </t>
  </si>
  <si>
    <t xml:space="preserve">Capitale sociale </t>
  </si>
  <si>
    <t xml:space="preserve">Riserva legale </t>
  </si>
  <si>
    <t xml:space="preserve">Lavori in corso su ordinazione </t>
  </si>
  <si>
    <t xml:space="preserve">Crediti verso clienti </t>
  </si>
  <si>
    <t xml:space="preserve">Fondo TFR </t>
  </si>
  <si>
    <t xml:space="preserve">Debiti Smart&amp;Start Italia (finanziamento) </t>
  </si>
  <si>
    <t xml:space="preserve">Utile/perdita di esercizio </t>
  </si>
  <si>
    <t xml:space="preserve">TOTALE </t>
  </si>
  <si>
    <t>Attrezzatura da ufficio</t>
  </si>
  <si>
    <t>Fondo Amm. Attrezzature da lavoro</t>
  </si>
  <si>
    <t xml:space="preserve">Fondo Amm. Attezzatura da ufficio </t>
  </si>
  <si>
    <t xml:space="preserve">cassa-banca c/c </t>
  </si>
  <si>
    <t>PASSIVITA’</t>
  </si>
  <si>
    <t>Roe anno 2017</t>
  </si>
  <si>
    <t>Roe anno 2018</t>
  </si>
  <si>
    <t>Roe anno 2019</t>
  </si>
  <si>
    <t>Reddito Netto</t>
  </si>
  <si>
    <t>Capitale Proprio</t>
  </si>
  <si>
    <t>%</t>
  </si>
  <si>
    <t>Stato Patrimoniale 2017</t>
  </si>
  <si>
    <t>Stato Patrimoniale 2018</t>
  </si>
  <si>
    <t>Stato Patrimoniale 2019</t>
  </si>
  <si>
    <t xml:space="preserve">I trimestre </t>
  </si>
  <si>
    <t xml:space="preserve">Totale </t>
  </si>
  <si>
    <t xml:space="preserve">Liquidità all’inizio del trimestre </t>
  </si>
  <si>
    <t xml:space="preserve">Flussi in entrata </t>
  </si>
  <si>
    <t xml:space="preserve">Liquidità ricevuta dai clienti </t>
  </si>
  <si>
    <t xml:space="preserve">Nuovi investimenti/finanziamenti </t>
  </si>
  <si>
    <t xml:space="preserve">Totale dei flussi in entrata </t>
  </si>
  <si>
    <r>
      <t>II</t>
    </r>
    <r>
      <rPr>
        <b/>
        <vertAlign val="superscript"/>
        <sz val="16"/>
        <color rgb="FFFFFFFF"/>
        <rFont val="Calibri"/>
        <family val="2"/>
      </rPr>
      <t xml:space="preserve"> </t>
    </r>
    <r>
      <rPr>
        <b/>
        <sz val="16"/>
        <color rgb="FFFFFFFF"/>
        <rFont val="Calibri"/>
        <family val="2"/>
      </rPr>
      <t xml:space="preserve">trimestre </t>
    </r>
  </si>
  <si>
    <r>
      <t>III</t>
    </r>
    <r>
      <rPr>
        <b/>
        <vertAlign val="superscript"/>
        <sz val="16"/>
        <color rgb="FFFFFFFF"/>
        <rFont val="Calibri"/>
        <family val="2"/>
      </rPr>
      <t xml:space="preserve"> </t>
    </r>
    <r>
      <rPr>
        <b/>
        <sz val="16"/>
        <color rgb="FFFFFFFF"/>
        <rFont val="Calibri"/>
        <family val="2"/>
      </rPr>
      <t xml:space="preserve">trimestre </t>
    </r>
  </si>
  <si>
    <r>
      <t>IV</t>
    </r>
    <r>
      <rPr>
        <b/>
        <vertAlign val="superscript"/>
        <sz val="16"/>
        <color rgb="FFFFFFFF"/>
        <rFont val="Calibri"/>
        <family val="2"/>
      </rPr>
      <t xml:space="preserve"> </t>
    </r>
    <r>
      <rPr>
        <b/>
        <sz val="16"/>
        <color rgb="FFFFFFFF"/>
        <rFont val="Calibri"/>
        <family val="2"/>
      </rPr>
      <t xml:space="preserve">trimestre </t>
    </r>
  </si>
  <si>
    <r>
      <t>Flussi in uscita</t>
    </r>
    <r>
      <rPr>
        <b/>
        <sz val="20"/>
        <color rgb="FF000000"/>
        <rFont val="Calibri"/>
        <family val="2"/>
      </rPr>
      <t xml:space="preserve"> </t>
    </r>
  </si>
  <si>
    <t xml:space="preserve">Costi SRL </t>
  </si>
  <si>
    <t xml:space="preserve">Attrezzatura da lavoro </t>
  </si>
  <si>
    <t>Licenze store Apple</t>
  </si>
  <si>
    <t xml:space="preserve">Pubblicità </t>
  </si>
  <si>
    <t xml:space="preserve">Connessione di Rete, chiamate, Dominio e Hosting Web </t>
  </si>
  <si>
    <t>Spese varie</t>
  </si>
  <si>
    <t>Flussi in uscita</t>
  </si>
  <si>
    <r>
      <t>Differenza</t>
    </r>
    <r>
      <rPr>
        <b/>
        <i/>
        <sz val="18"/>
        <color rgb="FF000000"/>
        <rFont val="Calibri"/>
        <family val="2"/>
      </rPr>
      <t xml:space="preserve"> </t>
    </r>
  </si>
  <si>
    <t xml:space="preserve">Disponibilità liquida al termine del trimestre </t>
  </si>
  <si>
    <t>Costo del venduto</t>
  </si>
  <si>
    <t>Importo netto</t>
  </si>
  <si>
    <t>Spese Amministrative</t>
  </si>
  <si>
    <t>TOTALE  LORDO</t>
  </si>
  <si>
    <t>TOTALE  NETTO</t>
  </si>
  <si>
    <t>Tasse</t>
  </si>
  <si>
    <t>ANNO 2017</t>
  </si>
  <si>
    <t xml:space="preserve">II trimestre </t>
  </si>
  <si>
    <t xml:space="preserve">III trimestre </t>
  </si>
  <si>
    <t xml:space="preserve">IV  trimestre </t>
  </si>
  <si>
    <t>ANNO 2018</t>
  </si>
  <si>
    <t>Rata Finanziamento</t>
  </si>
  <si>
    <t>Nuove Attrezzature</t>
  </si>
  <si>
    <t xml:space="preserve">Fondo Amm. Nuove Attezzatura </t>
  </si>
  <si>
    <t>ANNO 2019</t>
  </si>
  <si>
    <t>Esercizio anni precedenti</t>
  </si>
  <si>
    <t>Interessi attivi sui depositi bancari</t>
  </si>
  <si>
    <t>Utile/perdita di esercizio</t>
  </si>
  <si>
    <r>
      <rPr>
        <b/>
        <sz val="11"/>
        <color theme="1"/>
        <rFont val="Calibri"/>
        <family val="2"/>
        <scheme val="minor"/>
      </rPr>
      <t>NUOVI INVESTIMENTI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theme="1"/>
        <rFont val="Ovi"/>
      </rPr>
      <t xml:space="preserve"> € 6.000,00 amortizzati in tre anni per una quota di ammortamento pari a € 2.000,00</t>
    </r>
  </si>
  <si>
    <t>Differenza =</t>
  </si>
  <si>
    <t>Spesa Totale senza IVA</t>
  </si>
  <si>
    <t>Anni Ammortamento</t>
  </si>
  <si>
    <t>Ammortamento Annuale</t>
  </si>
  <si>
    <t>Attrezzatura da lavoro</t>
  </si>
  <si>
    <t>Arredamento</t>
  </si>
  <si>
    <t>Nuove attrezzature</t>
  </si>
  <si>
    <t>Importo (netto)</t>
  </si>
  <si>
    <t>IVA</t>
  </si>
  <si>
    <t>Importo (lordo)</t>
  </si>
  <si>
    <t>Nuove attività necessarie per il 2018</t>
  </si>
  <si>
    <t>1 iPad Pro</t>
  </si>
  <si>
    <t>1 iPhone 7 Plus</t>
  </si>
  <si>
    <t>1 Samsung Galaxy s8 edge plus</t>
  </si>
  <si>
    <t>1 Lenovo IdeaPad Z50-70</t>
  </si>
  <si>
    <t>Investimento totale di nuove attrezzature per il 2018</t>
  </si>
  <si>
    <t>IMPORTO NETTO</t>
  </si>
  <si>
    <t>IVA 22%</t>
  </si>
  <si>
    <t>IMPORTO LORDO</t>
  </si>
  <si>
    <t>ENTRATE</t>
  </si>
  <si>
    <t>USCITE</t>
  </si>
  <si>
    <t xml:space="preserve">Flussi in uscita </t>
  </si>
  <si>
    <r>
      <t>II</t>
    </r>
    <r>
      <rPr>
        <b/>
        <vertAlign val="superscript"/>
        <sz val="18"/>
        <color rgb="FFFFFFFF"/>
        <rFont val="Calibri"/>
        <family val="2"/>
      </rPr>
      <t xml:space="preserve"> </t>
    </r>
    <r>
      <rPr>
        <b/>
        <sz val="18"/>
        <color rgb="FFFFFFFF"/>
        <rFont val="Calibri"/>
        <family val="2"/>
      </rPr>
      <t xml:space="preserve">trimestre </t>
    </r>
  </si>
  <si>
    <r>
      <t>III</t>
    </r>
    <r>
      <rPr>
        <b/>
        <vertAlign val="superscript"/>
        <sz val="18"/>
        <color rgb="FFFFFFFF"/>
        <rFont val="Calibri"/>
        <family val="2"/>
      </rPr>
      <t xml:space="preserve"> </t>
    </r>
    <r>
      <rPr>
        <b/>
        <sz val="18"/>
        <color rgb="FFFFFFFF"/>
        <rFont val="Calibri"/>
        <family val="2"/>
      </rPr>
      <t xml:space="preserve">trimestre </t>
    </r>
  </si>
  <si>
    <r>
      <t>IV</t>
    </r>
    <r>
      <rPr>
        <b/>
        <vertAlign val="superscript"/>
        <sz val="18"/>
        <color rgb="FFFFFFFF"/>
        <rFont val="Calibri"/>
        <family val="2"/>
      </rPr>
      <t xml:space="preserve"> </t>
    </r>
    <r>
      <rPr>
        <b/>
        <sz val="18"/>
        <color rgb="FFFFFFFF"/>
        <rFont val="Calibri"/>
        <family val="2"/>
      </rPr>
      <t xml:space="preserve">trimestre </t>
    </r>
  </si>
  <si>
    <r>
      <t>II</t>
    </r>
    <r>
      <rPr>
        <b/>
        <vertAlign val="superscript"/>
        <sz val="18"/>
        <color rgb="FF000000"/>
        <rFont val="Calibri"/>
        <family val="2"/>
      </rPr>
      <t xml:space="preserve"> </t>
    </r>
    <r>
      <rPr>
        <b/>
        <sz val="18"/>
        <color rgb="FF000000"/>
        <rFont val="Calibri"/>
        <family val="2"/>
      </rPr>
      <t xml:space="preserve">trimestre </t>
    </r>
  </si>
  <si>
    <r>
      <t>III</t>
    </r>
    <r>
      <rPr>
        <b/>
        <vertAlign val="superscript"/>
        <sz val="18"/>
        <color rgb="FF000000"/>
        <rFont val="Calibri"/>
        <family val="2"/>
      </rPr>
      <t xml:space="preserve"> </t>
    </r>
    <r>
      <rPr>
        <b/>
        <sz val="18"/>
        <color rgb="FF000000"/>
        <rFont val="Calibri"/>
        <family val="2"/>
      </rPr>
      <t xml:space="preserve">trimestre </t>
    </r>
  </si>
  <si>
    <r>
      <t>IV</t>
    </r>
    <r>
      <rPr>
        <b/>
        <vertAlign val="superscript"/>
        <sz val="18"/>
        <color rgb="FF000000"/>
        <rFont val="Calibri"/>
        <family val="2"/>
      </rPr>
      <t xml:space="preserve"> </t>
    </r>
    <r>
      <rPr>
        <b/>
        <sz val="18"/>
        <color rgb="FF000000"/>
        <rFont val="Calibri"/>
        <family val="2"/>
      </rPr>
      <t xml:space="preserve">trimestre </t>
    </r>
  </si>
  <si>
    <r>
      <t xml:space="preserve">ROE </t>
    </r>
    <r>
      <rPr>
        <sz val="14"/>
        <color theme="1"/>
        <rFont val="Calibri"/>
        <family val="2"/>
        <scheme val="minor"/>
      </rPr>
      <t>=</t>
    </r>
  </si>
  <si>
    <r>
      <t>ROE</t>
    </r>
    <r>
      <rPr>
        <sz val="14"/>
        <color theme="1"/>
        <rFont val="Calibri"/>
        <family val="2"/>
        <scheme val="minor"/>
      </rPr>
      <t xml:space="preserve"> =</t>
    </r>
  </si>
  <si>
    <t xml:space="preserve">Utile = </t>
  </si>
  <si>
    <t>COSTO ANNUO NETTO</t>
  </si>
  <si>
    <t>COSTO ANNUO LORDO</t>
  </si>
  <si>
    <t>COSTO MENSILE</t>
  </si>
  <si>
    <t>1 iMac*</t>
  </si>
  <si>
    <t>1 Server Netgear serie 300, 6 dischi da 2TB*</t>
  </si>
  <si>
    <t>RT</t>
  </si>
  <si>
    <t>Quantità complessiva</t>
  </si>
  <si>
    <t>Quantità</t>
  </si>
  <si>
    <t>Totale Ricavi</t>
  </si>
  <si>
    <t>CF</t>
  </si>
  <si>
    <t>CV Tot</t>
  </si>
  <si>
    <t>CV+CF</t>
  </si>
  <si>
    <t>Per calcolare il BEP è sufficiente dividere i COSTI FISSI per il PREZZO – COSTO VARIABILE.</t>
  </si>
  <si>
    <t>Costi Fissi</t>
  </si>
  <si>
    <t>1°anno</t>
  </si>
  <si>
    <t>2°anno</t>
  </si>
  <si>
    <t>3°anno</t>
  </si>
  <si>
    <t>1/20 dell'utile</t>
  </si>
  <si>
    <t>stipendio/13,5</t>
  </si>
  <si>
    <t>€ per</t>
  </si>
  <si>
    <t>utenti (ossia la partecipazione di rinnovo degli utenti per il secondo anno consecutivo)</t>
  </si>
  <si>
    <t>RICAVI RINNOVO VENDITE =</t>
  </si>
  <si>
    <r>
      <rPr>
        <b/>
        <sz val="11"/>
        <color theme="1"/>
        <rFont val="Calibri"/>
        <family val="2"/>
        <scheme val="minor"/>
      </rPr>
      <t>RICAVI NUOVE VENDITE</t>
    </r>
    <r>
      <rPr>
        <sz val="11"/>
        <color theme="1"/>
        <rFont val="Calibri"/>
        <family val="2"/>
        <scheme val="minor"/>
      </rPr>
      <t xml:space="preserve"> = </t>
    </r>
  </si>
  <si>
    <t xml:space="preserve"> +</t>
  </si>
  <si>
    <t>utenti (ossia la partecipazione di rinnovo degli utenti che hanno acquistato l'app da un anno)</t>
  </si>
  <si>
    <r>
      <rPr>
        <b/>
        <sz val="11"/>
        <color theme="1"/>
        <rFont val="Calibri"/>
        <family val="2"/>
        <scheme val="minor"/>
      </rPr>
      <t>RICAVI VENDITE</t>
    </r>
    <r>
      <rPr>
        <sz val="11"/>
        <color theme="1"/>
        <rFont val="Calibri"/>
        <family val="2"/>
        <scheme val="minor"/>
      </rPr>
      <t xml:space="preserve"> = </t>
    </r>
  </si>
  <si>
    <t xml:space="preserve">€ per </t>
  </si>
  <si>
    <t>utenti, ossia la partecipazione di rinnovo di tutti gli utenti del primo anno</t>
  </si>
  <si>
    <r>
      <rPr>
        <b/>
        <sz val="11"/>
        <color theme="1"/>
        <rFont val="Calibri"/>
        <family val="2"/>
        <scheme val="minor"/>
      </rPr>
      <t>RICAVI NUOVE VENDITE</t>
    </r>
    <r>
      <rPr>
        <sz val="11"/>
        <color theme="1"/>
        <rFont val="Calibri"/>
        <family val="2"/>
        <scheme val="minor"/>
      </rPr>
      <t xml:space="preserve"> =  </t>
    </r>
  </si>
  <si>
    <r>
      <rPr>
        <b/>
        <sz val="9"/>
        <color theme="1"/>
        <rFont val="Calibri (Corpo)"/>
      </rPr>
      <t>RICAVI RINNOVO VENDITE</t>
    </r>
    <r>
      <rPr>
        <sz val="9"/>
        <color theme="1"/>
        <rFont val="Calibri (Corpo)"/>
      </rPr>
      <t xml:space="preserve"> =  </t>
    </r>
  </si>
  <si>
    <t xml:space="preserve"> =</t>
  </si>
  <si>
    <t>Commercialista</t>
  </si>
  <si>
    <t>Stipendi (netto)</t>
  </si>
  <si>
    <t>INAIL</t>
  </si>
  <si>
    <t>Contributi INPS (10% per i primi 2 anni)</t>
  </si>
  <si>
    <t>VOCI Spese Amministrative</t>
  </si>
  <si>
    <t>Iva incassata</t>
  </si>
  <si>
    <t>Iva da pagare 1° anno</t>
  </si>
  <si>
    <t>Iva da pagare 2°anno</t>
  </si>
  <si>
    <t>Iva da pagare 3°anno</t>
  </si>
  <si>
    <t>Iva icassata</t>
  </si>
  <si>
    <t>0,23   x</t>
  </si>
  <si>
    <t>0,15   x</t>
  </si>
  <si>
    <t>RICAVI RINNOVO VENDITE</t>
  </si>
  <si>
    <t>Anno</t>
  </si>
  <si>
    <t>Costo iva</t>
  </si>
  <si>
    <t>Costo</t>
  </si>
  <si>
    <t>Costo Variabile totale</t>
  </si>
  <si>
    <t>utenti, ossia la nostra fetta di mercato di circa lo 0,14%  di 37800000 (persone che possiedono uno smartphone in Italia, usano app di messagistica, sono disposti a pagare per un'app di messaggistica e sono pronti per usare una nuova app di questo tipo)</t>
  </si>
  <si>
    <t xml:space="preserve"> utenti, ossia un incremento della  fetta di mercato da circa 2,85 % a circa 11,5%</t>
  </si>
  <si>
    <t xml:space="preserve">utenti, ossia fetta di mercato di nuovi clienti diminuita da circa 115 % a circa 9,63%  </t>
  </si>
  <si>
    <t xml:space="preserve">Fetta di mercato complessiva raggiunta di tutti i clienti al terzo anno e di circa 339448,5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</si>
</sst>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410]_-;\-* #,##0.00\ [$€-410]_-;_-* &quot;-&quot;??\ [$€-410]_-;_-@_-"/>
    <numFmt numFmtId="165" formatCode="#,#00.00"/>
  </numFmts>
  <fonts count="5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 (Corpo)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Ovi"/>
    </font>
    <font>
      <sz val="18"/>
      <color rgb="FF000000"/>
      <name val="Calibri"/>
      <family val="2"/>
    </font>
    <font>
      <sz val="16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b/>
      <vertAlign val="superscript"/>
      <sz val="16"/>
      <color rgb="FFFFFFFF"/>
      <name val="Calibri"/>
      <family val="2"/>
    </font>
    <font>
      <b/>
      <sz val="20"/>
      <color rgb="FF000000"/>
      <name val="Calibri"/>
      <family val="2"/>
    </font>
    <font>
      <i/>
      <sz val="18"/>
      <color rgb="FF000000"/>
      <name val="Calibri"/>
      <family val="2"/>
    </font>
    <font>
      <b/>
      <i/>
      <sz val="18"/>
      <color rgb="FF000000"/>
      <name val="Calibri"/>
      <family val="2"/>
    </font>
    <font>
      <i/>
      <sz val="16"/>
      <color rgb="FF000000"/>
      <name val="Calibri"/>
      <family val="2"/>
    </font>
    <font>
      <b/>
      <i/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i/>
      <sz val="20"/>
      <color rgb="FF000000"/>
      <name val="Calibri"/>
      <family val="2"/>
    </font>
    <font>
      <b/>
      <sz val="18"/>
      <color rgb="FFFFFFFF"/>
      <name val="Calibri"/>
      <family val="2"/>
    </font>
    <font>
      <b/>
      <vertAlign val="superscript"/>
      <sz val="18"/>
      <color rgb="FFFFFFFF"/>
      <name val="Calibri"/>
      <family val="2"/>
    </font>
    <font>
      <b/>
      <vertAlign val="superscript"/>
      <sz val="18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 (Corpo)"/>
    </font>
    <font>
      <b/>
      <sz val="14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4"/>
      <color rgb="FFFF0000"/>
      <name val="Calibri"/>
      <family val="2"/>
    </font>
    <font>
      <b/>
      <sz val="14"/>
      <color theme="1"/>
      <name val="Calibri"/>
      <family val="1"/>
      <scheme val="minor"/>
    </font>
    <font>
      <sz val="14"/>
      <color rgb="FF444444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 (Corpo)"/>
    </font>
    <font>
      <sz val="9"/>
      <color theme="1"/>
      <name val="Calibri (Corpo)"/>
    </font>
    <font>
      <b/>
      <sz val="10"/>
      <color theme="1"/>
      <name val="Calibri"/>
      <family val="2"/>
      <scheme val="minor"/>
    </font>
    <font>
      <b/>
      <sz val="12"/>
      <color theme="0"/>
      <name val="Calibri (Corpo)"/>
    </font>
    <font>
      <b/>
      <sz val="11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BBB5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DEAF0"/>
        <bgColor indexed="64"/>
      </patternFill>
    </fill>
    <fill>
      <patternFill patternType="solid">
        <fgColor rgb="FFD8D3E0"/>
        <bgColor indexed="64"/>
      </patternFill>
    </fill>
    <fill>
      <patternFill patternType="solid">
        <fgColor rgb="FFFBE4D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theme="4" tint="0.59999389629810485"/>
      </patternFill>
    </fill>
    <fill>
      <patternFill patternType="solid">
        <fgColor theme="8" tint="0.59999389629810485"/>
        <bgColor theme="4" tint="0.5999938962981048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FF7465"/>
        <bgColor indexed="64"/>
      </patternFill>
    </fill>
    <fill>
      <patternFill patternType="solid">
        <fgColor rgb="FFFFAFA7"/>
        <bgColor indexed="64"/>
      </patternFill>
    </fill>
    <fill>
      <patternFill patternType="solid">
        <fgColor rgb="FF58D673"/>
        <bgColor indexed="64"/>
      </patternFill>
    </fill>
    <fill>
      <patternFill patternType="solid">
        <fgColor rgb="FF3BC430"/>
        <bgColor indexed="64"/>
      </patternFill>
    </fill>
    <fill>
      <patternFill patternType="solid">
        <fgColor rgb="FFB19DC7"/>
        <bgColor indexed="64"/>
      </patternFill>
    </fill>
    <fill>
      <patternFill patternType="solid">
        <fgColor rgb="FFF8C1A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98B954"/>
      </left>
      <right/>
      <top style="thin">
        <color rgb="FF98B954"/>
      </top>
      <bottom style="thick">
        <color rgb="FFFFFFFF"/>
      </bottom>
      <diagonal/>
    </border>
    <border>
      <left/>
      <right/>
      <top style="thin">
        <color rgb="FF98B954"/>
      </top>
      <bottom style="thick">
        <color rgb="FFFFFFFF"/>
      </bottom>
      <diagonal/>
    </border>
    <border>
      <left/>
      <right style="thin">
        <color rgb="FF98B954"/>
      </right>
      <top style="thin">
        <color rgb="FF98B954"/>
      </top>
      <bottom style="thick">
        <color rgb="FFFFFFFF"/>
      </bottom>
      <diagonal/>
    </border>
    <border>
      <left style="thin">
        <color rgb="FF98B954"/>
      </left>
      <right style="thin">
        <color rgb="FF98B954"/>
      </right>
      <top style="thick">
        <color rgb="FFFFFFFF"/>
      </top>
      <bottom style="thin">
        <color rgb="FF98B954"/>
      </bottom>
      <diagonal/>
    </border>
    <border>
      <left style="thin">
        <color rgb="FF98B954"/>
      </left>
      <right/>
      <top style="thin">
        <color rgb="FF98B954"/>
      </top>
      <bottom style="thin">
        <color rgb="FF98B954"/>
      </bottom>
      <diagonal/>
    </border>
    <border>
      <left/>
      <right/>
      <top style="thin">
        <color rgb="FF98B954"/>
      </top>
      <bottom style="thin">
        <color rgb="FF98B954"/>
      </bottom>
      <diagonal/>
    </border>
    <border>
      <left/>
      <right style="thin">
        <color rgb="FF98B954"/>
      </right>
      <top style="thin">
        <color rgb="FF98B954"/>
      </top>
      <bottom style="thin">
        <color rgb="FF98B954"/>
      </bottom>
      <diagonal/>
    </border>
    <border>
      <left style="thin">
        <color rgb="FF98B954"/>
      </left>
      <right style="thin">
        <color rgb="FF98B954"/>
      </right>
      <top style="thin">
        <color rgb="FF98B954"/>
      </top>
      <bottom style="thin">
        <color rgb="FF98B954"/>
      </bottom>
      <diagonal/>
    </border>
    <border>
      <left style="thin">
        <color rgb="FF98B954"/>
      </left>
      <right/>
      <top style="thick">
        <color rgb="FFFFFFFF"/>
      </top>
      <bottom style="thin">
        <color rgb="FF98B954"/>
      </bottom>
      <diagonal/>
    </border>
    <border>
      <left/>
      <right/>
      <top style="thick">
        <color rgb="FFFFFFFF"/>
      </top>
      <bottom style="thin">
        <color rgb="FF98B954"/>
      </bottom>
      <diagonal/>
    </border>
    <border>
      <left/>
      <right style="thin">
        <color rgb="FF98B954"/>
      </right>
      <top style="thick">
        <color rgb="FFFFFFFF"/>
      </top>
      <bottom style="thin">
        <color rgb="FF98B954"/>
      </bottom>
      <diagonal/>
    </border>
    <border>
      <left style="medium">
        <color rgb="FF9BBB59"/>
      </left>
      <right style="medium">
        <color rgb="FF9BBB59"/>
      </right>
      <top style="medium">
        <color rgb="FF9BBB59"/>
      </top>
      <bottom style="medium">
        <color rgb="FF9BBB59"/>
      </bottom>
      <diagonal/>
    </border>
    <border>
      <left style="medium">
        <color rgb="FF9BBB59"/>
      </left>
      <right/>
      <top style="medium">
        <color rgb="FF9BBB59"/>
      </top>
      <bottom style="medium">
        <color rgb="FF9BBB59"/>
      </bottom>
      <diagonal/>
    </border>
    <border>
      <left/>
      <right/>
      <top style="medium">
        <color rgb="FF9BBB59"/>
      </top>
      <bottom style="medium">
        <color rgb="FF9BBB59"/>
      </bottom>
      <diagonal/>
    </border>
    <border>
      <left/>
      <right style="medium">
        <color rgb="FF9BBB59"/>
      </right>
      <top style="medium">
        <color rgb="FF9BBB59"/>
      </top>
      <bottom style="medium">
        <color rgb="FF9BBB59"/>
      </bottom>
      <diagonal/>
    </border>
    <border>
      <left/>
      <right/>
      <top/>
      <bottom style="thick">
        <color rgb="FFFFFFFF"/>
      </bottom>
      <diagonal/>
    </border>
    <border>
      <left/>
      <right style="thin">
        <color rgb="FF98B954"/>
      </right>
      <top style="thin">
        <color rgb="FF98B954"/>
      </top>
      <bottom/>
      <diagonal/>
    </border>
    <border>
      <left style="thin">
        <color rgb="FF98B954"/>
      </left>
      <right style="thin">
        <color rgb="FF98B954"/>
      </right>
      <top style="thin">
        <color rgb="FF98B954"/>
      </top>
      <bottom/>
      <diagonal/>
    </border>
    <border>
      <left style="thin">
        <color rgb="FF98B954"/>
      </left>
      <right/>
      <top style="thin">
        <color rgb="FF98B954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FF0000"/>
      </top>
      <bottom style="thick">
        <color rgb="FF000000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98B954"/>
      </left>
      <right/>
      <top/>
      <bottom style="thin">
        <color rgb="FF98B954"/>
      </bottom>
      <diagonal/>
    </border>
    <border>
      <left/>
      <right/>
      <top/>
      <bottom style="thin">
        <color rgb="FF98B954"/>
      </bottom>
      <diagonal/>
    </border>
    <border>
      <left/>
      <right style="thin">
        <color rgb="FF98B954"/>
      </right>
      <top/>
      <bottom style="thin">
        <color rgb="FF98B954"/>
      </bottom>
      <diagonal/>
    </border>
    <border>
      <left style="thin">
        <color theme="5" tint="0.3999755851924192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DashDotDot">
        <color auto="1"/>
      </left>
      <right style="mediumDashDotDot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DashDot">
        <color auto="1"/>
      </left>
      <right style="mediumDashDot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rgb="FF9BBB59"/>
      </left>
      <right/>
      <top/>
      <bottom/>
      <diagonal/>
    </border>
    <border>
      <left/>
      <right style="thin">
        <color rgb="FF98B954"/>
      </right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4" fontId="0" fillId="0" borderId="0" xfId="0" applyNumberFormat="1"/>
    <xf numFmtId="0" fontId="6" fillId="0" borderId="0" xfId="0" applyFont="1"/>
    <xf numFmtId="3" fontId="7" fillId="0" borderId="0" xfId="0" applyNumberFormat="1" applyFont="1"/>
    <xf numFmtId="0" fontId="8" fillId="0" borderId="0" xfId="0" applyFont="1" applyAlignment="1">
      <alignment horizontal="right"/>
    </xf>
    <xf numFmtId="3" fontId="7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6" borderId="20" xfId="0" applyFont="1" applyFill="1" applyBorder="1" applyAlignment="1">
      <alignment horizontal="left" vertical="center" wrapText="1" indent="1" readingOrder="1"/>
    </xf>
    <xf numFmtId="0" fontId="21" fillId="6" borderId="20" xfId="0" applyFont="1" applyFill="1" applyBorder="1" applyAlignment="1">
      <alignment horizontal="left" vertical="center" wrapText="1" indent="1" readingOrder="1"/>
    </xf>
    <xf numFmtId="0" fontId="12" fillId="6" borderId="20" xfId="0" applyFont="1" applyFill="1" applyBorder="1" applyAlignment="1">
      <alignment horizontal="right" vertical="center" wrapText="1" indent="1"/>
    </xf>
    <xf numFmtId="0" fontId="12" fillId="6" borderId="20" xfId="0" applyFont="1" applyFill="1" applyBorder="1" applyAlignment="1">
      <alignment horizontal="center" vertical="center" wrapText="1"/>
    </xf>
    <xf numFmtId="0" fontId="22" fillId="6" borderId="20" xfId="0" applyFont="1" applyFill="1" applyBorder="1" applyAlignment="1">
      <alignment horizontal="left" vertical="center" wrapText="1" indent="1" readingOrder="1"/>
    </xf>
    <xf numFmtId="2" fontId="0" fillId="0" borderId="0" xfId="0" applyNumberFormat="1" applyAlignment="1">
      <alignment horizontal="center"/>
    </xf>
    <xf numFmtId="2" fontId="24" fillId="0" borderId="0" xfId="0" applyNumberFormat="1" applyFont="1" applyAlignment="1">
      <alignment horizontal="center"/>
    </xf>
    <xf numFmtId="0" fontId="27" fillId="0" borderId="0" xfId="0" applyFont="1"/>
    <xf numFmtId="0" fontId="5" fillId="0" borderId="0" xfId="0" applyFont="1"/>
    <xf numFmtId="0" fontId="14" fillId="0" borderId="28" xfId="0" applyFont="1" applyBorder="1" applyAlignment="1">
      <alignment horizontal="center" vertical="center" wrapText="1" readingOrder="1"/>
    </xf>
    <xf numFmtId="0" fontId="11" fillId="0" borderId="29" xfId="0" applyFont="1" applyBorder="1" applyAlignment="1">
      <alignment horizontal="left" vertical="center" wrapText="1" readingOrder="1"/>
    </xf>
    <xf numFmtId="0" fontId="11" fillId="0" borderId="29" xfId="0" applyFont="1" applyBorder="1" applyAlignment="1">
      <alignment horizontal="center" vertical="center" wrapText="1" readingOrder="1"/>
    </xf>
    <xf numFmtId="0" fontId="11" fillId="0" borderId="0" xfId="0" applyFont="1" applyAlignment="1">
      <alignment horizontal="left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4" fillId="0" borderId="30" xfId="0" applyFont="1" applyBorder="1" applyAlignment="1">
      <alignment horizontal="center" vertical="center" wrapText="1" readingOrder="1"/>
    </xf>
    <xf numFmtId="4" fontId="11" fillId="0" borderId="30" xfId="0" applyNumberFormat="1" applyFont="1" applyBorder="1" applyAlignment="1">
      <alignment horizontal="center" vertical="center" wrapText="1" readingOrder="1"/>
    </xf>
    <xf numFmtId="0" fontId="9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29" fillId="0" borderId="0" xfId="0" applyFont="1"/>
    <xf numFmtId="0" fontId="29" fillId="0" borderId="0" xfId="0" applyFont="1" applyAlignment="1">
      <alignment horizontal="left"/>
    </xf>
    <xf numFmtId="0" fontId="9" fillId="11" borderId="0" xfId="0" applyFont="1" applyFill="1"/>
    <xf numFmtId="0" fontId="9" fillId="13" borderId="0" xfId="0" applyFont="1" applyFill="1"/>
    <xf numFmtId="0" fontId="3" fillId="13" borderId="0" xfId="0" applyFont="1" applyFill="1"/>
    <xf numFmtId="4" fontId="3" fillId="13" borderId="0" xfId="0" applyNumberFormat="1" applyFont="1" applyFill="1" applyAlignment="1">
      <alignment horizontal="right"/>
    </xf>
    <xf numFmtId="0" fontId="3" fillId="13" borderId="0" xfId="0" applyFont="1" applyFill="1" applyAlignment="1">
      <alignment horizontal="right"/>
    </xf>
    <xf numFmtId="0" fontId="3" fillId="10" borderId="0" xfId="0" applyFont="1" applyFill="1"/>
    <xf numFmtId="0" fontId="3" fillId="15" borderId="0" xfId="0" applyFont="1" applyFill="1"/>
    <xf numFmtId="4" fontId="3" fillId="15" borderId="0" xfId="0" applyNumberFormat="1" applyFont="1" applyFill="1" applyAlignment="1">
      <alignment horizontal="right"/>
    </xf>
    <xf numFmtId="0" fontId="3" fillId="15" borderId="0" xfId="0" applyFont="1" applyFill="1" applyAlignment="1">
      <alignment horizontal="right"/>
    </xf>
    <xf numFmtId="0" fontId="9" fillId="15" borderId="0" xfId="0" applyFont="1" applyFill="1"/>
    <xf numFmtId="4" fontId="9" fillId="2" borderId="0" xfId="0" applyNumberFormat="1" applyFont="1" applyFill="1" applyAlignment="1">
      <alignment horizontal="right"/>
    </xf>
    <xf numFmtId="0" fontId="9" fillId="12" borderId="0" xfId="0" applyFont="1" applyFill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9" borderId="0" xfId="0" applyFont="1" applyFill="1"/>
    <xf numFmtId="0" fontId="3" fillId="19" borderId="0" xfId="0" applyFont="1" applyFill="1"/>
    <xf numFmtId="4" fontId="3" fillId="19" borderId="0" xfId="0" applyNumberFormat="1" applyFont="1" applyFill="1" applyAlignment="1">
      <alignment horizontal="right"/>
    </xf>
    <xf numFmtId="0" fontId="3" fillId="19" borderId="0" xfId="0" applyFont="1" applyFill="1" applyAlignment="1">
      <alignment horizontal="right"/>
    </xf>
    <xf numFmtId="0" fontId="3" fillId="20" borderId="0" xfId="0" applyFont="1" applyFill="1"/>
    <xf numFmtId="4" fontId="3" fillId="20" borderId="0" xfId="0" applyNumberFormat="1" applyFont="1" applyFill="1" applyAlignment="1">
      <alignment horizontal="right"/>
    </xf>
    <xf numFmtId="165" fontId="3" fillId="20" borderId="0" xfId="0" applyNumberFormat="1" applyFont="1" applyFill="1" applyAlignment="1">
      <alignment horizontal="right"/>
    </xf>
    <xf numFmtId="0" fontId="3" fillId="20" borderId="0" xfId="0" applyFont="1" applyFill="1" applyAlignment="1">
      <alignment horizontal="right"/>
    </xf>
    <xf numFmtId="0" fontId="9" fillId="20" borderId="0" xfId="0" applyFont="1" applyFill="1"/>
    <xf numFmtId="4" fontId="9" fillId="11" borderId="0" xfId="0" applyNumberFormat="1" applyFont="1" applyFill="1" applyAlignment="1">
      <alignment horizontal="right"/>
    </xf>
    <xf numFmtId="4" fontId="31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4" fontId="0" fillId="0" borderId="0" xfId="0" applyNumberFormat="1" applyAlignment="1"/>
    <xf numFmtId="0" fontId="12" fillId="6" borderId="19" xfId="0" applyFont="1" applyFill="1" applyBorder="1" applyAlignment="1">
      <alignment horizontal="left" vertical="center" wrapText="1" readingOrder="1"/>
    </xf>
    <xf numFmtId="4" fontId="12" fillId="6" borderId="12" xfId="0" applyNumberFormat="1" applyFont="1" applyFill="1" applyBorder="1" applyAlignment="1">
      <alignment horizontal="right" vertical="center" wrapText="1" readingOrder="1"/>
    </xf>
    <xf numFmtId="0" fontId="12" fillId="6" borderId="15" xfId="0" applyFont="1" applyFill="1" applyBorder="1" applyAlignment="1">
      <alignment horizontal="left" vertical="center" wrapText="1" readingOrder="1"/>
    </xf>
    <xf numFmtId="4" fontId="12" fillId="6" borderId="16" xfId="0" applyNumberFormat="1" applyFont="1" applyFill="1" applyBorder="1" applyAlignment="1">
      <alignment horizontal="right" vertical="center" wrapText="1" readingOrder="1"/>
    </xf>
    <xf numFmtId="0" fontId="12" fillId="6" borderId="16" xfId="0" applyFont="1" applyFill="1" applyBorder="1" applyAlignment="1">
      <alignment horizontal="right" vertical="center" wrapText="1" readingOrder="1"/>
    </xf>
    <xf numFmtId="4" fontId="12" fillId="6" borderId="26" xfId="0" applyNumberFormat="1" applyFont="1" applyFill="1" applyBorder="1" applyAlignment="1">
      <alignment horizontal="right" vertical="center" wrapText="1" readingOrder="1"/>
    </xf>
    <xf numFmtId="4" fontId="15" fillId="6" borderId="17" xfId="0" applyNumberFormat="1" applyFont="1" applyFill="1" applyBorder="1" applyAlignment="1">
      <alignment horizontal="right" vertical="center" wrapText="1" readingOrder="1"/>
    </xf>
    <xf numFmtId="4" fontId="15" fillId="6" borderId="13" xfId="0" applyNumberFormat="1" applyFont="1" applyFill="1" applyBorder="1" applyAlignment="1">
      <alignment horizontal="right" vertical="center" wrapText="1" readingOrder="1"/>
    </xf>
    <xf numFmtId="0" fontId="15" fillId="6" borderId="13" xfId="0" applyFont="1" applyFill="1" applyBorder="1" applyAlignment="1">
      <alignment horizontal="right" vertical="center" wrapText="1" readingOrder="1"/>
    </xf>
    <xf numFmtId="4" fontId="15" fillId="6" borderId="27" xfId="0" applyNumberFormat="1" applyFont="1" applyFill="1" applyBorder="1" applyAlignment="1">
      <alignment horizontal="right" vertical="center" wrapText="1" readingOrder="1"/>
    </xf>
    <xf numFmtId="4" fontId="12" fillId="6" borderId="16" xfId="0" applyNumberFormat="1" applyFont="1" applyFill="1" applyBorder="1" applyAlignment="1">
      <alignment horizontal="left" vertical="center" wrapText="1" readingOrder="1"/>
    </xf>
    <xf numFmtId="4" fontId="22" fillId="6" borderId="16" xfId="0" applyNumberFormat="1" applyFont="1" applyFill="1" applyBorder="1" applyAlignment="1">
      <alignment horizontal="right" vertical="center" wrapText="1" readingOrder="1"/>
    </xf>
    <xf numFmtId="0" fontId="15" fillId="6" borderId="16" xfId="0" applyFont="1" applyFill="1" applyBorder="1" applyAlignment="1">
      <alignment horizontal="center" vertical="center" wrapText="1" readingOrder="1"/>
    </xf>
    <xf numFmtId="4" fontId="15" fillId="6" borderId="16" xfId="0" applyNumberFormat="1" applyFont="1" applyFill="1" applyBorder="1" applyAlignment="1">
      <alignment horizontal="right" vertical="center" wrapText="1" readingOrder="1"/>
    </xf>
    <xf numFmtId="0" fontId="15" fillId="6" borderId="25" xfId="0" applyFont="1" applyFill="1" applyBorder="1" applyAlignment="1">
      <alignment horizontal="left" vertical="center" wrapText="1" readingOrder="1"/>
    </xf>
    <xf numFmtId="4" fontId="18" fillId="11" borderId="16" xfId="0" applyNumberFormat="1" applyFont="1" applyFill="1" applyBorder="1" applyAlignment="1">
      <alignment horizontal="left" vertical="center" wrapText="1" readingOrder="1"/>
    </xf>
    <xf numFmtId="4" fontId="13" fillId="11" borderId="16" xfId="0" applyNumberFormat="1" applyFont="1" applyFill="1" applyBorder="1" applyAlignment="1">
      <alignment horizontal="right" vertical="center" wrapText="1" readingOrder="1"/>
    </xf>
    <xf numFmtId="4" fontId="35" fillId="11" borderId="16" xfId="0" applyNumberFormat="1" applyFont="1" applyFill="1" applyBorder="1" applyAlignment="1">
      <alignment horizontal="right" vertical="center" wrapText="1" readingOrder="1"/>
    </xf>
    <xf numFmtId="4" fontId="12" fillId="6" borderId="20" xfId="0" applyNumberFormat="1" applyFont="1" applyFill="1" applyBorder="1" applyAlignment="1">
      <alignment horizontal="right" vertical="center" wrapText="1" readingOrder="1"/>
    </xf>
    <xf numFmtId="4" fontId="15" fillId="6" borderId="20" xfId="0" applyNumberFormat="1" applyFont="1" applyFill="1" applyBorder="1" applyAlignment="1">
      <alignment horizontal="right" vertical="center" wrapText="1" readingOrder="1"/>
    </xf>
    <xf numFmtId="0" fontId="36" fillId="5" borderId="9" xfId="0" applyFont="1" applyFill="1" applyBorder="1" applyAlignment="1">
      <alignment horizontal="center" vertical="center" wrapText="1"/>
    </xf>
    <xf numFmtId="0" fontId="36" fillId="5" borderId="10" xfId="0" applyFont="1" applyFill="1" applyBorder="1" applyAlignment="1">
      <alignment horizontal="center" vertical="center" wrapText="1" readingOrder="1"/>
    </xf>
    <xf numFmtId="0" fontId="36" fillId="5" borderId="11" xfId="0" applyFont="1" applyFill="1" applyBorder="1" applyAlignment="1">
      <alignment horizontal="center" vertical="center" wrapText="1" readingOrder="1"/>
    </xf>
    <xf numFmtId="0" fontId="36" fillId="4" borderId="24" xfId="0" applyFont="1" applyFill="1" applyBorder="1" applyAlignment="1">
      <alignment horizontal="center" vertical="center" wrapText="1"/>
    </xf>
    <xf numFmtId="0" fontId="36" fillId="4" borderId="24" xfId="0" applyFont="1" applyFill="1" applyBorder="1" applyAlignment="1">
      <alignment horizontal="center" vertical="center" wrapText="1" readingOrder="1"/>
    </xf>
    <xf numFmtId="0" fontId="14" fillId="10" borderId="20" xfId="0" applyFont="1" applyFill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 vertical="center" wrapText="1" readingOrder="1"/>
    </xf>
    <xf numFmtId="0" fontId="12" fillId="6" borderId="16" xfId="0" applyFont="1" applyFill="1" applyBorder="1" applyAlignment="1">
      <alignment horizontal="left" vertical="center" wrapText="1" readingOrder="1"/>
    </xf>
    <xf numFmtId="4" fontId="15" fillId="6" borderId="16" xfId="0" applyNumberFormat="1" applyFont="1" applyFill="1" applyBorder="1" applyAlignment="1">
      <alignment horizontal="center" vertical="center" wrapText="1" readingOrder="1"/>
    </xf>
    <xf numFmtId="4" fontId="8" fillId="2" borderId="0" xfId="0" applyNumberFormat="1" applyFont="1" applyFill="1" applyAlignment="1">
      <alignment horizontal="right" vertical="center"/>
    </xf>
    <xf numFmtId="0" fontId="18" fillId="11" borderId="20" xfId="0" applyFont="1" applyFill="1" applyBorder="1" applyAlignment="1">
      <alignment horizontal="left" vertical="center" wrapText="1" indent="1" readingOrder="1"/>
    </xf>
    <xf numFmtId="4" fontId="15" fillId="11" borderId="20" xfId="0" applyNumberFormat="1" applyFont="1" applyFill="1" applyBorder="1" applyAlignment="1">
      <alignment horizontal="right" vertical="center" wrapText="1" readingOrder="1"/>
    </xf>
    <xf numFmtId="4" fontId="15" fillId="11" borderId="16" xfId="0" applyNumberFormat="1" applyFont="1" applyFill="1" applyBorder="1" applyAlignment="1">
      <alignment horizontal="right" vertical="center" wrapText="1" readingOrder="1"/>
    </xf>
    <xf numFmtId="0" fontId="39" fillId="0" borderId="0" xfId="0" applyFont="1"/>
    <xf numFmtId="2" fontId="3" fillId="0" borderId="0" xfId="0" applyNumberFormat="1" applyFont="1"/>
    <xf numFmtId="0" fontId="40" fillId="0" borderId="0" xfId="0" applyFont="1"/>
    <xf numFmtId="0" fontId="30" fillId="0" borderId="0" xfId="0" applyFont="1"/>
    <xf numFmtId="0" fontId="29" fillId="0" borderId="8" xfId="0" applyFont="1" applyBorder="1" applyAlignment="1">
      <alignment horizontal="center"/>
    </xf>
    <xf numFmtId="3" fontId="29" fillId="0" borderId="8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4" fontId="29" fillId="0" borderId="0" xfId="0" applyNumberFormat="1" applyFont="1" applyAlignment="1">
      <alignment horizontal="center" vertical="center"/>
    </xf>
    <xf numFmtId="2" fontId="29" fillId="0" borderId="0" xfId="0" applyNumberFormat="1" applyFont="1"/>
    <xf numFmtId="0" fontId="30" fillId="0" borderId="0" xfId="0" applyFont="1" applyAlignment="1">
      <alignment horizontal="center"/>
    </xf>
    <xf numFmtId="0" fontId="41" fillId="0" borderId="0" xfId="0" applyFont="1"/>
    <xf numFmtId="0" fontId="8" fillId="22" borderId="0" xfId="0" applyFont="1" applyFill="1" applyAlignment="1">
      <alignment horizontal="center"/>
    </xf>
    <xf numFmtId="4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2" fontId="3" fillId="0" borderId="3" xfId="0" applyNumberFormat="1" applyFont="1" applyBorder="1"/>
    <xf numFmtId="0" fontId="9" fillId="2" borderId="1" xfId="0" applyFont="1" applyFill="1" applyBorder="1"/>
    <xf numFmtId="0" fontId="9" fillId="2" borderId="2" xfId="0" applyFont="1" applyFill="1" applyBorder="1"/>
    <xf numFmtId="2" fontId="9" fillId="2" borderId="3" xfId="0" applyNumberFormat="1" applyFont="1" applyFill="1" applyBorder="1"/>
    <xf numFmtId="2" fontId="3" fillId="10" borderId="0" xfId="0" applyNumberFormat="1" applyFont="1" applyFill="1"/>
    <xf numFmtId="0" fontId="3" fillId="24" borderId="0" xfId="0" applyFont="1" applyFill="1"/>
    <xf numFmtId="2" fontId="3" fillId="24" borderId="0" xfId="0" applyNumberFormat="1" applyFont="1" applyFill="1"/>
    <xf numFmtId="0" fontId="9" fillId="23" borderId="0" xfId="0" applyFont="1" applyFill="1" applyAlignment="1">
      <alignment horizontal="center"/>
    </xf>
    <xf numFmtId="2" fontId="9" fillId="23" borderId="0" xfId="0" applyNumberFormat="1" applyFont="1" applyFill="1"/>
    <xf numFmtId="0" fontId="9" fillId="25" borderId="0" xfId="0" applyFont="1" applyFill="1" applyAlignment="1">
      <alignment horizontal="center"/>
    </xf>
    <xf numFmtId="2" fontId="9" fillId="25" borderId="0" xfId="0" applyNumberFormat="1" applyFont="1" applyFill="1"/>
    <xf numFmtId="0" fontId="8" fillId="26" borderId="0" xfId="0" applyFont="1" applyFill="1" applyAlignment="1">
      <alignment horizontal="center"/>
    </xf>
    <xf numFmtId="0" fontId="42" fillId="0" borderId="0" xfId="0" applyFont="1"/>
    <xf numFmtId="0" fontId="43" fillId="3" borderId="6" xfId="0" applyFont="1" applyFill="1" applyBorder="1" applyAlignment="1">
      <alignment horizontal="center"/>
    </xf>
    <xf numFmtId="0" fontId="43" fillId="3" borderId="5" xfId="0" applyFont="1" applyFill="1" applyBorder="1" applyAlignment="1">
      <alignment horizontal="center"/>
    </xf>
    <xf numFmtId="0" fontId="43" fillId="3" borderId="4" xfId="0" applyFont="1" applyFill="1" applyBorder="1" applyAlignment="1">
      <alignment horizontal="center"/>
    </xf>
    <xf numFmtId="164" fontId="9" fillId="6" borderId="0" xfId="0" applyNumberFormat="1" applyFont="1" applyFill="1" applyAlignment="1">
      <alignment horizontal="center"/>
    </xf>
    <xf numFmtId="2" fontId="9" fillId="6" borderId="0" xfId="0" applyNumberFormat="1" applyFont="1" applyFill="1"/>
    <xf numFmtId="0" fontId="9" fillId="12" borderId="0" xfId="0" applyFont="1" applyFill="1" applyAlignment="1">
      <alignment horizontal="center"/>
    </xf>
    <xf numFmtId="2" fontId="3" fillId="0" borderId="0" xfId="0" applyNumberFormat="1" applyFont="1" applyAlignment="1">
      <alignment horizontal="right"/>
    </xf>
    <xf numFmtId="2" fontId="9" fillId="12" borderId="0" xfId="0" applyNumberFormat="1" applyFont="1" applyFill="1" applyAlignment="1">
      <alignment horizontal="right"/>
    </xf>
    <xf numFmtId="0" fontId="12" fillId="8" borderId="35" xfId="0" applyFont="1" applyFill="1" applyBorder="1" applyAlignment="1">
      <alignment horizontal="left" vertical="center" wrapText="1"/>
    </xf>
    <xf numFmtId="0" fontId="12" fillId="9" borderId="35" xfId="0" applyFont="1" applyFill="1" applyBorder="1" applyAlignment="1">
      <alignment horizontal="left" vertical="center" wrapText="1"/>
    </xf>
    <xf numFmtId="0" fontId="44" fillId="0" borderId="0" xfId="0" applyFont="1"/>
    <xf numFmtId="0" fontId="45" fillId="0" borderId="0" xfId="0" applyFont="1" applyFill="1" applyBorder="1" applyAlignment="1">
      <alignment horizontal="left" vertical="center" wrapText="1" readingOrder="1"/>
    </xf>
    <xf numFmtId="0" fontId="15" fillId="27" borderId="34" xfId="0" applyFont="1" applyFill="1" applyBorder="1" applyAlignment="1">
      <alignment horizontal="center" vertical="center" wrapText="1"/>
    </xf>
    <xf numFmtId="4" fontId="12" fillId="8" borderId="35" xfId="0" applyNumberFormat="1" applyFont="1" applyFill="1" applyBorder="1" applyAlignment="1">
      <alignment horizontal="right" vertical="center" wrapText="1"/>
    </xf>
    <xf numFmtId="0" fontId="12" fillId="8" borderId="35" xfId="0" applyFont="1" applyFill="1" applyBorder="1" applyAlignment="1">
      <alignment horizontal="right" vertical="center" wrapText="1"/>
    </xf>
    <xf numFmtId="0" fontId="12" fillId="9" borderId="35" xfId="0" applyFont="1" applyFill="1" applyBorder="1" applyAlignment="1">
      <alignment horizontal="right" vertical="center" wrapText="1"/>
    </xf>
    <xf numFmtId="4" fontId="12" fillId="9" borderId="35" xfId="0" applyNumberFormat="1" applyFont="1" applyFill="1" applyBorder="1" applyAlignment="1">
      <alignment horizontal="right" vertical="center" wrapText="1"/>
    </xf>
    <xf numFmtId="4" fontId="12" fillId="21" borderId="35" xfId="0" applyNumberFormat="1" applyFont="1" applyFill="1" applyBorder="1" applyAlignment="1">
      <alignment horizontal="center" vertical="center" wrapText="1"/>
    </xf>
    <xf numFmtId="2" fontId="12" fillId="9" borderId="35" xfId="0" applyNumberFormat="1" applyFont="1" applyFill="1" applyBorder="1" applyAlignment="1">
      <alignment horizontal="right" vertical="center" wrapText="1"/>
    </xf>
    <xf numFmtId="2" fontId="15" fillId="27" borderId="34" xfId="0" applyNumberFormat="1" applyFont="1" applyFill="1" applyBorder="1" applyAlignment="1">
      <alignment horizontal="right" vertical="center" wrapText="1"/>
    </xf>
    <xf numFmtId="0" fontId="15" fillId="27" borderId="34" xfId="0" applyFont="1" applyFill="1" applyBorder="1" applyAlignment="1">
      <alignment horizontal="right" vertical="center" wrapText="1"/>
    </xf>
    <xf numFmtId="4" fontId="11" fillId="0" borderId="29" xfId="0" applyNumberFormat="1" applyFont="1" applyBorder="1" applyAlignment="1">
      <alignment horizontal="right" vertical="center" wrapText="1" readingOrder="1"/>
    </xf>
    <xf numFmtId="4" fontId="11" fillId="0" borderId="0" xfId="0" applyNumberFormat="1" applyFont="1" applyAlignment="1">
      <alignment horizontal="right" vertical="center" wrapText="1" readingOrder="1"/>
    </xf>
    <xf numFmtId="4" fontId="11" fillId="0" borderId="0" xfId="0" applyNumberFormat="1" applyFont="1" applyBorder="1" applyAlignment="1">
      <alignment horizontal="right" vertical="center" wrapText="1" readingOrder="1"/>
    </xf>
    <xf numFmtId="4" fontId="14" fillId="0" borderId="30" xfId="0" applyNumberFormat="1" applyFont="1" applyBorder="1" applyAlignment="1">
      <alignment horizontal="right" vertical="center" wrapText="1" readingOrder="1"/>
    </xf>
    <xf numFmtId="0" fontId="3" fillId="0" borderId="0" xfId="0" applyFont="1" applyAlignment="1">
      <alignment wrapText="1"/>
    </xf>
    <xf numFmtId="0" fontId="33" fillId="0" borderId="0" xfId="0" applyFont="1"/>
    <xf numFmtId="2" fontId="29" fillId="0" borderId="0" xfId="0" applyNumberFormat="1" applyFont="1" applyAlignment="1">
      <alignment horizontal="right"/>
    </xf>
    <xf numFmtId="0" fontId="43" fillId="14" borderId="0" xfId="0" applyFont="1" applyFill="1" applyAlignment="1">
      <alignment horizontal="center"/>
    </xf>
    <xf numFmtId="0" fontId="43" fillId="14" borderId="0" xfId="0" applyFont="1" applyFill="1" applyAlignment="1">
      <alignment horizontal="left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29" borderId="6" xfId="0" applyFont="1" applyFill="1" applyBorder="1"/>
    <xf numFmtId="2" fontId="3" fillId="29" borderId="4" xfId="0" applyNumberFormat="1" applyFont="1" applyFill="1" applyBorder="1"/>
    <xf numFmtId="0" fontId="3" fillId="0" borderId="6" xfId="0" applyFont="1" applyBorder="1"/>
    <xf numFmtId="0" fontId="3" fillId="0" borderId="6" xfId="0" applyFont="1" applyBorder="1" applyAlignment="1">
      <alignment wrapText="1"/>
    </xf>
    <xf numFmtId="2" fontId="3" fillId="0" borderId="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47" fillId="0" borderId="0" xfId="0" applyFont="1"/>
    <xf numFmtId="0" fontId="0" fillId="0" borderId="0" xfId="0" applyAlignment="1">
      <alignment horizontal="right"/>
    </xf>
    <xf numFmtId="0" fontId="48" fillId="0" borderId="0" xfId="0" applyFont="1"/>
    <xf numFmtId="0" fontId="51" fillId="0" borderId="0" xfId="0" applyFont="1"/>
    <xf numFmtId="0" fontId="0" fillId="0" borderId="0" xfId="0" applyAlignment="1">
      <alignment horizontal="left" vertical="top"/>
    </xf>
    <xf numFmtId="2" fontId="12" fillId="6" borderId="16" xfId="0" applyNumberFormat="1" applyFont="1" applyFill="1" applyBorder="1" applyAlignment="1">
      <alignment horizontal="right" vertical="center" wrapText="1" readingOrder="1"/>
    </xf>
    <xf numFmtId="4" fontId="9" fillId="20" borderId="0" xfId="0" applyNumberFormat="1" applyFont="1" applyFill="1"/>
    <xf numFmtId="2" fontId="2" fillId="0" borderId="4" xfId="0" applyNumberFormat="1" applyFont="1" applyBorder="1"/>
    <xf numFmtId="2" fontId="9" fillId="6" borderId="5" xfId="0" applyNumberFormat="1" applyFont="1" applyFill="1" applyBorder="1"/>
    <xf numFmtId="2" fontId="52" fillId="6" borderId="5" xfId="0" applyNumberFormat="1" applyFont="1" applyFill="1" applyBorder="1"/>
    <xf numFmtId="0" fontId="1" fillId="29" borderId="6" xfId="0" applyFont="1" applyFill="1" applyBorder="1"/>
    <xf numFmtId="2" fontId="1" fillId="29" borderId="5" xfId="0" applyNumberFormat="1" applyFont="1" applyFill="1" applyBorder="1"/>
    <xf numFmtId="0" fontId="0" fillId="0" borderId="56" xfId="0" applyBorder="1"/>
    <xf numFmtId="0" fontId="0" fillId="0" borderId="57" xfId="0" applyBorder="1"/>
    <xf numFmtId="0" fontId="0" fillId="0" borderId="57" xfId="0" applyBorder="1" applyAlignment="1">
      <alignment horizontal="center"/>
    </xf>
    <xf numFmtId="0" fontId="0" fillId="0" borderId="58" xfId="0" applyBorder="1"/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/>
    <xf numFmtId="0" fontId="0" fillId="0" borderId="60" xfId="0" applyBorder="1" applyAlignment="1">
      <alignment horizontal="right"/>
    </xf>
    <xf numFmtId="4" fontId="0" fillId="0" borderId="60" xfId="0" applyNumberFormat="1" applyBorder="1" applyAlignment="1">
      <alignment horizontal="center"/>
    </xf>
    <xf numFmtId="0" fontId="4" fillId="0" borderId="0" xfId="0" applyFont="1"/>
    <xf numFmtId="0" fontId="30" fillId="2" borderId="0" xfId="0" applyFont="1" applyFill="1" applyAlignment="1">
      <alignment horizontal="center"/>
    </xf>
    <xf numFmtId="0" fontId="30" fillId="2" borderId="0" xfId="0" applyFont="1" applyFill="1"/>
    <xf numFmtId="0" fontId="46" fillId="2" borderId="40" xfId="0" applyFont="1" applyFill="1" applyBorder="1" applyAlignment="1">
      <alignment horizontal="center"/>
    </xf>
    <xf numFmtId="0" fontId="46" fillId="2" borderId="41" xfId="0" applyFont="1" applyFill="1" applyBorder="1" applyAlignment="1">
      <alignment horizontal="center"/>
    </xf>
    <xf numFmtId="0" fontId="53" fillId="0" borderId="0" xfId="0" applyFont="1"/>
    <xf numFmtId="4" fontId="7" fillId="0" borderId="0" xfId="0" applyNumberFormat="1" applyFont="1" applyAlignment="1">
      <alignment horizontal="right"/>
    </xf>
    <xf numFmtId="4" fontId="28" fillId="0" borderId="0" xfId="0" applyNumberFormat="1" applyFont="1"/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42" xfId="0" applyNumberFormat="1" applyFont="1" applyBorder="1" applyAlignment="1">
      <alignment horizontal="right"/>
    </xf>
    <xf numFmtId="2" fontId="1" fillId="0" borderId="43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44" xfId="0" applyNumberFormat="1" applyFont="1" applyBorder="1" applyAlignment="1">
      <alignment horizontal="right"/>
    </xf>
    <xf numFmtId="2" fontId="1" fillId="0" borderId="45" xfId="0" applyNumberFormat="1" applyFont="1" applyBorder="1" applyAlignment="1">
      <alignment horizontal="right"/>
    </xf>
    <xf numFmtId="2" fontId="1" fillId="0" borderId="46" xfId="0" applyNumberFormat="1" applyFont="1" applyBorder="1" applyAlignment="1">
      <alignment horizontal="right"/>
    </xf>
    <xf numFmtId="2" fontId="1" fillId="0" borderId="47" xfId="0" applyNumberFormat="1" applyFont="1" applyBorder="1" applyAlignment="1">
      <alignment horizontal="right"/>
    </xf>
    <xf numFmtId="2" fontId="1" fillId="0" borderId="48" xfId="0" applyNumberFormat="1" applyFont="1" applyBorder="1" applyAlignment="1">
      <alignment horizontal="right"/>
    </xf>
    <xf numFmtId="0" fontId="9" fillId="28" borderId="39" xfId="0" applyFont="1" applyFill="1" applyBorder="1" applyAlignment="1">
      <alignment horizontal="center"/>
    </xf>
    <xf numFmtId="0" fontId="9" fillId="28" borderId="0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right" vertical="center" wrapText="1" indent="1"/>
    </xf>
    <xf numFmtId="0" fontId="12" fillId="6" borderId="22" xfId="0" applyFont="1" applyFill="1" applyBorder="1" applyAlignment="1">
      <alignment horizontal="right" vertical="center" wrapText="1" indent="1"/>
    </xf>
    <xf numFmtId="0" fontId="12" fillId="6" borderId="23" xfId="0" applyFont="1" applyFill="1" applyBorder="1" applyAlignment="1">
      <alignment horizontal="right" vertical="center" wrapText="1" indent="1"/>
    </xf>
    <xf numFmtId="0" fontId="15" fillId="0" borderId="13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8" fillId="11" borderId="17" xfId="0" applyFont="1" applyFill="1" applyBorder="1" applyAlignment="1">
      <alignment horizontal="left" vertical="center" wrapText="1" indent="1" readingOrder="1"/>
    </xf>
    <xf numFmtId="0" fontId="18" fillId="11" borderId="18" xfId="0" applyFont="1" applyFill="1" applyBorder="1" applyAlignment="1">
      <alignment horizontal="left" vertical="center" wrapText="1" indent="1" readingOrder="1"/>
    </xf>
    <xf numFmtId="0" fontId="18" fillId="11" borderId="19" xfId="0" applyFont="1" applyFill="1" applyBorder="1" applyAlignment="1">
      <alignment horizontal="left" vertical="center" wrapText="1" indent="1" readingOrder="1"/>
    </xf>
    <xf numFmtId="0" fontId="18" fillId="6" borderId="21" xfId="0" applyFont="1" applyFill="1" applyBorder="1" applyAlignment="1">
      <alignment horizontal="right" vertical="center" wrapText="1" indent="1"/>
    </xf>
    <xf numFmtId="0" fontId="18" fillId="6" borderId="22" xfId="0" applyFont="1" applyFill="1" applyBorder="1" applyAlignment="1">
      <alignment horizontal="right" vertical="center" wrapText="1" indent="1"/>
    </xf>
    <xf numFmtId="0" fontId="18" fillId="6" borderId="23" xfId="0" applyFont="1" applyFill="1" applyBorder="1" applyAlignment="1">
      <alignment horizontal="right" vertical="center" wrapText="1" indent="1"/>
    </xf>
    <xf numFmtId="0" fontId="15" fillId="21" borderId="21" xfId="0" applyFont="1" applyFill="1" applyBorder="1" applyAlignment="1">
      <alignment horizontal="right" vertical="center" wrapText="1" indent="1"/>
    </xf>
    <xf numFmtId="0" fontId="15" fillId="21" borderId="22" xfId="0" applyFont="1" applyFill="1" applyBorder="1" applyAlignment="1">
      <alignment horizontal="right" vertical="center" wrapText="1" indent="1"/>
    </xf>
    <xf numFmtId="0" fontId="15" fillId="21" borderId="23" xfId="0" applyFont="1" applyFill="1" applyBorder="1" applyAlignment="1">
      <alignment horizontal="right" vertical="center" wrapText="1" indent="1"/>
    </xf>
    <xf numFmtId="0" fontId="15" fillId="0" borderId="36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5" fillId="0" borderId="38" xfId="0" applyFont="1" applyBorder="1" applyAlignment="1">
      <alignment vertical="center" wrapText="1"/>
    </xf>
    <xf numFmtId="0" fontId="12" fillId="6" borderId="54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55" xfId="0" applyFont="1" applyFill="1" applyBorder="1" applyAlignment="1">
      <alignment horizontal="center" vertical="center" wrapText="1"/>
    </xf>
    <xf numFmtId="0" fontId="30" fillId="16" borderId="7" xfId="0" applyFont="1" applyFill="1" applyBorder="1" applyAlignment="1">
      <alignment horizontal="center" vertical="center"/>
    </xf>
    <xf numFmtId="0" fontId="30" fillId="16" borderId="0" xfId="0" applyFont="1" applyFill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7" borderId="0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2" xfId="0" applyFont="1" applyFill="1" applyBorder="1" applyAlignment="1">
      <alignment horizontal="center" vertical="center" wrapText="1"/>
    </xf>
    <xf numFmtId="0" fontId="16" fillId="7" borderId="33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3" fontId="29" fillId="0" borderId="0" xfId="0" applyNumberFormat="1" applyFont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 applyAlignment="1">
      <alignment horizontal="right" vertical="center"/>
    </xf>
    <xf numFmtId="0" fontId="29" fillId="0" borderId="0" xfId="0" applyFont="1" applyBorder="1" applyAlignment="1">
      <alignment horizontal="center" vertical="center"/>
    </xf>
    <xf numFmtId="2" fontId="1" fillId="0" borderId="46" xfId="0" applyNumberFormat="1" applyFont="1" applyBorder="1" applyAlignment="1">
      <alignment horizontal="right" vertical="center"/>
    </xf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8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fgColor indexed="64"/>
          <bgColor theme="4" tint="0.39997558519241921"/>
        </patternFill>
      </fill>
    </dxf>
    <dxf>
      <font>
        <sz val="16"/>
        <color rgb="FF000000"/>
      </font>
      <numFmt numFmtId="4" formatCode="#,##0.00"/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rgb="FF98B954"/>
        </left>
        <right style="thin">
          <color rgb="FF98B954"/>
        </right>
        <top style="thin">
          <color rgb="FF98B954"/>
        </top>
        <bottom style="thin">
          <color rgb="FF98B954"/>
        </bottom>
        <vertical/>
        <horizontal/>
      </border>
    </dxf>
    <dxf>
      <font>
        <sz val="16"/>
        <color rgb="FF000000"/>
      </font>
      <numFmt numFmtId="4" formatCode="#,##0.00"/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rgb="FF98B954"/>
        </left>
        <right style="thin">
          <color rgb="FF98B954"/>
        </right>
        <top style="thin">
          <color rgb="FF98B954"/>
        </top>
        <bottom style="thin">
          <color rgb="FF98B954"/>
        </bottom>
        <vertical/>
        <horizontal/>
      </border>
    </dxf>
    <dxf>
      <font>
        <sz val="16"/>
        <color rgb="FF000000"/>
      </font>
      <numFmt numFmtId="4" formatCode="#,##0.00"/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rgb="FF98B954"/>
        </left>
        <right style="thin">
          <color rgb="FF98B954"/>
        </right>
        <top style="thin">
          <color rgb="FF98B954"/>
        </top>
        <bottom style="thin">
          <color rgb="FF98B954"/>
        </bottom>
        <vertical/>
        <horizontal/>
      </border>
    </dxf>
    <dxf>
      <font>
        <sz val="16"/>
        <color rgb="FF000000"/>
      </font>
      <numFmt numFmtId="4" formatCode="#,##0.00"/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rgb="FF98B954"/>
        </left>
        <right style="thin">
          <color rgb="FF98B954"/>
        </right>
        <top style="thin">
          <color rgb="FF98B954"/>
        </top>
        <bottom style="thin">
          <color rgb="FF98B954"/>
        </bottom>
        <vertical/>
        <horizontal/>
      </border>
    </dxf>
    <dxf>
      <fill>
        <patternFill>
          <fgColor indexed="64"/>
          <bgColor theme="4" tint="0.39997558519241921"/>
        </patternFill>
      </fill>
    </dxf>
    <dxf>
      <border outline="0">
        <bottom style="thin">
          <color rgb="FF98B954"/>
        </bottom>
      </border>
    </dxf>
    <dxf>
      <font>
        <sz val="16"/>
        <color rgb="FF000000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9BBB59"/>
        </patternFill>
      </fill>
      <alignment horizontal="center" vertical="center" textRotation="0" wrapText="1" indent="0" justifyLastLine="0" shrinkToFit="0" readingOrder="1"/>
    </dxf>
    <dxf>
      <fill>
        <patternFill>
          <fgColor indexed="64"/>
          <bgColor theme="4" tint="0.39997558519241921"/>
        </patternFill>
      </fill>
    </dxf>
    <dxf>
      <font>
        <sz val="16"/>
        <color rgb="FF000000"/>
      </font>
      <numFmt numFmtId="4" formatCode="#,##0.00"/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rgb="FF98B954"/>
        </left>
        <right style="thin">
          <color rgb="FF98B954"/>
        </right>
        <top style="thin">
          <color rgb="FF98B954"/>
        </top>
        <bottom style="thin">
          <color rgb="FF98B954"/>
        </bottom>
        <vertical/>
        <horizontal/>
      </border>
    </dxf>
    <dxf>
      <font>
        <sz val="16"/>
        <color rgb="FF000000"/>
      </font>
      <numFmt numFmtId="4" formatCode="#,##0.00"/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rgb="FF98B954"/>
        </left>
        <right style="thin">
          <color rgb="FF98B954"/>
        </right>
        <top style="thin">
          <color rgb="FF98B954"/>
        </top>
        <bottom style="thin">
          <color rgb="FF98B954"/>
        </bottom>
        <vertical/>
        <horizontal/>
      </border>
    </dxf>
    <dxf>
      <font>
        <sz val="16"/>
        <color rgb="FF000000"/>
      </font>
      <numFmt numFmtId="4" formatCode="#,##0.00"/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rgb="FF98B954"/>
        </left>
        <right style="thin">
          <color rgb="FF98B954"/>
        </right>
        <top style="thin">
          <color rgb="FF98B954"/>
        </top>
        <bottom style="thin">
          <color rgb="FF98B954"/>
        </bottom>
        <vertical/>
        <horizontal/>
      </border>
    </dxf>
    <dxf>
      <font>
        <sz val="16"/>
        <color rgb="FF000000"/>
      </font>
      <numFmt numFmtId="4" formatCode="#,##0.00"/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rgb="FF98B954"/>
        </left>
        <right style="thin">
          <color rgb="FF98B954"/>
        </right>
        <top style="thin">
          <color rgb="FF98B954"/>
        </top>
        <bottom style="thin">
          <color rgb="FF98B954"/>
        </bottom>
        <vertical/>
        <horizontal/>
      </border>
    </dxf>
    <dxf>
      <fill>
        <patternFill>
          <fgColor indexed="64"/>
          <bgColor theme="4" tint="0.39997558519241921"/>
        </patternFill>
      </fill>
    </dxf>
    <dxf>
      <border outline="0">
        <bottom style="thin">
          <color rgb="FF98B954"/>
        </bottom>
      </border>
    </dxf>
    <dxf>
      <font>
        <sz val="16"/>
        <color rgb="FF000000"/>
      </font>
      <fill>
        <patternFill patternType="solid">
          <fgColor indexed="64"/>
          <bgColor theme="4" tint="0.39997558519241921"/>
        </patternFill>
      </fill>
      <alignment horizontal="right" vertical="center" textRotation="0" wrapText="1" indent="0" justifyLastLine="0" shrinkToFit="0" readingOrder="1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9BBB59"/>
        </patternFill>
      </fill>
      <alignment horizontal="center" vertical="center" textRotation="0" wrapText="1" indent="0" justifyLastLine="0" shrinkToFit="0" readingOrder="1"/>
    </dxf>
    <dxf>
      <font>
        <b/>
      </font>
      <fill>
        <patternFill>
          <fgColor indexed="64"/>
          <bgColor theme="4" tint="0.39997558519241921"/>
        </patternFill>
      </fill>
      <alignment horizontal="right" vertical="center" textRotation="0" wrapText="1" indent="0" justifyLastLine="0" shrinkToFit="0"/>
    </dxf>
    <dxf>
      <fill>
        <patternFill>
          <fgColor indexed="64"/>
          <bgColor theme="4" tint="0.39997558519241921"/>
        </patternFill>
      </fill>
      <alignment horizontal="right" vertical="center" textRotation="0" wrapText="1" indent="0" justifyLastLine="0" shrinkToFit="0"/>
    </dxf>
    <dxf>
      <fill>
        <patternFill>
          <fgColor indexed="64"/>
          <bgColor theme="4" tint="0.39997558519241921"/>
        </patternFill>
      </fill>
      <alignment horizontal="right" vertical="center" textRotation="0" wrapText="1" indent="0" justifyLastLine="0" shrinkToFit="0"/>
    </dxf>
    <dxf>
      <fill>
        <patternFill>
          <fgColor indexed="64"/>
          <bgColor theme="4" tint="0.39997558519241921"/>
        </patternFill>
      </fill>
      <alignment horizontal="right" vertical="center" textRotation="0" wrapText="1" indent="0" justifyLastLine="0" shrinkToFit="0"/>
    </dxf>
    <dxf>
      <fill>
        <patternFill>
          <fgColor indexed="64"/>
          <bgColor theme="4" tint="0.39997558519241921"/>
        </patternFill>
      </fill>
      <alignment horizontal="right" vertical="center" textRotation="0" wrapText="1" indent="0" justifyLastLine="0" shrinkToFit="0"/>
    </dxf>
    <dxf>
      <fill>
        <patternFill>
          <fgColor indexed="64"/>
          <bgColor theme="4" tint="0.39997558519241921"/>
        </patternFill>
      </fill>
    </dxf>
    <dxf>
      <fill>
        <patternFill>
          <fgColor indexed="64"/>
          <bgColor theme="4" tint="0.39997558519241921"/>
        </patternFill>
      </fill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9BBB59"/>
        </patternFill>
      </fill>
      <alignment horizontal="center" vertical="center" textRotation="0" wrapText="1" indent="0" justifyLastLine="0" shrinkToFit="0" readingOrder="1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0" indent="0" justifyLastLine="0" shrinkToFit="0"/>
    </dxf>
  </dxfs>
  <tableStyles count="0" defaultTableStyle="TableStyleMedium2" defaultPivotStyle="PivotStyleLight16"/>
  <colors>
    <mruColors>
      <color rgb="FFF8C1A2"/>
      <color rgb="FF957DB1"/>
      <color rgb="FFB19DC7"/>
      <color rgb="FF3BC430"/>
      <color rgb="FF58D673"/>
      <color rgb="FFFF7465"/>
      <color rgb="FFFFAFA7"/>
      <color rgb="FFFF968B"/>
      <color rgb="FFFBE4D6"/>
      <color rgb="FFFF7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4330964949318"/>
          <c:y val="2.8685371783084428E-2"/>
          <c:w val="0.67542519063210904"/>
          <c:h val="0.83481864476650502"/>
        </c:manualLayout>
      </c:layout>
      <c:lineChart>
        <c:grouping val="standard"/>
        <c:varyColors val="0"/>
        <c:ser>
          <c:idx val="0"/>
          <c:order val="0"/>
          <c:tx>
            <c:v>Costi fissi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BEP!$C$8:$C$14</c15:sqref>
                  </c15:fullRef>
                </c:ext>
              </c:extLst>
              <c:f>BEP!$C$9:$C$14</c:f>
              <c:numCache>
                <c:formatCode>0.00</c:formatCode>
                <c:ptCount val="6"/>
                <c:pt idx="0">
                  <c:v>51687</c:v>
                </c:pt>
                <c:pt idx="1">
                  <c:v>260259</c:v>
                </c:pt>
                <c:pt idx="2">
                  <c:v>294717</c:v>
                </c:pt>
                <c:pt idx="3">
                  <c:v>469274</c:v>
                </c:pt>
                <c:pt idx="4">
                  <c:v>608322</c:v>
                </c:pt>
                <c:pt idx="5">
                  <c:v>634165.5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BEP!$K$8:$K$14</c15:sqref>
                  </c15:fullRef>
                </c:ext>
              </c:extLst>
              <c:f>BEP!$K$9:$K$14</c:f>
              <c:numCache>
                <c:formatCode>0.00</c:formatCode>
                <c:ptCount val="6"/>
                <c:pt idx="0">
                  <c:v>60997.520199999999</c:v>
                </c:pt>
                <c:pt idx="1">
                  <c:v>60997.520199999999</c:v>
                </c:pt>
                <c:pt idx="2">
                  <c:v>60997.520199999999</c:v>
                </c:pt>
                <c:pt idx="3">
                  <c:v>60997.520199999999</c:v>
                </c:pt>
                <c:pt idx="4">
                  <c:v>60997.520199999999</c:v>
                </c:pt>
                <c:pt idx="5">
                  <c:v>60997.520199999999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A-4241-9F65-667FEAB578E0}"/>
            </c:ext>
          </c:extLst>
        </c:ser>
        <c:ser>
          <c:idx val="1"/>
          <c:order val="1"/>
          <c:tx>
            <c:v>Costi totali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BEP!$C$8:$C$14</c15:sqref>
                  </c15:fullRef>
                </c:ext>
              </c:extLst>
              <c:f>BEP!$C$9:$C$14</c:f>
              <c:numCache>
                <c:formatCode>0.00</c:formatCode>
                <c:ptCount val="6"/>
                <c:pt idx="0">
                  <c:v>51687</c:v>
                </c:pt>
                <c:pt idx="1">
                  <c:v>260259</c:v>
                </c:pt>
                <c:pt idx="2">
                  <c:v>294717</c:v>
                </c:pt>
                <c:pt idx="3">
                  <c:v>469274</c:v>
                </c:pt>
                <c:pt idx="4">
                  <c:v>608322</c:v>
                </c:pt>
                <c:pt idx="5">
                  <c:v>634165.5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BEP!$M$8:$M$14</c15:sqref>
                  </c15:fullRef>
                </c:ext>
              </c:extLst>
              <c:f>BEP!$M$9:$M$14</c:f>
              <c:numCache>
                <c:formatCode>0.00</c:formatCode>
                <c:ptCount val="6"/>
                <c:pt idx="0">
                  <c:v>64408.862199999996</c:v>
                </c:pt>
                <c:pt idx="1">
                  <c:v>78174.614199999996</c:v>
                </c:pt>
                <c:pt idx="2">
                  <c:v>79918.188999999998</c:v>
                </c:pt>
                <c:pt idx="3">
                  <c:v>91438.951000000001</c:v>
                </c:pt>
                <c:pt idx="4">
                  <c:v>98474.779800000004</c:v>
                </c:pt>
                <c:pt idx="5">
                  <c:v>99327.615300000005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A-4241-9F65-667FEAB578E0}"/>
            </c:ext>
          </c:extLst>
        </c:ser>
        <c:ser>
          <c:idx val="2"/>
          <c:order val="2"/>
          <c:tx>
            <c:v>costi variabili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BEP!$C$8:$C$14</c15:sqref>
                  </c15:fullRef>
                </c:ext>
              </c:extLst>
              <c:f>BEP!$C$9:$C$14</c:f>
              <c:numCache>
                <c:formatCode>0.00</c:formatCode>
                <c:ptCount val="6"/>
                <c:pt idx="0">
                  <c:v>51687</c:v>
                </c:pt>
                <c:pt idx="1">
                  <c:v>260259</c:v>
                </c:pt>
                <c:pt idx="2">
                  <c:v>294717</c:v>
                </c:pt>
                <c:pt idx="3">
                  <c:v>469274</c:v>
                </c:pt>
                <c:pt idx="4">
                  <c:v>608322</c:v>
                </c:pt>
                <c:pt idx="5">
                  <c:v>634165.5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BEP!$L$8:$L$14</c15:sqref>
                  </c15:fullRef>
                </c:ext>
              </c:extLst>
              <c:f>BEP!$L$9:$L$14</c:f>
              <c:numCache>
                <c:formatCode>0.00</c:formatCode>
                <c:ptCount val="6"/>
                <c:pt idx="0">
                  <c:v>3411.3420000000001</c:v>
                </c:pt>
                <c:pt idx="1">
                  <c:v>17177.094000000001</c:v>
                </c:pt>
                <c:pt idx="2">
                  <c:v>18920.668799999999</c:v>
                </c:pt>
                <c:pt idx="3">
                  <c:v>30441.430800000002</c:v>
                </c:pt>
                <c:pt idx="4">
                  <c:v>37477.259600000005</c:v>
                </c:pt>
                <c:pt idx="5">
                  <c:v>38330.095100000006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A-4241-9F65-667FEAB578E0}"/>
            </c:ext>
          </c:extLst>
        </c:ser>
        <c:ser>
          <c:idx val="3"/>
          <c:order val="3"/>
          <c:tx>
            <c:v>Ricavi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BEP!$C$8:$C$14</c15:sqref>
                  </c15:fullRef>
                </c:ext>
              </c:extLst>
              <c:f>BEP!$C$9:$C$14</c:f>
              <c:numCache>
                <c:formatCode>0.00</c:formatCode>
                <c:ptCount val="6"/>
                <c:pt idx="0">
                  <c:v>51687</c:v>
                </c:pt>
                <c:pt idx="1">
                  <c:v>260259</c:v>
                </c:pt>
                <c:pt idx="2">
                  <c:v>294717</c:v>
                </c:pt>
                <c:pt idx="3">
                  <c:v>469274</c:v>
                </c:pt>
                <c:pt idx="4">
                  <c:v>608322</c:v>
                </c:pt>
                <c:pt idx="5">
                  <c:v>634165.5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BEP!$B$8:$B$14</c15:sqref>
                  </c15:fullRef>
                </c:ext>
              </c:extLst>
              <c:f>BEP!$B$9:$B$14</c:f>
              <c:numCache>
                <c:formatCode>0.00</c:formatCode>
                <c:ptCount val="6"/>
                <c:pt idx="0">
                  <c:v>15506.099999999999</c:v>
                </c:pt>
                <c:pt idx="1">
                  <c:v>78077.7</c:v>
                </c:pt>
                <c:pt idx="2">
                  <c:v>86003.04</c:v>
                </c:pt>
                <c:pt idx="3">
                  <c:v>138370.13999999998</c:v>
                </c:pt>
                <c:pt idx="4">
                  <c:v>170351.18</c:v>
                </c:pt>
                <c:pt idx="5">
                  <c:v>174227.70499999999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A-4241-9F65-667FEAB5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380496"/>
        <c:axId val="-1974375952"/>
      </c:lineChart>
      <c:catAx>
        <c:axId val="-19743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375952"/>
        <c:crosses val="autoZero"/>
        <c:auto val="1"/>
        <c:lblAlgn val="ctr"/>
        <c:lblOffset val="100"/>
        <c:noMultiLvlLbl val="0"/>
      </c:catAx>
      <c:valAx>
        <c:axId val="-1974375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3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16</xdr:row>
      <xdr:rowOff>180976</xdr:rowOff>
    </xdr:from>
    <xdr:to>
      <xdr:col>9</xdr:col>
      <xdr:colOff>1438275</xdr:colOff>
      <xdr:row>38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0.13297</cdr:x>
      <cdr:y>0.53807</cdr:y>
    </cdr:from>
    <cdr:to>
      <cdr:x>0.29986</cdr:x>
      <cdr:y>0.53807</cdr:y>
    </cdr:to>
    <cdr:sp macro="" textlink="">
      <cdr:nvSpPr>
        <cdr:cNvPr id="5" name="Connettore 1 4"/>
        <cdr:cNvSpPr/>
      </cdr:nvSpPr>
      <cdr:spPr>
        <a:xfrm xmlns:a="http://schemas.openxmlformats.org/drawingml/2006/main" flipH="1">
          <a:off x="1044326" y="2075882"/>
          <a:ext cx="1310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00B05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rgbClr val="000000"/>
              </a:solidFill>
              <a:latin typeface="Calisto MT"/>
            </a:defRPr>
          </a:lvl1pPr>
          <a:lvl2pPr marL="457200" indent="0">
            <a:defRPr sz="1100">
              <a:solidFill>
                <a:srgbClr val="000000"/>
              </a:solidFill>
              <a:latin typeface="Calisto MT"/>
            </a:defRPr>
          </a:lvl2pPr>
          <a:lvl3pPr marL="914400" indent="0">
            <a:defRPr sz="1100">
              <a:solidFill>
                <a:srgbClr val="000000"/>
              </a:solidFill>
              <a:latin typeface="Calisto MT"/>
            </a:defRPr>
          </a:lvl3pPr>
          <a:lvl4pPr marL="1371600" indent="0">
            <a:defRPr sz="1100">
              <a:solidFill>
                <a:srgbClr val="000000"/>
              </a:solidFill>
              <a:latin typeface="Calisto MT"/>
            </a:defRPr>
          </a:lvl4pPr>
          <a:lvl5pPr marL="1828800" indent="0">
            <a:defRPr sz="1100">
              <a:solidFill>
                <a:srgbClr val="000000"/>
              </a:solidFill>
              <a:latin typeface="Calisto MT"/>
            </a:defRPr>
          </a:lvl5pPr>
          <a:lvl6pPr marL="2286000" indent="0">
            <a:defRPr sz="1100">
              <a:solidFill>
                <a:srgbClr val="000000"/>
              </a:solidFill>
              <a:latin typeface="Calisto MT"/>
            </a:defRPr>
          </a:lvl6pPr>
          <a:lvl7pPr marL="2743200" indent="0">
            <a:defRPr sz="1100">
              <a:solidFill>
                <a:srgbClr val="000000"/>
              </a:solidFill>
              <a:latin typeface="Calisto MT"/>
            </a:defRPr>
          </a:lvl7pPr>
          <a:lvl8pPr marL="3200400" indent="0">
            <a:defRPr sz="1100">
              <a:solidFill>
                <a:srgbClr val="000000"/>
              </a:solidFill>
              <a:latin typeface="Calisto MT"/>
            </a:defRPr>
          </a:lvl8pPr>
          <a:lvl9pPr marL="3657600" indent="0">
            <a:defRPr sz="1100">
              <a:solidFill>
                <a:srgbClr val="000000"/>
              </a:solidFill>
              <a:latin typeface="Calisto MT"/>
            </a:defRPr>
          </a:lvl9pPr>
        </a:lstStyle>
        <a:p xmlns:a="http://schemas.openxmlformats.org/drawingml/2006/main">
          <a:endParaRPr lang="it-IT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0.27893</cdr:x>
      <cdr:y>0.46349</cdr:y>
    </cdr:from>
    <cdr:to>
      <cdr:x>0.34982</cdr:x>
      <cdr:y>0.52502</cdr:y>
    </cdr:to>
    <cdr:sp macro="" textlink="">
      <cdr:nvSpPr>
        <cdr:cNvPr id="8" name="CasellaDiTesto 7"/>
        <cdr:cNvSpPr txBox="1"/>
      </cdr:nvSpPr>
      <cdr:spPr>
        <a:xfrm xmlns:a="http://schemas.openxmlformats.org/drawingml/2006/main">
          <a:off x="2045739" y="1867455"/>
          <a:ext cx="519925" cy="247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>
              <a:solidFill>
                <a:schemeClr val="tx1"/>
              </a:solidFill>
            </a:rPr>
            <a:t>BEP</a:t>
          </a:r>
        </a:p>
      </cdr:txBody>
    </cdr:sp>
  </cdr:relSizeAnchor>
  <cdr:relSizeAnchor xmlns:cdr="http://schemas.openxmlformats.org/drawingml/2006/chartDrawing">
    <cdr:from>
      <cdr:x>0.30188</cdr:x>
      <cdr:y>0.53879</cdr:y>
    </cdr:from>
    <cdr:to>
      <cdr:x>0.30188</cdr:x>
      <cdr:y>0.86939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2370184" y="2081523"/>
          <a:ext cx="0" cy="12772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00B05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 b="1">
            <a:solidFill>
              <a:schemeClr val="tx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ella1" displayName="Tabella1" ref="B5:E10" headerRowCount="0" totalsRowShown="0" headerRowDxfId="79" dataDxfId="78">
  <tableColumns count="4">
    <tableColumn id="1" name="Colonna1" dataDxfId="77"/>
    <tableColumn id="2" name="Colonna2" dataDxfId="76"/>
    <tableColumn id="3" name="Colonna3" headerRowDxfId="75" dataDxfId="74"/>
    <tableColumn id="4" name="Colonna4" headerRowDxfId="73" dataDxfId="72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6" name="Tabella6" displayName="Tabella6" ref="B5:E24" headerRowCount="0" totalsRowShown="0" headerRowDxfId="25" dataDxfId="24">
  <tableColumns count="4">
    <tableColumn id="1" name="Colonna1" headerRowDxfId="23" dataDxfId="22"/>
    <tableColumn id="2" name="Colonna2" headerRowDxfId="21" dataDxfId="20"/>
    <tableColumn id="3" name="Colonna3" headerRowDxfId="19" dataDxfId="18"/>
    <tableColumn id="4" name="Colonna4" headerRowDxfId="17" dataDxfId="16"/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ella68" displayName="Tabella68" ref="B32:E54" headerRowCount="0" totalsRowShown="0" headerRowDxfId="15">
  <tableColumns count="4">
    <tableColumn id="1" name="Colonna1" headerRowDxfId="14" dataDxfId="13"/>
    <tableColumn id="2" name="Colonna2" headerRowDxfId="12" dataDxfId="11"/>
    <tableColumn id="3" name="Colonna3" headerRowDxfId="10" dataDxfId="9"/>
    <tableColumn id="4" name="Colonna4" headerRowDxfId="8" dataDxfId="7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8" name="Tabella689" displayName="Tabella689" ref="B61:E83" headerRowCount="0" totalsRowShown="0" headerRowDxfId="6">
  <tableColumns count="4">
    <tableColumn id="1" name="Colonna1" headerRowDxfId="5" dataDxfId="4"/>
    <tableColumn id="2" name="Colonna2" headerRowDxfId="3" dataDxfId="2"/>
    <tableColumn id="3" name="Colonna3" headerRowDxfId="1"/>
    <tableColumn id="4" name="Colonna4" headerRow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B14:F21" headerRowCount="0" totalsRowShown="0" headerRowDxfId="71" dataDxfId="70">
  <tableColumns count="5">
    <tableColumn id="1" name="Colonna1" dataDxfId="69"/>
    <tableColumn id="2" name="Colonna2" dataDxfId="68"/>
    <tableColumn id="3" name="Colonna3" dataDxfId="67"/>
    <tableColumn id="4" name="Colonna4" dataDxfId="66">
      <calculatedColumnFormula>(D14*22)/100</calculatedColumnFormula>
    </tableColumn>
    <tableColumn id="5" name="Colonna5" dataDxfId="65">
      <calculatedColumnFormula>D14+E14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2" name="Tabella213" displayName="Tabella213" ref="B38:F42" headerRowCount="0" totalsRowShown="0" headerRowDxfId="64" dataDxfId="63">
  <tableColumns count="5">
    <tableColumn id="1" name="Colonna1" dataDxfId="62"/>
    <tableColumn id="2" name="Colonna2" dataDxfId="61"/>
    <tableColumn id="3" name="Colonna3" dataDxfId="60"/>
    <tableColumn id="4" name="Colonna4" dataDxfId="59">
      <calculatedColumnFormula>(D38*22)/100</calculatedColumnFormula>
    </tableColumn>
    <tableColumn id="5" name="Colonna5" dataDxfId="58">
      <calculatedColumnFormula>D38+E38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la3" displayName="Tabella3" ref="B6:E11" headerRowCount="0" totalsRowShown="0">
  <tableColumns count="4">
    <tableColumn id="1" name="Colonna1"/>
    <tableColumn id="2" name="Colonna2" dataDxfId="57"/>
    <tableColumn id="3" name="Colonna3"/>
    <tableColumn id="4" name="Colonna4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4" name="Tabella35" displayName="Tabella35" ref="B24:E29" headerRowCount="0" totalsRowShown="0">
  <tableColumns count="4">
    <tableColumn id="1" name="Colonna1"/>
    <tableColumn id="2" name="Colonna2" dataDxfId="56"/>
    <tableColumn id="3" name="Colonna3"/>
    <tableColumn id="4" name="Colonna4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5" name="Tabella356" displayName="Tabella356" ref="B43:E47" headerRowCount="0" totalsRowShown="0">
  <tableColumns count="4">
    <tableColumn id="1" name="Colonna1"/>
    <tableColumn id="2" name="Colonna2" dataDxfId="55"/>
    <tableColumn id="3" name="Colonna3"/>
    <tableColumn id="4" name="Colonna4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9" name="Tabella9" displayName="Tabella9" ref="B7:G15" totalsRowShown="0" headerRowDxfId="54" dataDxfId="52" headerRowBorderDxfId="53">
  <autoFilter ref="B7:G15"/>
  <tableColumns count="6">
    <tableColumn id="1" name="ENTRATE" dataDxfId="51"/>
    <tableColumn id="2" name="I trimestre " dataDxfId="50"/>
    <tableColumn id="3" name="II trimestre " dataDxfId="49"/>
    <tableColumn id="4" name="III trimestre " dataDxfId="48"/>
    <tableColumn id="5" name="IV  trimestre " dataDxfId="47"/>
    <tableColumn id="6" name="Totale " dataDxfId="4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Tabella911" displayName="Tabella911" ref="B56:G64" totalsRowShown="0" headerRowDxfId="45" dataDxfId="43" headerRowBorderDxfId="44" tableBorderDxfId="42">
  <autoFilter ref="B56:G64"/>
  <tableColumns count="6">
    <tableColumn id="1" name="ENTRATE" dataDxfId="41"/>
    <tableColumn id="2" name="I trimestre " dataDxfId="40"/>
    <tableColumn id="3" name="II trimestre " dataDxfId="39"/>
    <tableColumn id="4" name="III trimestre " dataDxfId="38"/>
    <tableColumn id="5" name="IV  trimestre " dataDxfId="37"/>
    <tableColumn id="6" name="Totale " dataDxfId="3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ella91112" displayName="Tabella91112" ref="B106:G114" totalsRowShown="0" headerRowDxfId="35" dataDxfId="33" headerRowBorderDxfId="34" tableBorderDxfId="32">
  <autoFilter ref="B106:G114"/>
  <tableColumns count="6">
    <tableColumn id="1" name="ENTRATE" dataDxfId="31"/>
    <tableColumn id="2" name="I trimestre " dataDxfId="30"/>
    <tableColumn id="3" name="II trimestre " dataDxfId="29"/>
    <tableColumn id="4" name="III trimestre " dataDxfId="28"/>
    <tableColumn id="5" name="IV  trimestre " dataDxfId="27"/>
    <tableColumn id="6" name="Totale " dataDxfId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5"/>
  <sheetViews>
    <sheetView zoomScale="90" zoomScaleNormal="90" zoomScalePageLayoutView="90" workbookViewId="0">
      <selection activeCell="F16" sqref="F16"/>
    </sheetView>
  </sheetViews>
  <sheetFormatPr defaultColWidth="11" defaultRowHeight="14.4"/>
  <cols>
    <col min="1" max="1" width="17.68359375" customWidth="1"/>
    <col min="2" max="2" width="28.15625" customWidth="1"/>
    <col min="3" max="3" width="17.83984375" bestFit="1" customWidth="1"/>
    <col min="4" max="4" width="22.3125" customWidth="1"/>
    <col min="5" max="5" width="16.83984375" customWidth="1"/>
    <col min="6" max="6" width="27.15625" customWidth="1"/>
    <col min="7" max="7" width="15.3125" customWidth="1"/>
    <col min="8" max="8" width="21.47265625" customWidth="1"/>
    <col min="9" max="9" width="9.47265625" customWidth="1"/>
    <col min="10" max="10" width="21.47265625" customWidth="1"/>
  </cols>
  <sheetData>
    <row r="4" spans="2:6" ht="15.6">
      <c r="B4" s="202" t="s">
        <v>11</v>
      </c>
      <c r="C4" s="203"/>
      <c r="D4" s="203"/>
      <c r="E4" s="203"/>
    </row>
    <row r="5" spans="2:6" ht="15.6">
      <c r="B5" s="149" t="s">
        <v>7</v>
      </c>
      <c r="C5" s="149" t="s">
        <v>115</v>
      </c>
      <c r="D5" s="149" t="s">
        <v>116</v>
      </c>
      <c r="E5" s="150" t="s">
        <v>117</v>
      </c>
    </row>
    <row r="6" spans="2:6" ht="15.6">
      <c r="B6" s="29" t="s">
        <v>3</v>
      </c>
      <c r="C6" s="127">
        <v>5000</v>
      </c>
      <c r="D6" s="127">
        <f>(C6*22)/100</f>
        <v>1100</v>
      </c>
      <c r="E6" s="127">
        <f>C6+D6</f>
        <v>6100</v>
      </c>
    </row>
    <row r="7" spans="2:6" ht="15.6">
      <c r="B7" s="29" t="s">
        <v>4</v>
      </c>
      <c r="C7" s="127">
        <v>10000</v>
      </c>
      <c r="D7" s="127">
        <f>(C7*22)/100</f>
        <v>2200</v>
      </c>
      <c r="E7" s="127">
        <f>C7+D7</f>
        <v>12200</v>
      </c>
    </row>
    <row r="8" spans="2:6" ht="24" customHeight="1">
      <c r="B8" s="29" t="s">
        <v>5</v>
      </c>
      <c r="C8" s="127">
        <v>1500</v>
      </c>
      <c r="D8" s="127">
        <f>(C8*22)/100</f>
        <v>330</v>
      </c>
      <c r="E8" s="127">
        <f>C8+D8</f>
        <v>1830</v>
      </c>
    </row>
    <row r="9" spans="2:6" ht="22" customHeight="1">
      <c r="B9" s="29" t="s">
        <v>6</v>
      </c>
      <c r="C9" s="127">
        <v>23.08</v>
      </c>
      <c r="D9" s="127">
        <f>(C9*22)/100</f>
        <v>5.0776000000000003</v>
      </c>
      <c r="E9" s="127">
        <f>C9+D9</f>
        <v>28.157599999999999</v>
      </c>
    </row>
    <row r="10" spans="2:6" ht="15.6">
      <c r="B10" s="126" t="s">
        <v>8</v>
      </c>
      <c r="C10" s="128">
        <f>C6+C7+C8+C9</f>
        <v>16523.080000000002</v>
      </c>
      <c r="D10" s="128">
        <f>SUM(D6:D9)</f>
        <v>3635.0776000000001</v>
      </c>
      <c r="E10" s="128">
        <f>SUM(E6:E9)</f>
        <v>20158.157599999999</v>
      </c>
    </row>
    <row r="11" spans="2:6" ht="15.75" customHeight="1"/>
    <row r="12" spans="2:6" ht="21" customHeight="1"/>
    <row r="13" spans="2:6" ht="15.6">
      <c r="B13" s="121" t="s">
        <v>7</v>
      </c>
      <c r="C13" s="122" t="s">
        <v>132</v>
      </c>
      <c r="D13" s="123" t="s">
        <v>130</v>
      </c>
      <c r="E13" s="123" t="s">
        <v>116</v>
      </c>
      <c r="F13" s="123" t="s">
        <v>131</v>
      </c>
    </row>
    <row r="14" spans="2:6" ht="15.6">
      <c r="B14" s="30" t="s">
        <v>9</v>
      </c>
      <c r="C14" s="94">
        <v>1000</v>
      </c>
      <c r="D14" s="94">
        <v>12000</v>
      </c>
      <c r="E14" s="94">
        <f t="shared" ref="E14:E20" si="0">(D14*22)/100</f>
        <v>2640</v>
      </c>
      <c r="F14" s="94">
        <f t="shared" ref="F14:F21" si="1">D14+E14</f>
        <v>14640</v>
      </c>
    </row>
    <row r="15" spans="2:6" ht="15.6">
      <c r="B15" s="30" t="s">
        <v>10</v>
      </c>
      <c r="C15" s="94"/>
      <c r="D15" s="94">
        <f>F42</f>
        <v>30264</v>
      </c>
      <c r="E15" s="94">
        <v>0</v>
      </c>
      <c r="F15" s="94">
        <f t="shared" si="1"/>
        <v>30264</v>
      </c>
    </row>
    <row r="16" spans="2:6" ht="15.6">
      <c r="B16" s="30" t="s">
        <v>15</v>
      </c>
      <c r="C16" s="94"/>
      <c r="D16" s="94">
        <v>1500</v>
      </c>
      <c r="E16" s="94">
        <f t="shared" si="0"/>
        <v>330</v>
      </c>
      <c r="F16" s="94">
        <f t="shared" si="1"/>
        <v>1830</v>
      </c>
    </row>
    <row r="17" spans="2:7" ht="15.6">
      <c r="B17" s="30" t="s">
        <v>12</v>
      </c>
      <c r="C17" s="94"/>
      <c r="D17" s="94">
        <v>600</v>
      </c>
      <c r="E17" s="94">
        <f t="shared" si="0"/>
        <v>132</v>
      </c>
      <c r="F17" s="94">
        <f t="shared" si="1"/>
        <v>732</v>
      </c>
    </row>
    <row r="18" spans="2:7" ht="15.6">
      <c r="B18" s="30" t="s">
        <v>16</v>
      </c>
      <c r="C18" s="94"/>
      <c r="D18" s="94">
        <v>91.41</v>
      </c>
      <c r="E18" s="94">
        <f t="shared" si="0"/>
        <v>20.110199999999999</v>
      </c>
      <c r="F18" s="94">
        <f t="shared" si="1"/>
        <v>111.52019999999999</v>
      </c>
    </row>
    <row r="19" spans="2:7" ht="32.049999999999997" customHeight="1">
      <c r="B19" s="146" t="s">
        <v>75</v>
      </c>
      <c r="C19" s="94"/>
      <c r="D19" s="94">
        <v>1000</v>
      </c>
      <c r="E19" s="94">
        <f t="shared" si="0"/>
        <v>220</v>
      </c>
      <c r="F19" s="94">
        <f t="shared" si="1"/>
        <v>1220</v>
      </c>
    </row>
    <row r="20" spans="2:7" ht="15.6">
      <c r="B20" s="30" t="s">
        <v>13</v>
      </c>
      <c r="C20" s="94"/>
      <c r="D20" s="94">
        <v>10000</v>
      </c>
      <c r="E20" s="94">
        <f t="shared" si="0"/>
        <v>2200</v>
      </c>
      <c r="F20" s="94">
        <f t="shared" si="1"/>
        <v>12200</v>
      </c>
    </row>
    <row r="21" spans="2:7" ht="15.6">
      <c r="B21" s="124" t="s">
        <v>14</v>
      </c>
      <c r="C21" s="125">
        <v>1000</v>
      </c>
      <c r="D21" s="125">
        <f>SUM(D14:D20)</f>
        <v>55455.41</v>
      </c>
      <c r="E21" s="125">
        <f>SUM(E14:E20)</f>
        <v>5542.1102000000001</v>
      </c>
      <c r="F21" s="125">
        <f t="shared" si="1"/>
        <v>60997.520200000006</v>
      </c>
      <c r="G21" s="9"/>
    </row>
    <row r="25" spans="2:7" ht="15.3">
      <c r="B25" s="172" t="s">
        <v>7</v>
      </c>
      <c r="C25" s="172" t="s">
        <v>143</v>
      </c>
    </row>
    <row r="26" spans="2:7" ht="15.6">
      <c r="B26" s="156" t="s">
        <v>9</v>
      </c>
      <c r="C26" s="157">
        <f>F14</f>
        <v>14640</v>
      </c>
    </row>
    <row r="27" spans="2:7" ht="15.6">
      <c r="B27" s="158" t="s">
        <v>10</v>
      </c>
      <c r="C27" s="170">
        <f t="shared" ref="C27:C32" si="2">F15</f>
        <v>30264</v>
      </c>
    </row>
    <row r="28" spans="2:7" ht="15.6">
      <c r="B28" s="156" t="s">
        <v>15</v>
      </c>
      <c r="C28" s="157">
        <f t="shared" si="2"/>
        <v>1830</v>
      </c>
    </row>
    <row r="29" spans="2:7" ht="15.6">
      <c r="B29" s="158" t="s">
        <v>12</v>
      </c>
      <c r="C29" s="158">
        <f t="shared" si="2"/>
        <v>732</v>
      </c>
    </row>
    <row r="30" spans="2:7" ht="15.6">
      <c r="B30" s="156" t="s">
        <v>16</v>
      </c>
      <c r="C30" s="157">
        <f t="shared" si="2"/>
        <v>111.52019999999999</v>
      </c>
    </row>
    <row r="31" spans="2:7" ht="31.2">
      <c r="B31" s="159" t="s">
        <v>75</v>
      </c>
      <c r="C31" s="170">
        <f t="shared" si="2"/>
        <v>1220</v>
      </c>
    </row>
    <row r="32" spans="2:7" ht="15.6">
      <c r="B32" s="156" t="s">
        <v>13</v>
      </c>
      <c r="C32" s="157">
        <f t="shared" si="2"/>
        <v>12200</v>
      </c>
    </row>
    <row r="33" spans="2:7" ht="15.6">
      <c r="B33" s="171" t="s">
        <v>14</v>
      </c>
      <c r="C33" s="171">
        <f>SUM(C26:C32)</f>
        <v>60997.520199999999</v>
      </c>
    </row>
    <row r="37" spans="2:7" ht="15.6">
      <c r="B37" s="121" t="s">
        <v>165</v>
      </c>
      <c r="C37" s="122" t="s">
        <v>132</v>
      </c>
      <c r="D37" s="123" t="s">
        <v>130</v>
      </c>
      <c r="E37" s="123" t="s">
        <v>116</v>
      </c>
      <c r="F37" s="123" t="s">
        <v>131</v>
      </c>
    </row>
    <row r="38" spans="2:7" ht="15.6">
      <c r="B38" s="30" t="s">
        <v>161</v>
      </c>
      <c r="C38" s="94">
        <v>100</v>
      </c>
      <c r="D38" s="94">
        <f>Tabella213[[#This Row],[Colonna2]]*12</f>
        <v>1200</v>
      </c>
      <c r="E38" s="94">
        <f>(D38*22)/100</f>
        <v>264</v>
      </c>
      <c r="F38" s="94">
        <f t="shared" ref="F38:F42" si="3">D38+E38</f>
        <v>1464</v>
      </c>
    </row>
    <row r="39" spans="2:7" ht="15.6">
      <c r="B39" s="30" t="s">
        <v>162</v>
      </c>
      <c r="C39" s="94">
        <v>2000</v>
      </c>
      <c r="D39" s="94">
        <f>Tabella213[[#This Row],[Colonna2]]*12</f>
        <v>24000</v>
      </c>
      <c r="E39" s="94">
        <v>0</v>
      </c>
      <c r="F39" s="94">
        <f t="shared" si="3"/>
        <v>24000</v>
      </c>
    </row>
    <row r="40" spans="2:7" ht="15.6">
      <c r="B40" s="30" t="s">
        <v>163</v>
      </c>
      <c r="C40" s="94">
        <f>C39*10/100</f>
        <v>200</v>
      </c>
      <c r="D40" s="94">
        <f>Tabella213[[#This Row],[Colonna2]]*12</f>
        <v>2400</v>
      </c>
      <c r="E40" s="94">
        <v>0</v>
      </c>
      <c r="F40" s="94">
        <f t="shared" si="3"/>
        <v>2400</v>
      </c>
    </row>
    <row r="41" spans="2:7" ht="31.2">
      <c r="B41" s="146" t="s">
        <v>164</v>
      </c>
      <c r="C41" s="94">
        <f>C39*10/100</f>
        <v>200</v>
      </c>
      <c r="D41" s="94">
        <f>Tabella213[[#This Row],[Colonna2]]*12</f>
        <v>2400</v>
      </c>
      <c r="E41" s="94">
        <v>0</v>
      </c>
      <c r="F41" s="94">
        <f>D41+E41</f>
        <v>2400</v>
      </c>
      <c r="G41" s="9"/>
    </row>
    <row r="42" spans="2:7" ht="15.6">
      <c r="B42" s="124" t="s">
        <v>14</v>
      </c>
      <c r="C42" s="125">
        <f>SUM(C38:C41)</f>
        <v>2500</v>
      </c>
      <c r="D42" s="125">
        <f t="shared" ref="D42" si="4">SUM(D38:D41)</f>
        <v>30000</v>
      </c>
      <c r="E42" s="125">
        <f>SUM(E38:E41)</f>
        <v>264</v>
      </c>
      <c r="F42" s="125">
        <f t="shared" si="3"/>
        <v>30264</v>
      </c>
      <c r="G42" s="9"/>
    </row>
    <row r="46" spans="2:7">
      <c r="B46" s="175"/>
      <c r="C46" s="175"/>
      <c r="D46" s="175"/>
    </row>
    <row r="47" spans="2:7" ht="15.6">
      <c r="B47" s="121" t="s">
        <v>167</v>
      </c>
      <c r="C47" s="121" t="s">
        <v>166</v>
      </c>
      <c r="D47" s="121" t="s">
        <v>14</v>
      </c>
      <c r="E47" s="178"/>
    </row>
    <row r="48" spans="2:7" ht="15.6">
      <c r="B48" s="173">
        <f>E21+E42+D10</f>
        <v>9441.1877999999997</v>
      </c>
      <c r="C48" s="174">
        <f>'C.E.'!F7</f>
        <v>3411.3419999999996</v>
      </c>
      <c r="D48" s="174">
        <f>B48-C48</f>
        <v>6029.8458000000001</v>
      </c>
      <c r="E48" s="178"/>
    </row>
    <row r="49" spans="2:5">
      <c r="B49" s="180"/>
      <c r="C49" s="180"/>
      <c r="D49" s="180"/>
    </row>
    <row r="50" spans="2:5" ht="15.6">
      <c r="B50" s="121" t="s">
        <v>168</v>
      </c>
      <c r="C50" s="121" t="s">
        <v>166</v>
      </c>
      <c r="D50" s="121" t="s">
        <v>14</v>
      </c>
      <c r="E50" s="178"/>
    </row>
    <row r="51" spans="2:5" ht="15.6">
      <c r="B51" s="173">
        <f>E21+C33+E42+Ammortamenti!D25</f>
        <v>68495.938599999994</v>
      </c>
      <c r="C51" s="174">
        <f>g</f>
        <v>15509.326800000001</v>
      </c>
      <c r="D51" s="174">
        <f>B51-C51</f>
        <v>52986.611799999991</v>
      </c>
      <c r="E51" s="178"/>
    </row>
    <row r="52" spans="2:5">
      <c r="B52" s="180"/>
      <c r="C52" s="177"/>
      <c r="D52" s="177"/>
    </row>
    <row r="53" spans="2:5" ht="15.6">
      <c r="B53" s="121" t="s">
        <v>169</v>
      </c>
      <c r="C53" s="121" t="s">
        <v>170</v>
      </c>
      <c r="D53" s="121" t="s">
        <v>14</v>
      </c>
    </row>
    <row r="54" spans="2:5" ht="15.6">
      <c r="B54" s="173">
        <f>E21+C33+E42</f>
        <v>66803.630399999995</v>
      </c>
      <c r="C54" s="174">
        <f>'C.E.'!F47</f>
        <v>19409.426299999999</v>
      </c>
      <c r="D54" s="174">
        <f>B54-C54</f>
        <v>47394.204099999995</v>
      </c>
      <c r="E54" s="179"/>
    </row>
    <row r="55" spans="2:5">
      <c r="B55" s="176"/>
      <c r="C55" s="176"/>
    </row>
  </sheetData>
  <mergeCells count="1">
    <mergeCell ref="B4:E4"/>
  </mergeCells>
  <pageMargins left="0.7" right="0.7" top="0.75" bottom="0.75" header="0.3" footer="0.3"/>
  <pageSetup paperSize="9" orientation="portrait" r:id="rId1"/>
  <ignoredErrors>
    <ignoredError sqref="E39:E42" calculatedColum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4"/>
  <sheetViews>
    <sheetView showGridLines="0" topLeftCell="A13" zoomScale="110" zoomScaleNormal="110" zoomScalePageLayoutView="110" workbookViewId="0">
      <selection activeCell="C10" sqref="C10"/>
    </sheetView>
  </sheetViews>
  <sheetFormatPr defaultColWidth="11" defaultRowHeight="14.4"/>
  <cols>
    <col min="1" max="1" width="4" customWidth="1"/>
    <col min="2" max="2" width="25.47265625" customWidth="1"/>
    <col min="3" max="3" width="21" bestFit="1" customWidth="1"/>
    <col min="4" max="4" width="35.15625" bestFit="1" customWidth="1"/>
    <col min="5" max="5" width="21" bestFit="1" customWidth="1"/>
    <col min="6" max="6" width="17.47265625" bestFit="1" customWidth="1"/>
    <col min="7" max="7" width="14" bestFit="1" customWidth="1"/>
    <col min="8" max="8" width="23.3125" customWidth="1"/>
    <col min="9" max="9" width="6" customWidth="1"/>
    <col min="10" max="10" width="5.15625" customWidth="1"/>
    <col min="11" max="11" width="8.68359375" style="1" bestFit="1" customWidth="1"/>
  </cols>
  <sheetData>
    <row r="3" spans="2:12" ht="20.100000000000001">
      <c r="B3" s="103" t="s">
        <v>17</v>
      </c>
      <c r="C3" s="93"/>
    </row>
    <row r="5" spans="2:12" ht="18.3">
      <c r="B5" s="95" t="s">
        <v>26</v>
      </c>
      <c r="D5" s="120" t="s">
        <v>27</v>
      </c>
    </row>
    <row r="6" spans="2:12" ht="20.399999999999999">
      <c r="B6" s="104" t="s">
        <v>18</v>
      </c>
      <c r="C6" s="104" t="s">
        <v>19</v>
      </c>
      <c r="D6" s="119" t="s">
        <v>20</v>
      </c>
      <c r="E6" s="119" t="s">
        <v>19</v>
      </c>
      <c r="F6" s="10" t="s">
        <v>80</v>
      </c>
      <c r="G6" s="10" t="s">
        <v>81</v>
      </c>
    </row>
    <row r="7" spans="2:12" ht="15.6">
      <c r="B7" s="38" t="s">
        <v>21</v>
      </c>
      <c r="C7" s="112">
        <f>Costi!C10</f>
        <v>16523.080000000002</v>
      </c>
      <c r="D7" s="30" t="s">
        <v>25</v>
      </c>
      <c r="E7" s="94">
        <f>I7*K7</f>
        <v>15506.099999999999</v>
      </c>
      <c r="F7" s="8">
        <f>E7*22/100</f>
        <v>3411.3419999999996</v>
      </c>
      <c r="G7" s="17">
        <f>E7+F7</f>
        <v>18917.441999999999</v>
      </c>
      <c r="H7" s="164" t="s">
        <v>155</v>
      </c>
      <c r="I7">
        <v>0.3</v>
      </c>
      <c r="J7" t="s">
        <v>156</v>
      </c>
      <c r="K7" s="1">
        <v>51687</v>
      </c>
      <c r="L7" t="s">
        <v>178</v>
      </c>
    </row>
    <row r="8" spans="2:12" ht="15.6">
      <c r="B8" s="113" t="s">
        <v>22</v>
      </c>
      <c r="C8" s="114">
        <f>Costi!D21</f>
        <v>55455.41</v>
      </c>
      <c r="D8" s="30" t="s">
        <v>96</v>
      </c>
      <c r="E8" s="94">
        <v>0.52</v>
      </c>
    </row>
    <row r="9" spans="2:12" ht="15.6">
      <c r="B9" s="38" t="s">
        <v>24</v>
      </c>
      <c r="C9" s="112">
        <f>(Costi!F39/2)/13.5</f>
        <v>888.88888888888891</v>
      </c>
      <c r="D9" s="30"/>
      <c r="E9" s="94"/>
    </row>
    <row r="10" spans="2:12" ht="15.6">
      <c r="B10" s="113" t="s">
        <v>23</v>
      </c>
      <c r="C10" s="114">
        <v>5000</v>
      </c>
      <c r="D10" s="30"/>
      <c r="E10" s="94"/>
    </row>
    <row r="11" spans="2:12" ht="15.6">
      <c r="B11" s="115" t="s">
        <v>14</v>
      </c>
      <c r="C11" s="116">
        <f>C7+C8+C9+C10</f>
        <v>77867.378888888896</v>
      </c>
      <c r="D11" s="117" t="s">
        <v>14</v>
      </c>
      <c r="E11" s="118">
        <f>SUM(E7:E10)</f>
        <v>15506.619999999999</v>
      </c>
    </row>
    <row r="14" spans="2:12" ht="20.399999999999999">
      <c r="B14" s="6" t="s">
        <v>129</v>
      </c>
      <c r="C14" s="190">
        <f>E11-C11</f>
        <v>-62360.7588888889</v>
      </c>
    </row>
    <row r="15" spans="2:12" ht="20.7" thickBot="1">
      <c r="B15" s="6"/>
      <c r="C15" s="7"/>
    </row>
    <row r="16" spans="2:12" ht="15.9" thickBot="1">
      <c r="B16" s="106" t="s">
        <v>0</v>
      </c>
      <c r="C16" s="107"/>
      <c r="D16" s="107"/>
      <c r="E16" s="108">
        <f>C14</f>
        <v>-62360.7588888889</v>
      </c>
    </row>
    <row r="17" spans="2:12" ht="15.9" thickBot="1">
      <c r="B17" s="106" t="s">
        <v>1</v>
      </c>
      <c r="C17" s="107"/>
      <c r="D17" s="107"/>
      <c r="E17" s="108">
        <f>ABS((E16*35)/100)</f>
        <v>21826.265611111117</v>
      </c>
    </row>
    <row r="18" spans="2:12" ht="15.9" thickBot="1">
      <c r="B18" s="109" t="s">
        <v>2</v>
      </c>
      <c r="C18" s="110"/>
      <c r="D18" s="110"/>
      <c r="E18" s="111">
        <f>E16-E17</f>
        <v>-84187.024500000014</v>
      </c>
    </row>
    <row r="20" spans="2:12" ht="19.8">
      <c r="B20" s="4"/>
    </row>
    <row r="21" spans="2:12" ht="20.100000000000001">
      <c r="B21" s="103" t="s">
        <v>28</v>
      </c>
      <c r="C21" s="93"/>
    </row>
    <row r="23" spans="2:12" ht="18.3">
      <c r="B23" s="95" t="s">
        <v>26</v>
      </c>
      <c r="D23" s="120" t="s">
        <v>27</v>
      </c>
      <c r="H23" s="1"/>
    </row>
    <row r="24" spans="2:12" ht="20.399999999999999">
      <c r="B24" s="104" t="s">
        <v>18</v>
      </c>
      <c r="C24" s="104" t="s">
        <v>19</v>
      </c>
      <c r="D24" s="119" t="s">
        <v>20</v>
      </c>
      <c r="E24" s="119" t="s">
        <v>19</v>
      </c>
      <c r="F24" s="10" t="s">
        <v>80</v>
      </c>
      <c r="G24" s="10" t="s">
        <v>81</v>
      </c>
    </row>
    <row r="25" spans="2:12" ht="15.6">
      <c r="B25" s="38" t="s">
        <v>33</v>
      </c>
      <c r="C25" s="112">
        <v>6000</v>
      </c>
      <c r="D25" s="30" t="s">
        <v>25</v>
      </c>
      <c r="E25" s="94">
        <f>I25*K25</f>
        <v>62571.6</v>
      </c>
      <c r="F25" s="8">
        <f>(Tabella35[[#This Row],[Colonna4]]*22)/100</f>
        <v>13765.752</v>
      </c>
      <c r="G25" s="8">
        <f>Tabella35[[#This Row],[Colonna4]]+F25</f>
        <v>76337.351999999999</v>
      </c>
      <c r="H25" s="2" t="s">
        <v>158</v>
      </c>
      <c r="I25">
        <v>0.3</v>
      </c>
      <c r="J25" s="167" t="s">
        <v>156</v>
      </c>
      <c r="K25" s="1">
        <v>208572</v>
      </c>
      <c r="L25" t="s">
        <v>179</v>
      </c>
    </row>
    <row r="26" spans="2:12" ht="15.6">
      <c r="B26" s="113" t="s">
        <v>22</v>
      </c>
      <c r="C26" s="114">
        <f>Costi!D21</f>
        <v>55455.41</v>
      </c>
      <c r="D26" s="30" t="s">
        <v>31</v>
      </c>
      <c r="E26" s="94">
        <f>I26*K26</f>
        <v>7925.34</v>
      </c>
      <c r="F26" s="8">
        <f>(Tabella35[[#This Row],[Colonna4]]*22)/100</f>
        <v>1743.5748000000001</v>
      </c>
      <c r="G26" s="8">
        <f>Tabella35[[#This Row],[Colonna4]]+F26</f>
        <v>9668.9148000000005</v>
      </c>
      <c r="H26" s="165" t="s">
        <v>159</v>
      </c>
      <c r="I26">
        <v>0.23</v>
      </c>
      <c r="J26" t="s">
        <v>156</v>
      </c>
      <c r="K26" s="1">
        <f>K7/3*2</f>
        <v>34458</v>
      </c>
      <c r="L26" t="s">
        <v>157</v>
      </c>
    </row>
    <row r="27" spans="2:12" ht="15.6">
      <c r="B27" s="38" t="s">
        <v>24</v>
      </c>
      <c r="C27" s="112">
        <f>(Costi!F39/2)/13.5</f>
        <v>888.88888888888891</v>
      </c>
      <c r="D27" s="30" t="s">
        <v>96</v>
      </c>
      <c r="E27" s="94">
        <v>0.52</v>
      </c>
    </row>
    <row r="28" spans="2:12" ht="15.6">
      <c r="B28" s="113" t="s">
        <v>23</v>
      </c>
      <c r="C28" s="114">
        <v>7000</v>
      </c>
      <c r="D28" s="30"/>
      <c r="E28" s="30"/>
      <c r="H28" s="1" t="s">
        <v>98</v>
      </c>
    </row>
    <row r="29" spans="2:12" ht="15.6">
      <c r="B29" s="115" t="s">
        <v>14</v>
      </c>
      <c r="C29" s="116">
        <f>C25+C26+C27+C28</f>
        <v>69344.298888888894</v>
      </c>
      <c r="D29" s="117" t="s">
        <v>14</v>
      </c>
      <c r="E29" s="118">
        <f>SUM(E25:E27)</f>
        <v>70497.460000000006</v>
      </c>
      <c r="F29" s="11">
        <f>F25+F26</f>
        <v>15509.326800000001</v>
      </c>
      <c r="G29" s="11">
        <f>G25+G26</f>
        <v>86006.266799999998</v>
      </c>
    </row>
    <row r="31" spans="2:12">
      <c r="F31" s="9"/>
    </row>
    <row r="32" spans="2:12" ht="20.399999999999999">
      <c r="B32" s="6" t="s">
        <v>29</v>
      </c>
      <c r="C32" s="191">
        <f>E29-C29</f>
        <v>1153.1611111111124</v>
      </c>
    </row>
    <row r="33" spans="2:12" ht="20.7" thickBot="1">
      <c r="B33" s="6"/>
      <c r="C33" s="5"/>
    </row>
    <row r="34" spans="2:12" ht="15.9" thickBot="1">
      <c r="B34" s="106" t="s">
        <v>0</v>
      </c>
      <c r="C34" s="107"/>
      <c r="D34" s="107"/>
      <c r="E34" s="108">
        <f>C32</f>
        <v>1153.1611111111124</v>
      </c>
    </row>
    <row r="35" spans="2:12" ht="15.9" thickBot="1">
      <c r="B35" s="106" t="s">
        <v>1</v>
      </c>
      <c r="C35" s="107"/>
      <c r="D35" s="107"/>
      <c r="E35" s="108">
        <f>ABS((E34*35)/100)</f>
        <v>403.60638888888934</v>
      </c>
    </row>
    <row r="36" spans="2:12" ht="15.9" thickBot="1">
      <c r="B36" s="109" t="s">
        <v>2</v>
      </c>
      <c r="C36" s="110"/>
      <c r="D36" s="110"/>
      <c r="E36" s="111">
        <f>E34-E35</f>
        <v>749.55472222222306</v>
      </c>
    </row>
    <row r="38" spans="2:12" ht="19.8">
      <c r="B38" s="4"/>
    </row>
    <row r="39" spans="2:12" ht="19.8">
      <c r="B39" s="4"/>
    </row>
    <row r="40" spans="2:12" ht="20.100000000000001">
      <c r="B40" s="103" t="s">
        <v>32</v>
      </c>
      <c r="C40" s="93"/>
    </row>
    <row r="42" spans="2:12" ht="18.3">
      <c r="B42" s="95" t="s">
        <v>26</v>
      </c>
      <c r="D42" s="120" t="s">
        <v>27</v>
      </c>
    </row>
    <row r="43" spans="2:12" ht="20.399999999999999">
      <c r="B43" s="104" t="s">
        <v>18</v>
      </c>
      <c r="C43" s="104" t="s">
        <v>19</v>
      </c>
      <c r="D43" s="119" t="s">
        <v>20</v>
      </c>
      <c r="E43" s="119" t="s">
        <v>19</v>
      </c>
      <c r="F43" s="10" t="s">
        <v>80</v>
      </c>
      <c r="G43" s="10" t="s">
        <v>81</v>
      </c>
    </row>
    <row r="44" spans="2:12" ht="15.6">
      <c r="B44" s="38" t="s">
        <v>22</v>
      </c>
      <c r="C44" s="112">
        <f>Costi!D21</f>
        <v>55455.41</v>
      </c>
      <c r="D44" s="30" t="s">
        <v>30</v>
      </c>
      <c r="E44" s="94">
        <f>I44*K44</f>
        <v>52367.1</v>
      </c>
      <c r="F44" s="17">
        <f>(Tabella356[[#This Row],[Colonna4]]*22)/100</f>
        <v>11520.761999999999</v>
      </c>
      <c r="G44" s="17">
        <f>Tabella356[[#This Row],[Colonna4]]+F44</f>
        <v>63887.861999999994</v>
      </c>
      <c r="H44" t="s">
        <v>152</v>
      </c>
      <c r="I44" s="1">
        <v>0.3</v>
      </c>
      <c r="J44" t="s">
        <v>149</v>
      </c>
      <c r="K44" s="1">
        <v>174557</v>
      </c>
      <c r="L44" t="s">
        <v>180</v>
      </c>
    </row>
    <row r="45" spans="2:12" ht="15.6">
      <c r="B45" s="113" t="s">
        <v>24</v>
      </c>
      <c r="C45" s="114">
        <f>(Costi!F39/2)/13.5</f>
        <v>888.88888888888891</v>
      </c>
      <c r="D45" s="30" t="s">
        <v>31</v>
      </c>
      <c r="E45" s="105">
        <f>I45*K45+I46*K46</f>
        <v>35857.565000000002</v>
      </c>
      <c r="F45" s="17">
        <f>(Tabella356[[#This Row],[Colonna4]]*22)/100</f>
        <v>7888.6643000000004</v>
      </c>
      <c r="G45" s="17">
        <f>Tabella356[[#This Row],[Colonna4]]+F45</f>
        <v>43746.229300000006</v>
      </c>
      <c r="H45" s="166" t="s">
        <v>151</v>
      </c>
      <c r="I45" s="1">
        <v>0.15</v>
      </c>
      <c r="J45" t="s">
        <v>149</v>
      </c>
      <c r="K45" s="1">
        <f>K26/4*3</f>
        <v>25843.5</v>
      </c>
      <c r="L45" t="s">
        <v>150</v>
      </c>
    </row>
    <row r="46" spans="2:12" ht="15.6">
      <c r="B46" s="38" t="s">
        <v>23</v>
      </c>
      <c r="C46" s="112">
        <f>5000+2000</f>
        <v>7000</v>
      </c>
      <c r="D46" s="30" t="s">
        <v>96</v>
      </c>
      <c r="E46" s="105">
        <v>0.52</v>
      </c>
      <c r="F46" s="9"/>
      <c r="G46" s="9"/>
      <c r="H46" s="164" t="s">
        <v>153</v>
      </c>
      <c r="I46" s="1">
        <v>0.23</v>
      </c>
      <c r="J46" t="s">
        <v>149</v>
      </c>
      <c r="K46" s="1">
        <f>K25/3*2</f>
        <v>139048</v>
      </c>
      <c r="L46" t="s">
        <v>154</v>
      </c>
    </row>
    <row r="47" spans="2:12" ht="15.6">
      <c r="B47" s="115" t="s">
        <v>14</v>
      </c>
      <c r="C47" s="116">
        <f>C44+C45+C46</f>
        <v>63344.298888888894</v>
      </c>
      <c r="D47" s="117" t="s">
        <v>14</v>
      </c>
      <c r="E47" s="118">
        <f>SUM(E44:E46)</f>
        <v>88225.185000000012</v>
      </c>
      <c r="F47" s="18">
        <f>F44+F45</f>
        <v>19409.426299999999</v>
      </c>
      <c r="G47" s="18">
        <f>G44+G45</f>
        <v>107634.0913</v>
      </c>
      <c r="K47" s="1" t="s">
        <v>181</v>
      </c>
    </row>
    <row r="48" spans="2:12">
      <c r="F48" s="9"/>
      <c r="G48" s="181"/>
      <c r="H48" s="181" t="s">
        <v>173</v>
      </c>
    </row>
    <row r="49" spans="2:8">
      <c r="G49" s="164" t="s">
        <v>171</v>
      </c>
      <c r="H49" s="8">
        <f>K46*I46</f>
        <v>31981.040000000001</v>
      </c>
    </row>
    <row r="50" spans="2:8" ht="20.399999999999999">
      <c r="B50" s="6" t="s">
        <v>29</v>
      </c>
      <c r="C50" s="191">
        <f>E47-C47</f>
        <v>24880.886111111118</v>
      </c>
      <c r="G50" s="164" t="s">
        <v>172</v>
      </c>
      <c r="H50" s="8">
        <f>K45*I45</f>
        <v>3876.5249999999996</v>
      </c>
    </row>
    <row r="51" spans="2:8" ht="14.7" thickBot="1">
      <c r="G51" s="182" t="s">
        <v>14</v>
      </c>
      <c r="H51" s="183">
        <f>E45</f>
        <v>35857.565000000002</v>
      </c>
    </row>
    <row r="52" spans="2:8" ht="15.9" thickBot="1">
      <c r="B52" s="106" t="s">
        <v>0</v>
      </c>
      <c r="C52" s="107"/>
      <c r="D52" s="107"/>
      <c r="E52" s="108">
        <f>C50</f>
        <v>24880.886111111118</v>
      </c>
    </row>
    <row r="53" spans="2:8" ht="15.9" thickBot="1">
      <c r="B53" s="106" t="s">
        <v>1</v>
      </c>
      <c r="C53" s="107"/>
      <c r="D53" s="107"/>
      <c r="E53" s="108">
        <f>ABS((E52*35)/100)</f>
        <v>8708.3101388888917</v>
      </c>
    </row>
    <row r="54" spans="2:8" ht="15.9" thickBot="1">
      <c r="B54" s="109" t="s">
        <v>2</v>
      </c>
      <c r="C54" s="110"/>
      <c r="D54" s="110"/>
      <c r="E54" s="111">
        <f>E52-E53</f>
        <v>16172.575972222226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4"/>
  <sheetViews>
    <sheetView topLeftCell="A61" zoomScale="65" zoomScaleNormal="65" zoomScalePageLayoutView="50" workbookViewId="0">
      <selection activeCell="J41" sqref="J41"/>
    </sheetView>
  </sheetViews>
  <sheetFormatPr defaultColWidth="11" defaultRowHeight="14.4"/>
  <cols>
    <col min="2" max="2" width="44" customWidth="1"/>
    <col min="3" max="3" width="24" bestFit="1" customWidth="1"/>
    <col min="4" max="4" width="25" bestFit="1" customWidth="1"/>
    <col min="5" max="5" width="26" bestFit="1" customWidth="1"/>
    <col min="6" max="6" width="26.83984375" bestFit="1" customWidth="1"/>
    <col min="7" max="7" width="17.3125" bestFit="1" customWidth="1"/>
    <col min="10" max="10" width="13.47265625" bestFit="1" customWidth="1"/>
  </cols>
  <sheetData>
    <row r="4" spans="2:8" ht="35.700000000000003">
      <c r="B4" s="58" t="s">
        <v>86</v>
      </c>
    </row>
    <row r="6" spans="2:8">
      <c r="D6">
        <v>15000</v>
      </c>
    </row>
    <row r="7" spans="2:8" ht="23.4" thickBot="1">
      <c r="B7" s="83" t="s">
        <v>118</v>
      </c>
      <c r="C7" s="84" t="s">
        <v>60</v>
      </c>
      <c r="D7" s="84" t="s">
        <v>87</v>
      </c>
      <c r="E7" s="84" t="s">
        <v>88</v>
      </c>
      <c r="F7" s="84" t="s">
        <v>89</v>
      </c>
      <c r="G7" s="84" t="s">
        <v>61</v>
      </c>
    </row>
    <row r="8" spans="2:8" ht="20.7" thickTop="1">
      <c r="B8" s="60" t="s">
        <v>62</v>
      </c>
      <c r="C8" s="61">
        <f>40000+15000</f>
        <v>55000</v>
      </c>
      <c r="D8" s="61">
        <v>15000</v>
      </c>
      <c r="E8" s="61">
        <v>10000</v>
      </c>
      <c r="F8" s="61">
        <f>10000</f>
        <v>10000</v>
      </c>
      <c r="G8" s="66">
        <f>C8+D8+E8+F8</f>
        <v>90000</v>
      </c>
    </row>
    <row r="9" spans="2:8" ht="20.399999999999999">
      <c r="B9" s="70"/>
      <c r="C9" s="63"/>
      <c r="D9" s="63"/>
      <c r="E9" s="63"/>
      <c r="F9" s="63"/>
      <c r="G9" s="71"/>
    </row>
    <row r="10" spans="2:8" ht="25.8">
      <c r="B10" s="75" t="s">
        <v>63</v>
      </c>
      <c r="C10" s="76"/>
      <c r="D10" s="76"/>
      <c r="E10" s="76"/>
      <c r="F10" s="76"/>
      <c r="G10" s="77"/>
    </row>
    <row r="11" spans="2:8" ht="20.399999999999999">
      <c r="B11" s="62" t="s">
        <v>64</v>
      </c>
      <c r="C11" s="63">
        <f>'C.E.'!G7/4</f>
        <v>4729.3604999999998</v>
      </c>
      <c r="D11" s="63">
        <f>C11</f>
        <v>4729.3604999999998</v>
      </c>
      <c r="E11" s="63">
        <f>D11</f>
        <v>4729.3604999999998</v>
      </c>
      <c r="F11" s="63">
        <f>E11</f>
        <v>4729.3604999999998</v>
      </c>
      <c r="G11" s="67">
        <f>C11+D11+E11+F11</f>
        <v>18917.441999999999</v>
      </c>
      <c r="H11" s="9"/>
    </row>
    <row r="12" spans="2:8" ht="20.399999999999999">
      <c r="B12" s="62" t="s">
        <v>65</v>
      </c>
      <c r="C12" s="64">
        <v>0</v>
      </c>
      <c r="D12" s="64">
        <v>0</v>
      </c>
      <c r="E12" s="64">
        <v>0</v>
      </c>
      <c r="F12" s="64">
        <v>0</v>
      </c>
      <c r="G12" s="68">
        <f>C12+D12+E12+F12</f>
        <v>0</v>
      </c>
    </row>
    <row r="13" spans="2:8" ht="20.399999999999999">
      <c r="B13" s="62" t="s">
        <v>96</v>
      </c>
      <c r="C13" s="64">
        <v>0</v>
      </c>
      <c r="D13" s="64">
        <v>0</v>
      </c>
      <c r="E13" s="64">
        <v>0</v>
      </c>
      <c r="F13" s="168">
        <f>'C.E.'!E8</f>
        <v>0.52</v>
      </c>
      <c r="G13" s="68">
        <f>SUM(Tabella9[[#This Row],[I trimestre ]:[IV  trimestre ]])</f>
        <v>0.52</v>
      </c>
    </row>
    <row r="14" spans="2:8" ht="20.399999999999999">
      <c r="B14" s="70"/>
      <c r="C14" s="63"/>
      <c r="D14" s="63"/>
      <c r="E14" s="63"/>
      <c r="F14" s="63"/>
      <c r="G14" s="71"/>
    </row>
    <row r="15" spans="2:8" ht="20.399999999999999">
      <c r="B15" s="74" t="s">
        <v>66</v>
      </c>
      <c r="C15" s="65">
        <f>C11+C12+C13</f>
        <v>4729.3604999999998</v>
      </c>
      <c r="D15" s="65">
        <f t="shared" ref="D15:F15" si="0">D11+D12+D13</f>
        <v>4729.3604999999998</v>
      </c>
      <c r="E15" s="65">
        <f t="shared" si="0"/>
        <v>4729.3604999999998</v>
      </c>
      <c r="F15" s="65">
        <f t="shared" si="0"/>
        <v>4729.8805000000002</v>
      </c>
      <c r="G15" s="69">
        <f>C15+D15+E15+F15</f>
        <v>18917.962</v>
      </c>
    </row>
    <row r="16" spans="2:8" ht="20.399999999999999">
      <c r="B16" s="207"/>
      <c r="C16" s="208"/>
      <c r="D16" s="208"/>
      <c r="E16" s="208"/>
      <c r="F16" s="208"/>
      <c r="G16" s="209"/>
    </row>
    <row r="19" spans="2:10" ht="26.7" thickBot="1">
      <c r="B19" s="80" t="s">
        <v>119</v>
      </c>
      <c r="C19" s="81" t="s">
        <v>60</v>
      </c>
      <c r="D19" s="81" t="s">
        <v>121</v>
      </c>
      <c r="E19" s="81" t="s">
        <v>122</v>
      </c>
      <c r="F19" s="81" t="s">
        <v>123</v>
      </c>
      <c r="G19" s="82" t="s">
        <v>61</v>
      </c>
    </row>
    <row r="20" spans="2:10" ht="26.1" thickTop="1">
      <c r="B20" s="210" t="s">
        <v>120</v>
      </c>
      <c r="C20" s="211"/>
      <c r="D20" s="211"/>
      <c r="E20" s="211"/>
      <c r="F20" s="211"/>
      <c r="G20" s="212"/>
    </row>
    <row r="21" spans="2:10" ht="20.399999999999999">
      <c r="B21" s="70" t="s">
        <v>71</v>
      </c>
      <c r="C21" s="63">
        <f>Costi!C8</f>
        <v>1500</v>
      </c>
      <c r="D21" s="63">
        <v>0</v>
      </c>
      <c r="E21" s="63">
        <v>0</v>
      </c>
      <c r="F21" s="63">
        <v>0</v>
      </c>
      <c r="G21" s="73">
        <f>SUM(C21:F21)</f>
        <v>1500</v>
      </c>
      <c r="I21" s="9"/>
    </row>
    <row r="22" spans="2:10" ht="20.399999999999999">
      <c r="B22" s="70" t="s">
        <v>9</v>
      </c>
      <c r="C22" s="63">
        <v>3000</v>
      </c>
      <c r="D22" s="63">
        <f>12000/4</f>
        <v>3000</v>
      </c>
      <c r="E22" s="63">
        <f>12000/4</f>
        <v>3000</v>
      </c>
      <c r="F22" s="63">
        <f>12000/4</f>
        <v>3000</v>
      </c>
      <c r="G22" s="73">
        <f t="shared" ref="G22:G28" si="1">SUM(C22:F22)</f>
        <v>12000</v>
      </c>
      <c r="I22" s="9"/>
    </row>
    <row r="23" spans="2:10" ht="20.399999999999999">
      <c r="B23" s="70" t="s">
        <v>72</v>
      </c>
      <c r="C23" s="63">
        <f>Costi!C7</f>
        <v>10000</v>
      </c>
      <c r="D23" s="63">
        <v>0</v>
      </c>
      <c r="E23" s="63">
        <v>0</v>
      </c>
      <c r="F23" s="63">
        <f>Costi!E11/4</f>
        <v>0</v>
      </c>
      <c r="G23" s="73">
        <f t="shared" si="1"/>
        <v>10000</v>
      </c>
    </row>
    <row r="24" spans="2:10" ht="20.399999999999999">
      <c r="B24" s="70" t="s">
        <v>73</v>
      </c>
      <c r="C24" s="63">
        <v>91.41</v>
      </c>
      <c r="D24" s="63">
        <v>0</v>
      </c>
      <c r="E24" s="63">
        <v>0</v>
      </c>
      <c r="F24" s="63">
        <v>0</v>
      </c>
      <c r="G24" s="73">
        <f t="shared" si="1"/>
        <v>91.41</v>
      </c>
    </row>
    <row r="25" spans="2:10" ht="20.399999999999999">
      <c r="B25" s="70" t="s">
        <v>74</v>
      </c>
      <c r="C25" s="63">
        <f>Costi!D17/3</f>
        <v>200</v>
      </c>
      <c r="D25" s="63">
        <f t="shared" ref="D25:E28" si="2">C25</f>
        <v>200</v>
      </c>
      <c r="E25" s="63">
        <f t="shared" si="2"/>
        <v>200</v>
      </c>
      <c r="F25" s="63">
        <f>Costi!D16</f>
        <v>1500</v>
      </c>
      <c r="G25" s="73">
        <f t="shared" si="1"/>
        <v>2100</v>
      </c>
    </row>
    <row r="26" spans="2:10" ht="40.799999999999997">
      <c r="B26" s="70" t="s">
        <v>75</v>
      </c>
      <c r="C26" s="63">
        <f>Costi!D19/4</f>
        <v>250</v>
      </c>
      <c r="D26" s="63">
        <f t="shared" si="2"/>
        <v>250</v>
      </c>
      <c r="E26" s="63">
        <f t="shared" si="2"/>
        <v>250</v>
      </c>
      <c r="F26" s="63">
        <f>E26</f>
        <v>250</v>
      </c>
      <c r="G26" s="73">
        <f>SUM(C26:F26)</f>
        <v>1000</v>
      </c>
    </row>
    <row r="27" spans="2:10" ht="20.399999999999999">
      <c r="B27" s="70" t="s">
        <v>76</v>
      </c>
      <c r="C27" s="63">
        <f>Costi!D20/4</f>
        <v>2500</v>
      </c>
      <c r="D27" s="63">
        <f t="shared" si="2"/>
        <v>2500</v>
      </c>
      <c r="E27" s="63">
        <f t="shared" si="2"/>
        <v>2500</v>
      </c>
      <c r="F27" s="63">
        <f>E27</f>
        <v>2500</v>
      </c>
      <c r="G27" s="73">
        <f t="shared" si="1"/>
        <v>10000</v>
      </c>
    </row>
    <row r="28" spans="2:10" ht="20.399999999999999">
      <c r="B28" s="70" t="s">
        <v>82</v>
      </c>
      <c r="C28" s="63">
        <f>Costi!D15/4</f>
        <v>7566</v>
      </c>
      <c r="D28" s="63">
        <f t="shared" si="2"/>
        <v>7566</v>
      </c>
      <c r="E28" s="63">
        <f t="shared" si="2"/>
        <v>7566</v>
      </c>
      <c r="F28" s="63">
        <f>E28</f>
        <v>7566</v>
      </c>
      <c r="G28" s="73">
        <f t="shared" si="1"/>
        <v>30264</v>
      </c>
      <c r="J28" s="3"/>
    </row>
    <row r="29" spans="2:10" ht="20.399999999999999">
      <c r="B29" s="70"/>
      <c r="C29" s="63"/>
      <c r="D29" s="63"/>
      <c r="E29" s="63"/>
      <c r="F29" s="63"/>
      <c r="G29" s="73"/>
    </row>
    <row r="30" spans="2:10" ht="20.399999999999999">
      <c r="B30" s="72" t="s">
        <v>83</v>
      </c>
      <c r="C30" s="73">
        <f>SUM(C21:C28)</f>
        <v>25107.41</v>
      </c>
      <c r="D30" s="73">
        <f>SUM(D21:D28)</f>
        <v>13516</v>
      </c>
      <c r="E30" s="73">
        <f>SUM(E21:E28)</f>
        <v>13516</v>
      </c>
      <c r="F30" s="73">
        <f>SUM(F21:F28)</f>
        <v>14816</v>
      </c>
      <c r="G30" s="73">
        <f>SUM(C30:F30)</f>
        <v>66955.41</v>
      </c>
      <c r="H30" s="3"/>
    </row>
    <row r="31" spans="2:10" ht="20.399999999999999">
      <c r="B31" s="70" t="s">
        <v>85</v>
      </c>
      <c r="C31" s="63">
        <f>(C30*35)/100</f>
        <v>8787.593499999999</v>
      </c>
      <c r="D31" s="63">
        <f t="shared" ref="D31:F31" si="3">(D30*35)/100</f>
        <v>4730.6000000000004</v>
      </c>
      <c r="E31" s="63">
        <f t="shared" si="3"/>
        <v>4730.6000000000004</v>
      </c>
      <c r="F31" s="63">
        <f t="shared" si="3"/>
        <v>5185.6000000000004</v>
      </c>
      <c r="G31" s="73">
        <f>SUM(C31:F31)</f>
        <v>23434.393499999998</v>
      </c>
      <c r="I31" s="3"/>
    </row>
    <row r="32" spans="2:10" ht="20.399999999999999">
      <c r="B32" s="72" t="s">
        <v>84</v>
      </c>
      <c r="C32" s="73">
        <f>C30+C31</f>
        <v>33895.003499999999</v>
      </c>
      <c r="D32" s="73">
        <f>D30+D31</f>
        <v>18246.599999999999</v>
      </c>
      <c r="E32" s="73">
        <f>E30+E31</f>
        <v>18246.599999999999</v>
      </c>
      <c r="F32" s="73">
        <f>F30+F31</f>
        <v>20001.599999999999</v>
      </c>
      <c r="G32" s="73">
        <f>G30+G31</f>
        <v>90389.803500000009</v>
      </c>
    </row>
    <row r="35" spans="2:10" ht="14.7" thickBot="1"/>
    <row r="36" spans="2:10" ht="26.7" thickBot="1">
      <c r="B36" s="85"/>
      <c r="C36" s="86" t="s">
        <v>60</v>
      </c>
      <c r="D36" s="86" t="s">
        <v>124</v>
      </c>
      <c r="E36" s="86" t="s">
        <v>125</v>
      </c>
      <c r="F36" s="86" t="s">
        <v>126</v>
      </c>
      <c r="G36" s="86" t="s">
        <v>14</v>
      </c>
    </row>
    <row r="37" spans="2:10" ht="20.7" thickBot="1">
      <c r="B37" s="204"/>
      <c r="C37" s="205"/>
      <c r="D37" s="205"/>
      <c r="E37" s="205"/>
      <c r="F37" s="206"/>
      <c r="G37" s="71"/>
    </row>
    <row r="38" spans="2:10" ht="26.1" thickBot="1">
      <c r="B38" s="213"/>
      <c r="C38" s="214"/>
      <c r="D38" s="214"/>
      <c r="E38" s="214"/>
      <c r="F38" s="215"/>
      <c r="G38" s="71"/>
    </row>
    <row r="39" spans="2:10" ht="26.1" thickBot="1">
      <c r="B39" s="90" t="s">
        <v>63</v>
      </c>
      <c r="C39" s="91">
        <f>C15</f>
        <v>4729.3604999999998</v>
      </c>
      <c r="D39" s="91">
        <f>D15</f>
        <v>4729.3604999999998</v>
      </c>
      <c r="E39" s="91">
        <f>E15</f>
        <v>4729.3604999999998</v>
      </c>
      <c r="F39" s="91">
        <f>F15</f>
        <v>4729.8805000000002</v>
      </c>
      <c r="G39" s="92">
        <f>SUM(C39:F39)</f>
        <v>18917.962</v>
      </c>
      <c r="J39" s="3"/>
    </row>
    <row r="40" spans="2:10" ht="26.1" thickBot="1">
      <c r="B40" s="90" t="s">
        <v>77</v>
      </c>
      <c r="C40" s="91">
        <f>C32</f>
        <v>33895.003499999999</v>
      </c>
      <c r="D40" s="91">
        <f>D32</f>
        <v>18246.599999999999</v>
      </c>
      <c r="E40" s="91">
        <f>E32</f>
        <v>18246.599999999999</v>
      </c>
      <c r="F40" s="91">
        <f>F32</f>
        <v>20001.599999999999</v>
      </c>
      <c r="G40" s="92">
        <f t="shared" ref="G40:G44" si="4">SUM(C40:F40)</f>
        <v>90389.803500000009</v>
      </c>
    </row>
    <row r="41" spans="2:10" ht="20.7" thickBot="1">
      <c r="B41" s="222"/>
      <c r="C41" s="223"/>
      <c r="D41" s="223"/>
      <c r="E41" s="223"/>
      <c r="F41" s="223"/>
      <c r="G41" s="224"/>
    </row>
    <row r="42" spans="2:10" ht="23.4" thickBot="1">
      <c r="B42" s="12" t="s">
        <v>78</v>
      </c>
      <c r="C42" s="78">
        <f>C39-C40</f>
        <v>-29165.643</v>
      </c>
      <c r="D42" s="78">
        <f>D39-D40</f>
        <v>-13517.2395</v>
      </c>
      <c r="E42" s="78">
        <f>E39-E40</f>
        <v>-13517.2395</v>
      </c>
      <c r="F42" s="78">
        <f>F39-F40</f>
        <v>-15271.719499999999</v>
      </c>
      <c r="G42" s="92">
        <f t="shared" si="4"/>
        <v>-71471.84150000001</v>
      </c>
    </row>
    <row r="43" spans="2:10" ht="20.7" thickBot="1">
      <c r="B43" s="13" t="s">
        <v>62</v>
      </c>
      <c r="C43" s="78">
        <f>C8</f>
        <v>55000</v>
      </c>
      <c r="D43" s="78">
        <f>D8</f>
        <v>15000</v>
      </c>
      <c r="E43" s="78">
        <f>E8</f>
        <v>10000</v>
      </c>
      <c r="F43" s="78">
        <f>F8</f>
        <v>10000</v>
      </c>
      <c r="G43" s="92">
        <f t="shared" si="4"/>
        <v>90000</v>
      </c>
    </row>
    <row r="44" spans="2:10" ht="20.7" thickBot="1">
      <c r="B44" s="14"/>
      <c r="C44" s="15"/>
      <c r="D44" s="15"/>
      <c r="E44" s="15"/>
      <c r="F44" s="15"/>
      <c r="G44" s="92"/>
    </row>
    <row r="45" spans="2:10" ht="41.1" thickBot="1">
      <c r="B45" s="16" t="s">
        <v>79</v>
      </c>
      <c r="C45" s="79">
        <f>C42+C43</f>
        <v>25834.357</v>
      </c>
      <c r="D45" s="79">
        <f>D42+D43</f>
        <v>1482.7605000000003</v>
      </c>
      <c r="E45" s="79">
        <f>E42+E43</f>
        <v>-3517.2394999999997</v>
      </c>
      <c r="F45" s="79">
        <f>F42+F43</f>
        <v>-5271.7194999999992</v>
      </c>
      <c r="G45" s="89">
        <f>SUM(C45:F45)</f>
        <v>18528.158500000001</v>
      </c>
      <c r="J45" s="3"/>
    </row>
    <row r="46" spans="2:10" ht="20.7" thickBot="1">
      <c r="B46" s="216"/>
      <c r="C46" s="217"/>
      <c r="D46" s="217"/>
      <c r="E46" s="217"/>
      <c r="F46" s="218"/>
    </row>
    <row r="53" spans="2:7" ht="35.700000000000003">
      <c r="B53" s="58" t="s">
        <v>90</v>
      </c>
    </row>
    <row r="56" spans="2:7" ht="23.4" thickBot="1">
      <c r="B56" s="83" t="s">
        <v>118</v>
      </c>
      <c r="C56" s="84" t="s">
        <v>60</v>
      </c>
      <c r="D56" s="84" t="s">
        <v>87</v>
      </c>
      <c r="E56" s="84" t="s">
        <v>88</v>
      </c>
      <c r="F56" s="84" t="s">
        <v>89</v>
      </c>
      <c r="G56" s="84" t="s">
        <v>61</v>
      </c>
    </row>
    <row r="57" spans="2:7" ht="20.7" thickTop="1">
      <c r="B57" s="60" t="s">
        <v>62</v>
      </c>
      <c r="C57" s="61">
        <f>G45</f>
        <v>18528.158500000001</v>
      </c>
      <c r="D57" s="61">
        <v>0</v>
      </c>
      <c r="E57" s="61">
        <v>0</v>
      </c>
      <c r="F57" s="61">
        <v>0</v>
      </c>
      <c r="G57" s="66">
        <f>C57+D57+E57+F57</f>
        <v>18528.158500000001</v>
      </c>
    </row>
    <row r="58" spans="2:7" ht="20.399999999999999">
      <c r="B58" s="70"/>
      <c r="C58" s="63"/>
      <c r="D58" s="63"/>
      <c r="E58" s="63"/>
      <c r="F58" s="63"/>
      <c r="G58" s="71"/>
    </row>
    <row r="59" spans="2:7" ht="25.8">
      <c r="B59" s="75" t="s">
        <v>63</v>
      </c>
      <c r="C59" s="76"/>
      <c r="D59" s="76"/>
      <c r="E59" s="76"/>
      <c r="F59" s="76"/>
      <c r="G59" s="77"/>
    </row>
    <row r="60" spans="2:7" ht="20.399999999999999">
      <c r="B60" s="62" t="s">
        <v>64</v>
      </c>
      <c r="C60" s="63">
        <f>'C.E.'!G29/4</f>
        <v>21501.566699999999</v>
      </c>
      <c r="D60" s="63">
        <f>C60</f>
        <v>21501.566699999999</v>
      </c>
      <c r="E60" s="63">
        <f>D60</f>
        <v>21501.566699999999</v>
      </c>
      <c r="F60" s="63">
        <f>E60</f>
        <v>21501.566699999999</v>
      </c>
      <c r="G60" s="67">
        <f>C60+D60+E60+F60</f>
        <v>86006.266799999998</v>
      </c>
    </row>
    <row r="61" spans="2:7" ht="20.399999999999999">
      <c r="B61" s="62" t="s">
        <v>65</v>
      </c>
      <c r="C61" s="64">
        <v>0</v>
      </c>
      <c r="D61" s="64">
        <v>0</v>
      </c>
      <c r="E61" s="64">
        <v>0</v>
      </c>
      <c r="F61" s="64">
        <v>0</v>
      </c>
      <c r="G61" s="68">
        <f>C61+D61+E61+F61</f>
        <v>0</v>
      </c>
    </row>
    <row r="62" spans="2:7" ht="20.399999999999999">
      <c r="B62" s="62" t="s">
        <v>96</v>
      </c>
      <c r="C62" s="64">
        <v>0</v>
      </c>
      <c r="D62" s="64">
        <v>0</v>
      </c>
      <c r="E62" s="64">
        <v>0</v>
      </c>
      <c r="F62" s="168">
        <f>'C.E.'!E27</f>
        <v>0.52</v>
      </c>
      <c r="G62" s="68">
        <f>SUM(Tabella911[[#This Row],[I trimestre ]:[IV  trimestre ]])</f>
        <v>0.52</v>
      </c>
    </row>
    <row r="63" spans="2:7" ht="20.399999999999999">
      <c r="B63" s="70"/>
      <c r="C63" s="63"/>
      <c r="D63" s="63"/>
      <c r="E63" s="63"/>
      <c r="F63" s="63"/>
      <c r="G63" s="71"/>
    </row>
    <row r="64" spans="2:7" ht="20.399999999999999">
      <c r="B64" s="74" t="s">
        <v>66</v>
      </c>
      <c r="C64" s="65">
        <f>C60+C61+C62</f>
        <v>21501.566699999999</v>
      </c>
      <c r="D64" s="65">
        <f t="shared" ref="D64:F64" si="5">D60+D61+D62</f>
        <v>21501.566699999999</v>
      </c>
      <c r="E64" s="65">
        <f t="shared" si="5"/>
        <v>21501.566699999999</v>
      </c>
      <c r="F64" s="65">
        <f t="shared" si="5"/>
        <v>21502.0867</v>
      </c>
      <c r="G64" s="69">
        <f>C64+D64+E64+F64</f>
        <v>86006.786800000002</v>
      </c>
    </row>
    <row r="65" spans="2:8" ht="20.399999999999999">
      <c r="B65" s="219"/>
      <c r="C65" s="220"/>
      <c r="D65" s="220"/>
      <c r="E65" s="220"/>
      <c r="F65" s="220"/>
      <c r="G65" s="221"/>
    </row>
    <row r="68" spans="2:8" ht="24" thickBot="1">
      <c r="B68" s="80" t="s">
        <v>119</v>
      </c>
      <c r="C68" s="81" t="s">
        <v>60</v>
      </c>
      <c r="D68" s="81" t="s">
        <v>67</v>
      </c>
      <c r="E68" s="81" t="s">
        <v>68</v>
      </c>
      <c r="F68" s="81" t="s">
        <v>69</v>
      </c>
      <c r="G68" s="82" t="s">
        <v>61</v>
      </c>
    </row>
    <row r="69" spans="2:8" ht="26.1" thickTop="1">
      <c r="B69" s="210" t="s">
        <v>70</v>
      </c>
      <c r="C69" s="211"/>
      <c r="D69" s="211"/>
      <c r="E69" s="211"/>
      <c r="F69" s="211"/>
      <c r="G69" s="212"/>
    </row>
    <row r="70" spans="2:8" ht="20.399999999999999">
      <c r="B70" s="70" t="s">
        <v>9</v>
      </c>
      <c r="C70" s="63">
        <v>3000</v>
      </c>
      <c r="D70" s="63">
        <f>12000/4</f>
        <v>3000</v>
      </c>
      <c r="E70" s="63">
        <f>12000/4</f>
        <v>3000</v>
      </c>
      <c r="F70" s="63">
        <f>12000/4</f>
        <v>3000</v>
      </c>
      <c r="G70" s="73">
        <f t="shared" ref="G70:G76" si="6">SUM(C70:F70)</f>
        <v>12000</v>
      </c>
    </row>
    <row r="71" spans="2:8" ht="20.399999999999999">
      <c r="B71" s="70" t="s">
        <v>73</v>
      </c>
      <c r="C71" s="63">
        <v>91.41</v>
      </c>
      <c r="D71" s="63">
        <v>0</v>
      </c>
      <c r="E71" s="63">
        <v>0</v>
      </c>
      <c r="F71" s="63">
        <v>0</v>
      </c>
      <c r="G71" s="73">
        <f t="shared" si="6"/>
        <v>91.41</v>
      </c>
    </row>
    <row r="72" spans="2:8" ht="20.399999999999999">
      <c r="B72" s="70" t="s">
        <v>74</v>
      </c>
      <c r="C72" s="63">
        <f>Costi!D17/3</f>
        <v>200</v>
      </c>
      <c r="D72" s="63">
        <f t="shared" ref="D72:E75" si="7">C72</f>
        <v>200</v>
      </c>
      <c r="E72" s="63">
        <f t="shared" si="7"/>
        <v>200</v>
      </c>
      <c r="F72" s="63">
        <f>Costi!D16</f>
        <v>1500</v>
      </c>
      <c r="G72" s="73">
        <f t="shared" si="6"/>
        <v>2100</v>
      </c>
    </row>
    <row r="73" spans="2:8" ht="40.799999999999997">
      <c r="B73" s="70" t="s">
        <v>75</v>
      </c>
      <c r="C73" s="63">
        <f>Costi!D19/4</f>
        <v>250</v>
      </c>
      <c r="D73" s="63">
        <f t="shared" si="7"/>
        <v>250</v>
      </c>
      <c r="E73" s="63">
        <f t="shared" si="7"/>
        <v>250</v>
      </c>
      <c r="F73" s="63">
        <f>E73</f>
        <v>250</v>
      </c>
      <c r="G73" s="73">
        <f t="shared" si="6"/>
        <v>1000</v>
      </c>
    </row>
    <row r="74" spans="2:8" ht="20.399999999999999">
      <c r="B74" s="70" t="s">
        <v>76</v>
      </c>
      <c r="C74" s="63">
        <f>Costi!D20/4</f>
        <v>2500</v>
      </c>
      <c r="D74" s="63">
        <f t="shared" si="7"/>
        <v>2500</v>
      </c>
      <c r="E74" s="63">
        <f t="shared" si="7"/>
        <v>2500</v>
      </c>
      <c r="F74" s="63">
        <f>E74</f>
        <v>2500</v>
      </c>
      <c r="G74" s="73">
        <f t="shared" si="6"/>
        <v>10000</v>
      </c>
    </row>
    <row r="75" spans="2:8" ht="20.399999999999999">
      <c r="B75" s="70" t="s">
        <v>82</v>
      </c>
      <c r="C75" s="63">
        <f>Costi!D15/4</f>
        <v>7566</v>
      </c>
      <c r="D75" s="63">
        <f t="shared" si="7"/>
        <v>7566</v>
      </c>
      <c r="E75" s="63">
        <f t="shared" si="7"/>
        <v>7566</v>
      </c>
      <c r="F75" s="63">
        <f>E75</f>
        <v>7566</v>
      </c>
      <c r="G75" s="73">
        <f t="shared" si="6"/>
        <v>30264</v>
      </c>
    </row>
    <row r="76" spans="2:8" ht="20.399999999999999">
      <c r="B76" s="70" t="s">
        <v>92</v>
      </c>
      <c r="C76" s="63">
        <f>'C.E.'!C25</f>
        <v>6000</v>
      </c>
      <c r="D76" s="63">
        <v>0</v>
      </c>
      <c r="E76" s="63">
        <v>0</v>
      </c>
      <c r="F76" s="63">
        <v>0</v>
      </c>
      <c r="G76" s="73">
        <f t="shared" si="6"/>
        <v>6000</v>
      </c>
    </row>
    <row r="77" spans="2:8" ht="20.399999999999999">
      <c r="B77" s="70"/>
      <c r="C77" s="63"/>
      <c r="D77" s="63"/>
      <c r="E77" s="63"/>
      <c r="F77" s="63"/>
      <c r="G77" s="73"/>
    </row>
    <row r="78" spans="2:8" ht="20.399999999999999">
      <c r="B78" s="88" t="s">
        <v>83</v>
      </c>
      <c r="C78" s="73">
        <f>SUM(C70:C76)</f>
        <v>19607.41</v>
      </c>
      <c r="D78" s="73">
        <f>SUM(D70:D76)</f>
        <v>13516</v>
      </c>
      <c r="E78" s="73">
        <f>SUM(E70:E76)</f>
        <v>13516</v>
      </c>
      <c r="F78" s="73">
        <f>SUM(F70:F76)</f>
        <v>14816</v>
      </c>
      <c r="G78" s="73">
        <f>SUM(C78:F78)</f>
        <v>61455.41</v>
      </c>
      <c r="H78" s="59"/>
    </row>
    <row r="79" spans="2:8" ht="20.399999999999999">
      <c r="B79" s="87" t="s">
        <v>85</v>
      </c>
      <c r="C79" s="63">
        <f>(C78*35)/100</f>
        <v>6862.5934999999999</v>
      </c>
      <c r="D79" s="63">
        <f>(D78*35)/100</f>
        <v>4730.6000000000004</v>
      </c>
      <c r="E79" s="63">
        <f>(E78*35)/100</f>
        <v>4730.6000000000004</v>
      </c>
      <c r="F79" s="63">
        <f>(F78*35)/100</f>
        <v>5185.6000000000004</v>
      </c>
      <c r="G79" s="73">
        <f>(G78*35)/100</f>
        <v>21509.393500000002</v>
      </c>
    </row>
    <row r="80" spans="2:8" ht="20.399999999999999">
      <c r="B80" s="70" t="s">
        <v>91</v>
      </c>
      <c r="C80" s="63">
        <f>'Stato Patrimoniale'!E18/5</f>
        <v>10000</v>
      </c>
      <c r="D80" s="63">
        <v>0</v>
      </c>
      <c r="E80" s="63">
        <v>0</v>
      </c>
      <c r="F80" s="63">
        <v>0</v>
      </c>
      <c r="G80" s="73">
        <f>C80</f>
        <v>10000</v>
      </c>
    </row>
    <row r="81" spans="2:7" ht="20.399999999999999">
      <c r="B81" s="72" t="s">
        <v>84</v>
      </c>
      <c r="C81" s="73">
        <f>C78+C79+C80</f>
        <v>36470.003499999999</v>
      </c>
      <c r="D81" s="73">
        <f>D78+D79+D80</f>
        <v>18246.599999999999</v>
      </c>
      <c r="E81" s="73">
        <f>E78+E79+E80</f>
        <v>18246.599999999999</v>
      </c>
      <c r="F81" s="73">
        <f>F78+F79+F80</f>
        <v>20001.599999999999</v>
      </c>
      <c r="G81" s="73">
        <f>SUM(C81:F81)</f>
        <v>92964.803500000009</v>
      </c>
    </row>
    <row r="84" spans="2:7" ht="14.7" thickBot="1"/>
    <row r="85" spans="2:7" ht="26.7" thickBot="1">
      <c r="B85" s="85"/>
      <c r="C85" s="86" t="s">
        <v>60</v>
      </c>
      <c r="D85" s="86" t="s">
        <v>124</v>
      </c>
      <c r="E85" s="86" t="s">
        <v>125</v>
      </c>
      <c r="F85" s="86" t="s">
        <v>126</v>
      </c>
      <c r="G85" s="86" t="s">
        <v>14</v>
      </c>
    </row>
    <row r="86" spans="2:7" ht="20.7" thickBot="1">
      <c r="B86" s="204"/>
      <c r="C86" s="205"/>
      <c r="D86" s="205"/>
      <c r="E86" s="205"/>
      <c r="F86" s="206"/>
      <c r="G86" s="71"/>
    </row>
    <row r="87" spans="2:7" ht="26.1" thickBot="1">
      <c r="B87" s="213"/>
      <c r="C87" s="214"/>
      <c r="D87" s="214"/>
      <c r="E87" s="214"/>
      <c r="F87" s="215"/>
      <c r="G87" s="71"/>
    </row>
    <row r="88" spans="2:7" ht="26.1" thickBot="1">
      <c r="B88" s="90" t="s">
        <v>63</v>
      </c>
      <c r="C88" s="91">
        <f>C64</f>
        <v>21501.566699999999</v>
      </c>
      <c r="D88" s="91">
        <f>D64</f>
        <v>21501.566699999999</v>
      </c>
      <c r="E88" s="91">
        <f>E64</f>
        <v>21501.566699999999</v>
      </c>
      <c r="F88" s="91">
        <f>F64</f>
        <v>21502.0867</v>
      </c>
      <c r="G88" s="92">
        <f>C88+D88+E88+F88</f>
        <v>86006.786800000002</v>
      </c>
    </row>
    <row r="89" spans="2:7" ht="26.1" thickBot="1">
      <c r="B89" s="90" t="s">
        <v>77</v>
      </c>
      <c r="C89" s="91">
        <f>C81</f>
        <v>36470.003499999999</v>
      </c>
      <c r="D89" s="91">
        <f>D81</f>
        <v>18246.599999999999</v>
      </c>
      <c r="E89" s="91">
        <f>E81</f>
        <v>18246.599999999999</v>
      </c>
      <c r="F89" s="91">
        <f>F81</f>
        <v>20001.599999999999</v>
      </c>
      <c r="G89" s="92">
        <f>C89+D89+E89+F89</f>
        <v>92964.803500000009</v>
      </c>
    </row>
    <row r="90" spans="2:7" ht="20.7" thickBot="1">
      <c r="B90" s="204"/>
      <c r="C90" s="205"/>
      <c r="D90" s="205"/>
      <c r="E90" s="205"/>
      <c r="F90" s="206"/>
      <c r="G90" s="73">
        <f>C90+D90+E90+F90</f>
        <v>0</v>
      </c>
    </row>
    <row r="91" spans="2:7" ht="23.4" thickBot="1">
      <c r="B91" s="12" t="s">
        <v>78</v>
      </c>
      <c r="C91" s="78">
        <f>C88-C89</f>
        <v>-14968.436799999999</v>
      </c>
      <c r="D91" s="78">
        <f>D88-D89</f>
        <v>3254.9667000000009</v>
      </c>
      <c r="E91" s="78">
        <f>E88-E89</f>
        <v>3254.9667000000009</v>
      </c>
      <c r="F91" s="78">
        <f>F88-F89</f>
        <v>1500.4867000000013</v>
      </c>
      <c r="G91" s="73">
        <f>C91+D91+E91+F91</f>
        <v>-6958.0166999999965</v>
      </c>
    </row>
    <row r="92" spans="2:7" ht="20.7" thickBot="1">
      <c r="B92" s="13" t="s">
        <v>62</v>
      </c>
      <c r="C92" s="78">
        <f>C57</f>
        <v>18528.158500000001</v>
      </c>
      <c r="D92" s="78">
        <f>D57</f>
        <v>0</v>
      </c>
      <c r="E92" s="78">
        <f>E57</f>
        <v>0</v>
      </c>
      <c r="F92" s="78">
        <f>F57</f>
        <v>0</v>
      </c>
      <c r="G92" s="73">
        <f>C92+D92+E92+F92</f>
        <v>18528.158500000001</v>
      </c>
    </row>
    <row r="93" spans="2:7" ht="20.7" thickBot="1">
      <c r="B93" s="14"/>
      <c r="C93" s="15"/>
      <c r="D93" s="15"/>
      <c r="E93" s="15"/>
      <c r="F93" s="15"/>
      <c r="G93" s="73"/>
    </row>
    <row r="94" spans="2:7" ht="41.1" thickBot="1">
      <c r="B94" s="16" t="s">
        <v>79</v>
      </c>
      <c r="C94" s="79">
        <f>C91+C92</f>
        <v>3559.7217000000019</v>
      </c>
      <c r="D94" s="79">
        <f>D91+D92</f>
        <v>3254.9667000000009</v>
      </c>
      <c r="E94" s="79">
        <f>E91+E92</f>
        <v>3254.9667000000009</v>
      </c>
      <c r="F94" s="79">
        <f>F91+F92</f>
        <v>1500.4867000000013</v>
      </c>
      <c r="G94" s="89">
        <f>SUM(C94:F94)</f>
        <v>11570.141800000005</v>
      </c>
    </row>
    <row r="95" spans="2:7" ht="20.7" thickBot="1">
      <c r="B95" s="216"/>
      <c r="C95" s="217"/>
      <c r="D95" s="217"/>
      <c r="E95" s="217"/>
      <c r="F95" s="218"/>
    </row>
    <row r="103" spans="2:7" ht="35.700000000000003">
      <c r="B103" s="58" t="s">
        <v>94</v>
      </c>
    </row>
    <row r="106" spans="2:7" ht="23.4" thickBot="1">
      <c r="B106" s="83" t="s">
        <v>118</v>
      </c>
      <c r="C106" s="84" t="s">
        <v>60</v>
      </c>
      <c r="D106" s="84" t="s">
        <v>87</v>
      </c>
      <c r="E106" s="84" t="s">
        <v>88</v>
      </c>
      <c r="F106" s="84" t="s">
        <v>89</v>
      </c>
      <c r="G106" s="84" t="s">
        <v>61</v>
      </c>
    </row>
    <row r="107" spans="2:7" ht="20.7" thickTop="1">
      <c r="B107" s="60" t="s">
        <v>62</v>
      </c>
      <c r="C107" s="61">
        <f>G94</f>
        <v>11570.141800000005</v>
      </c>
      <c r="D107" s="61">
        <v>0</v>
      </c>
      <c r="E107" s="61">
        <v>0</v>
      </c>
      <c r="F107" s="61">
        <v>0</v>
      </c>
      <c r="G107" s="66">
        <f>C107+D107+E107+F107</f>
        <v>11570.141800000005</v>
      </c>
    </row>
    <row r="108" spans="2:7" ht="20.399999999999999">
      <c r="B108" s="70"/>
      <c r="C108" s="63"/>
      <c r="D108" s="63"/>
      <c r="E108" s="63"/>
      <c r="F108" s="63"/>
      <c r="G108" s="71"/>
    </row>
    <row r="109" spans="2:7" ht="25.8">
      <c r="B109" s="75" t="s">
        <v>63</v>
      </c>
      <c r="C109" s="76"/>
      <c r="D109" s="76"/>
      <c r="E109" s="76"/>
      <c r="F109" s="76"/>
      <c r="G109" s="77"/>
    </row>
    <row r="110" spans="2:7" ht="20.399999999999999">
      <c r="B110" s="62" t="s">
        <v>64</v>
      </c>
      <c r="C110" s="63">
        <f>'C.E.'!G47/4</f>
        <v>26908.522825</v>
      </c>
      <c r="D110" s="63">
        <f>C110</f>
        <v>26908.522825</v>
      </c>
      <c r="E110" s="63">
        <f>D110</f>
        <v>26908.522825</v>
      </c>
      <c r="F110" s="63">
        <f>E110</f>
        <v>26908.522825</v>
      </c>
      <c r="G110" s="67">
        <f>C110+D110+E110+F110</f>
        <v>107634.0913</v>
      </c>
    </row>
    <row r="111" spans="2:7" ht="20.399999999999999">
      <c r="B111" s="62" t="s">
        <v>65</v>
      </c>
      <c r="C111" s="64">
        <v>0</v>
      </c>
      <c r="D111" s="64">
        <v>0</v>
      </c>
      <c r="E111" s="64">
        <v>0</v>
      </c>
      <c r="F111" s="64">
        <v>0</v>
      </c>
      <c r="G111" s="68">
        <f>C111+D111+E111+F111</f>
        <v>0</v>
      </c>
    </row>
    <row r="112" spans="2:7" ht="20.399999999999999">
      <c r="B112" s="62" t="s">
        <v>96</v>
      </c>
      <c r="C112" s="64">
        <v>0</v>
      </c>
      <c r="D112" s="64">
        <v>0</v>
      </c>
      <c r="E112" s="64">
        <v>0</v>
      </c>
      <c r="F112" s="168">
        <f>'C.E.'!E46</f>
        <v>0.52</v>
      </c>
      <c r="G112" s="68">
        <f>SUM(Tabella91112[[#This Row],[I trimestre ]:[IV  trimestre ]])</f>
        <v>0.52</v>
      </c>
    </row>
    <row r="113" spans="2:7" ht="20.399999999999999">
      <c r="B113" s="70"/>
      <c r="C113" s="63"/>
      <c r="D113" s="63"/>
      <c r="E113" s="63"/>
      <c r="F113" s="63"/>
      <c r="G113" s="71"/>
    </row>
    <row r="114" spans="2:7" ht="20.399999999999999">
      <c r="B114" s="74" t="s">
        <v>66</v>
      </c>
      <c r="C114" s="65">
        <f>C110+C111+C112</f>
        <v>26908.522825</v>
      </c>
      <c r="D114" s="65">
        <f t="shared" ref="D114:F114" si="8">D110+D111+D112</f>
        <v>26908.522825</v>
      </c>
      <c r="E114" s="65">
        <f t="shared" si="8"/>
        <v>26908.522825</v>
      </c>
      <c r="F114" s="65">
        <f t="shared" si="8"/>
        <v>26909.042825</v>
      </c>
      <c r="G114" s="69">
        <f>C114+D114+E114+F114</f>
        <v>107634.6113</v>
      </c>
    </row>
    <row r="115" spans="2:7" ht="20.399999999999999">
      <c r="B115" s="219"/>
      <c r="C115" s="220"/>
      <c r="D115" s="220"/>
      <c r="E115" s="220"/>
      <c r="F115" s="220"/>
      <c r="G115" s="221"/>
    </row>
    <row r="118" spans="2:7" ht="24" thickBot="1">
      <c r="B118" s="80" t="s">
        <v>119</v>
      </c>
      <c r="C118" s="81" t="s">
        <v>60</v>
      </c>
      <c r="D118" s="81" t="s">
        <v>67</v>
      </c>
      <c r="E118" s="81" t="s">
        <v>68</v>
      </c>
      <c r="F118" s="81" t="s">
        <v>69</v>
      </c>
      <c r="G118" s="82" t="s">
        <v>61</v>
      </c>
    </row>
    <row r="119" spans="2:7" ht="26.1" thickTop="1">
      <c r="B119" s="210" t="s">
        <v>70</v>
      </c>
      <c r="C119" s="211"/>
      <c r="D119" s="211"/>
      <c r="E119" s="211"/>
      <c r="F119" s="211"/>
      <c r="G119" s="212"/>
    </row>
    <row r="120" spans="2:7" ht="20.399999999999999">
      <c r="B120" s="70" t="s">
        <v>9</v>
      </c>
      <c r="C120" s="63">
        <v>3000</v>
      </c>
      <c r="D120" s="63">
        <f>12000/4</f>
        <v>3000</v>
      </c>
      <c r="E120" s="63">
        <f>12000/4</f>
        <v>3000</v>
      </c>
      <c r="F120" s="63">
        <f>12000/4</f>
        <v>3000</v>
      </c>
      <c r="G120" s="73">
        <f t="shared" ref="G120:G125" si="9">SUM(C120:F120)</f>
        <v>12000</v>
      </c>
    </row>
    <row r="121" spans="2:7" ht="20.399999999999999">
      <c r="B121" s="70" t="s">
        <v>73</v>
      </c>
      <c r="C121" s="63">
        <v>91.41</v>
      </c>
      <c r="D121" s="63">
        <v>0</v>
      </c>
      <c r="E121" s="63">
        <v>0</v>
      </c>
      <c r="F121" s="63">
        <v>0</v>
      </c>
      <c r="G121" s="73">
        <f t="shared" si="9"/>
        <v>91.41</v>
      </c>
    </row>
    <row r="122" spans="2:7" ht="20.399999999999999">
      <c r="B122" s="70" t="s">
        <v>74</v>
      </c>
      <c r="C122" s="63">
        <f>Costi!D17/3</f>
        <v>200</v>
      </c>
      <c r="D122" s="63">
        <f t="shared" ref="D122:E125" si="10">C122</f>
        <v>200</v>
      </c>
      <c r="E122" s="63">
        <f t="shared" si="10"/>
        <v>200</v>
      </c>
      <c r="F122" s="63">
        <f>Costi!D16</f>
        <v>1500</v>
      </c>
      <c r="G122" s="73">
        <f t="shared" si="9"/>
        <v>2100</v>
      </c>
    </row>
    <row r="123" spans="2:7" ht="40.799999999999997">
      <c r="B123" s="70" t="s">
        <v>75</v>
      </c>
      <c r="C123" s="63">
        <f>Costi!D19/4</f>
        <v>250</v>
      </c>
      <c r="D123" s="63">
        <f t="shared" si="10"/>
        <v>250</v>
      </c>
      <c r="E123" s="63">
        <f t="shared" si="10"/>
        <v>250</v>
      </c>
      <c r="F123" s="63">
        <f>E123</f>
        <v>250</v>
      </c>
      <c r="G123" s="73">
        <f t="shared" si="9"/>
        <v>1000</v>
      </c>
    </row>
    <row r="124" spans="2:7" ht="20.399999999999999">
      <c r="B124" s="70" t="s">
        <v>76</v>
      </c>
      <c r="C124" s="63">
        <f>Costi!D20/4</f>
        <v>2500</v>
      </c>
      <c r="D124" s="63">
        <f t="shared" si="10"/>
        <v>2500</v>
      </c>
      <c r="E124" s="63">
        <f t="shared" si="10"/>
        <v>2500</v>
      </c>
      <c r="F124" s="63">
        <f>E124</f>
        <v>2500</v>
      </c>
      <c r="G124" s="73">
        <f t="shared" si="9"/>
        <v>10000</v>
      </c>
    </row>
    <row r="125" spans="2:7" ht="20.399999999999999">
      <c r="B125" s="70" t="s">
        <v>82</v>
      </c>
      <c r="C125" s="63">
        <f>Costi!D15/4</f>
        <v>7566</v>
      </c>
      <c r="D125" s="63">
        <f t="shared" si="10"/>
        <v>7566</v>
      </c>
      <c r="E125" s="63">
        <f t="shared" si="10"/>
        <v>7566</v>
      </c>
      <c r="F125" s="63">
        <f>E125</f>
        <v>7566</v>
      </c>
      <c r="G125" s="73">
        <f t="shared" si="9"/>
        <v>30264</v>
      </c>
    </row>
    <row r="126" spans="2:7" ht="20.399999999999999">
      <c r="B126" s="70"/>
      <c r="C126" s="63"/>
      <c r="D126" s="63"/>
      <c r="E126" s="63"/>
      <c r="F126" s="63"/>
      <c r="G126" s="73"/>
    </row>
    <row r="127" spans="2:7" ht="20.399999999999999">
      <c r="B127" s="88" t="s">
        <v>83</v>
      </c>
      <c r="C127" s="73">
        <f>SUM(C120:C125)</f>
        <v>13607.41</v>
      </c>
      <c r="D127" s="73">
        <f>SUM(D120:D125)</f>
        <v>13516</v>
      </c>
      <c r="E127" s="73">
        <f>SUM(E120:E125)</f>
        <v>13516</v>
      </c>
      <c r="F127" s="73">
        <f>SUM(F120:F125)</f>
        <v>14816</v>
      </c>
      <c r="G127" s="73">
        <f>SUM(C127:F127)</f>
        <v>55455.41</v>
      </c>
    </row>
    <row r="128" spans="2:7" ht="20.399999999999999">
      <c r="B128" s="70" t="s">
        <v>85</v>
      </c>
      <c r="C128" s="63">
        <f>(C127*35)/100</f>
        <v>4762.5934999999999</v>
      </c>
      <c r="D128" s="63">
        <f>(D127*35)/100</f>
        <v>4730.6000000000004</v>
      </c>
      <c r="E128" s="63">
        <f>(E127*35)/100</f>
        <v>4730.6000000000004</v>
      </c>
      <c r="F128" s="63">
        <f>(F127*35)/100</f>
        <v>5185.6000000000004</v>
      </c>
      <c r="G128" s="73">
        <f>(G127*35)/100</f>
        <v>19409.393500000002</v>
      </c>
    </row>
    <row r="129" spans="2:7" ht="20.399999999999999">
      <c r="B129" s="87" t="s">
        <v>91</v>
      </c>
      <c r="C129" s="63">
        <f>C80</f>
        <v>10000</v>
      </c>
      <c r="D129" s="63">
        <v>0</v>
      </c>
      <c r="E129" s="63">
        <v>0</v>
      </c>
      <c r="F129" s="63">
        <v>0</v>
      </c>
      <c r="G129" s="73">
        <f>C129</f>
        <v>10000</v>
      </c>
    </row>
    <row r="130" spans="2:7" ht="20.399999999999999">
      <c r="B130" s="88" t="s">
        <v>84</v>
      </c>
      <c r="C130" s="73">
        <f>C127+C128+C129</f>
        <v>28370.003499999999</v>
      </c>
      <c r="D130" s="73">
        <f>D127+D128+D129</f>
        <v>18246.599999999999</v>
      </c>
      <c r="E130" s="73">
        <f>E127+E128+E129</f>
        <v>18246.599999999999</v>
      </c>
      <c r="F130" s="73">
        <f>F127+F128+F129</f>
        <v>20001.599999999999</v>
      </c>
      <c r="G130" s="73">
        <f>SUM(C130:F130)</f>
        <v>84864.803499999995</v>
      </c>
    </row>
    <row r="133" spans="2:7" ht="14.7" thickBot="1"/>
    <row r="134" spans="2:7" ht="26.7" thickBot="1">
      <c r="B134" s="85"/>
      <c r="C134" s="86" t="s">
        <v>60</v>
      </c>
      <c r="D134" s="86" t="s">
        <v>124</v>
      </c>
      <c r="E134" s="86" t="s">
        <v>125</v>
      </c>
      <c r="F134" s="86" t="s">
        <v>126</v>
      </c>
      <c r="G134" s="86" t="s">
        <v>14</v>
      </c>
    </row>
    <row r="135" spans="2:7" ht="20.7" thickBot="1">
      <c r="B135" s="204"/>
      <c r="C135" s="205"/>
      <c r="D135" s="205"/>
      <c r="E135" s="205"/>
      <c r="F135" s="206"/>
      <c r="G135" s="71"/>
    </row>
    <row r="136" spans="2:7" ht="26.1" thickBot="1">
      <c r="B136" s="213"/>
      <c r="C136" s="214"/>
      <c r="D136" s="214"/>
      <c r="E136" s="214"/>
      <c r="F136" s="215"/>
      <c r="G136" s="71"/>
    </row>
    <row r="137" spans="2:7" ht="26.1" thickBot="1">
      <c r="B137" s="90" t="s">
        <v>63</v>
      </c>
      <c r="C137" s="91">
        <f>C114</f>
        <v>26908.522825</v>
      </c>
      <c r="D137" s="91">
        <f>D114</f>
        <v>26908.522825</v>
      </c>
      <c r="E137" s="91">
        <f>E114</f>
        <v>26908.522825</v>
      </c>
      <c r="F137" s="91">
        <f>F114</f>
        <v>26909.042825</v>
      </c>
      <c r="G137" s="92">
        <f>C137+D137+E137+F137</f>
        <v>107634.6113</v>
      </c>
    </row>
    <row r="138" spans="2:7" ht="26.1" thickBot="1">
      <c r="B138" s="90" t="s">
        <v>77</v>
      </c>
      <c r="C138" s="91">
        <f>C130</f>
        <v>28370.003499999999</v>
      </c>
      <c r="D138" s="91">
        <f>D130</f>
        <v>18246.599999999999</v>
      </c>
      <c r="E138" s="91">
        <f>E130</f>
        <v>18246.599999999999</v>
      </c>
      <c r="F138" s="91">
        <f>F130</f>
        <v>20001.599999999999</v>
      </c>
      <c r="G138" s="92">
        <f>C138+D138+E138+F138</f>
        <v>84864.803499999995</v>
      </c>
    </row>
    <row r="139" spans="2:7" ht="20.7" thickBot="1">
      <c r="B139" s="204"/>
      <c r="C139" s="205"/>
      <c r="D139" s="205"/>
      <c r="E139" s="205"/>
      <c r="F139" s="206"/>
      <c r="G139" s="73">
        <f>C139+D139+E139+F139</f>
        <v>0</v>
      </c>
    </row>
    <row r="140" spans="2:7" ht="23.4" thickBot="1">
      <c r="B140" s="12" t="s">
        <v>78</v>
      </c>
      <c r="C140" s="78">
        <f>C137-C138</f>
        <v>-1461.4806749999989</v>
      </c>
      <c r="D140" s="78">
        <f>D137-D138</f>
        <v>8661.9228250000015</v>
      </c>
      <c r="E140" s="78">
        <f>E137-E138</f>
        <v>8661.9228250000015</v>
      </c>
      <c r="F140" s="78">
        <f>F137-F138</f>
        <v>6907.4428250000019</v>
      </c>
      <c r="G140" s="73">
        <f>C140+D140+E140+F140</f>
        <v>22769.807800000006</v>
      </c>
    </row>
    <row r="141" spans="2:7" ht="20.7" thickBot="1">
      <c r="B141" s="13" t="s">
        <v>62</v>
      </c>
      <c r="C141" s="78">
        <f>C107</f>
        <v>11570.141800000005</v>
      </c>
      <c r="D141" s="78">
        <f>D107</f>
        <v>0</v>
      </c>
      <c r="E141" s="78">
        <f>E107</f>
        <v>0</v>
      </c>
      <c r="F141" s="78">
        <f>F107</f>
        <v>0</v>
      </c>
      <c r="G141" s="73">
        <f>C141+D141+E141+F141</f>
        <v>11570.141800000005</v>
      </c>
    </row>
    <row r="142" spans="2:7" ht="20.7" thickBot="1">
      <c r="B142" s="14"/>
      <c r="C142" s="15"/>
      <c r="D142" s="15"/>
      <c r="E142" s="15"/>
      <c r="F142" s="15"/>
      <c r="G142" s="73">
        <f>G141+G140</f>
        <v>34339.949600000007</v>
      </c>
    </row>
    <row r="143" spans="2:7" ht="41.1" thickBot="1">
      <c r="B143" s="16" t="s">
        <v>79</v>
      </c>
      <c r="C143" s="79">
        <f>C140+C141</f>
        <v>10108.661125000006</v>
      </c>
      <c r="D143" s="79">
        <f>D140+D141</f>
        <v>8661.9228250000015</v>
      </c>
      <c r="E143" s="79">
        <f>E140+E141</f>
        <v>8661.9228250000015</v>
      </c>
      <c r="F143" s="79">
        <f>F140+F141</f>
        <v>6907.4428250000019</v>
      </c>
      <c r="G143" s="89">
        <f>SUM(C143:F143)</f>
        <v>34339.949600000007</v>
      </c>
    </row>
    <row r="144" spans="2:7" ht="20.7" thickBot="1">
      <c r="B144" s="216"/>
      <c r="C144" s="217"/>
      <c r="D144" s="217"/>
      <c r="E144" s="217"/>
      <c r="F144" s="218"/>
    </row>
  </sheetData>
  <mergeCells count="18">
    <mergeCell ref="B136:F136"/>
    <mergeCell ref="B139:F139"/>
    <mergeCell ref="B144:F144"/>
    <mergeCell ref="B87:F87"/>
    <mergeCell ref="B90:F90"/>
    <mergeCell ref="B95:F95"/>
    <mergeCell ref="B115:G115"/>
    <mergeCell ref="B119:G119"/>
    <mergeCell ref="B135:F135"/>
    <mergeCell ref="B86:F86"/>
    <mergeCell ref="B16:G16"/>
    <mergeCell ref="B20:G20"/>
    <mergeCell ref="B37:F37"/>
    <mergeCell ref="B38:F38"/>
    <mergeCell ref="B46:F46"/>
    <mergeCell ref="B65:G65"/>
    <mergeCell ref="B69:G69"/>
    <mergeCell ref="B41:G41"/>
  </mergeCells>
  <pageMargins left="0.7" right="0.7" top="0.75" bottom="0.75" header="0.3" footer="0.3"/>
  <pageSetup paperSize="9" orientation="portrait" horizontalDpi="360" verticalDpi="36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6"/>
  <sheetViews>
    <sheetView showGridLines="0" topLeftCell="A37" workbookViewId="0">
      <selection activeCell="E72" sqref="E72"/>
    </sheetView>
  </sheetViews>
  <sheetFormatPr defaultColWidth="11" defaultRowHeight="14.4"/>
  <cols>
    <col min="2" max="2" width="30.15625" bestFit="1" customWidth="1"/>
    <col min="3" max="3" width="17" bestFit="1" customWidth="1"/>
    <col min="4" max="4" width="41.47265625" bestFit="1" customWidth="1"/>
    <col min="5" max="5" width="13.83984375" bestFit="1" customWidth="1"/>
    <col min="7" max="7" width="14" bestFit="1" customWidth="1"/>
  </cols>
  <sheetData>
    <row r="2" spans="2:8" ht="25.8">
      <c r="B2" s="229" t="s">
        <v>57</v>
      </c>
      <c r="C2" s="229"/>
    </row>
    <row r="4" spans="2:8" ht="16" customHeight="1">
      <c r="B4" s="225" t="s">
        <v>34</v>
      </c>
      <c r="C4" s="226"/>
      <c r="D4" s="227" t="s">
        <v>50</v>
      </c>
      <c r="E4" s="228"/>
    </row>
    <row r="5" spans="2:8" ht="16" customHeight="1">
      <c r="B5" s="44"/>
      <c r="C5" s="44"/>
      <c r="D5" s="45"/>
      <c r="E5" s="45"/>
    </row>
    <row r="6" spans="2:8" ht="15.6">
      <c r="B6" s="161" t="s">
        <v>35</v>
      </c>
      <c r="C6" s="161" t="s">
        <v>36</v>
      </c>
      <c r="D6" s="162" t="s">
        <v>35</v>
      </c>
      <c r="E6" s="162" t="s">
        <v>36</v>
      </c>
    </row>
    <row r="7" spans="2:8" ht="15.6">
      <c r="B7" s="34"/>
      <c r="C7" s="34"/>
      <c r="D7" s="46"/>
      <c r="E7" s="46"/>
    </row>
    <row r="8" spans="2:8" ht="15.6">
      <c r="B8" s="39" t="s">
        <v>37</v>
      </c>
      <c r="C8" s="40">
        <v>10000</v>
      </c>
      <c r="D8" s="50" t="s">
        <v>38</v>
      </c>
      <c r="E8" s="51">
        <v>40000</v>
      </c>
    </row>
    <row r="9" spans="2:8" ht="15.6">
      <c r="B9" s="35"/>
      <c r="C9" s="36"/>
      <c r="D9" s="47"/>
      <c r="E9" s="48"/>
    </row>
    <row r="10" spans="2:8" ht="15.6">
      <c r="B10" s="39" t="s">
        <v>46</v>
      </c>
      <c r="C10" s="40">
        <v>5000</v>
      </c>
      <c r="D10" s="50" t="s">
        <v>39</v>
      </c>
      <c r="E10" s="52">
        <v>0</v>
      </c>
      <c r="F10" s="8"/>
      <c r="G10" t="s">
        <v>147</v>
      </c>
    </row>
    <row r="11" spans="2:8" ht="15.6">
      <c r="B11" s="35"/>
      <c r="C11" s="36"/>
      <c r="D11" s="47"/>
      <c r="E11" s="49"/>
      <c r="F11" s="8"/>
    </row>
    <row r="12" spans="2:8" ht="15.6">
      <c r="B12" s="39" t="s">
        <v>40</v>
      </c>
      <c r="C12" s="41">
        <v>0</v>
      </c>
      <c r="D12" s="50" t="s">
        <v>47</v>
      </c>
      <c r="E12" s="53">
        <v>3333.33</v>
      </c>
      <c r="F12" s="8"/>
    </row>
    <row r="13" spans="2:8" ht="15.6">
      <c r="B13" s="35"/>
      <c r="C13" s="37"/>
      <c r="D13" s="47"/>
      <c r="E13" s="49"/>
      <c r="F13" s="8"/>
    </row>
    <row r="14" spans="2:8" ht="15.6">
      <c r="B14" s="39" t="s">
        <v>41</v>
      </c>
      <c r="C14" s="41">
        <v>0</v>
      </c>
      <c r="D14" s="50" t="s">
        <v>48</v>
      </c>
      <c r="E14" s="53">
        <v>1666.66</v>
      </c>
      <c r="F14" s="8"/>
    </row>
    <row r="15" spans="2:8" ht="15.6">
      <c r="B15" s="35"/>
      <c r="C15" s="37"/>
      <c r="D15" s="47"/>
      <c r="E15" s="49"/>
      <c r="F15" s="8"/>
    </row>
    <row r="16" spans="2:8" ht="17.7">
      <c r="B16" s="39" t="s">
        <v>49</v>
      </c>
      <c r="C16" s="40">
        <f>Flussi!G45</f>
        <v>18528.158500000001</v>
      </c>
      <c r="D16" s="50" t="s">
        <v>42</v>
      </c>
      <c r="E16" s="51">
        <f>(Costi!F39/2)/13.5</f>
        <v>888.88888888888891</v>
      </c>
      <c r="F16" s="8"/>
      <c r="G16" t="s">
        <v>148</v>
      </c>
      <c r="H16" s="163"/>
    </row>
    <row r="17" spans="2:8" ht="17.7">
      <c r="B17" s="35"/>
      <c r="C17" s="36"/>
      <c r="D17" s="47"/>
      <c r="E17" s="48"/>
      <c r="F17" s="8"/>
      <c r="H17" s="163"/>
    </row>
    <row r="18" spans="2:8" ht="17.7">
      <c r="B18" s="39"/>
      <c r="C18" s="40"/>
      <c r="D18" s="50" t="s">
        <v>43</v>
      </c>
      <c r="E18" s="51">
        <v>50000</v>
      </c>
      <c r="F18" s="8"/>
      <c r="H18" s="163"/>
    </row>
    <row r="19" spans="2:8" ht="17.7">
      <c r="B19" s="35"/>
      <c r="C19" s="36"/>
      <c r="D19" s="47"/>
      <c r="E19" s="48"/>
      <c r="F19" s="8"/>
      <c r="H19" s="163"/>
    </row>
    <row r="20" spans="2:8" ht="17.7">
      <c r="B20" s="39"/>
      <c r="C20" s="41"/>
      <c r="D20" s="50" t="s">
        <v>44</v>
      </c>
      <c r="E20" s="51">
        <f>'C.E.'!C14</f>
        <v>-62360.7588888889</v>
      </c>
      <c r="F20" s="8"/>
      <c r="H20" s="163"/>
    </row>
    <row r="21" spans="2:8" ht="15.6">
      <c r="B21" s="35"/>
      <c r="C21" s="37"/>
      <c r="D21" s="47"/>
      <c r="E21" s="48"/>
      <c r="F21" s="8"/>
    </row>
    <row r="22" spans="2:8" ht="15.6">
      <c r="B22" s="39"/>
      <c r="C22" s="41"/>
      <c r="D22" s="50"/>
      <c r="E22" s="53"/>
      <c r="F22" s="8"/>
    </row>
    <row r="23" spans="2:8" ht="15" customHeight="1">
      <c r="B23" s="28" t="s">
        <v>45</v>
      </c>
      <c r="C23" s="43">
        <f>SUM(C8:C21)</f>
        <v>33528.158500000005</v>
      </c>
      <c r="D23" s="33" t="s">
        <v>45</v>
      </c>
      <c r="E23" s="55">
        <f>SUM(E8:E21)</f>
        <v>33528.119999999995</v>
      </c>
      <c r="F23" s="8"/>
    </row>
    <row r="24" spans="2:8" ht="15" customHeight="1">
      <c r="B24" s="42"/>
      <c r="C24" s="42"/>
      <c r="D24" s="54"/>
      <c r="E24" s="54"/>
    </row>
    <row r="26" spans="2:8" ht="20.399999999999999">
      <c r="C26" s="57" t="s">
        <v>99</v>
      </c>
      <c r="D26" s="56">
        <f>C23-E23</f>
        <v>3.8500000009662472E-2</v>
      </c>
    </row>
    <row r="29" spans="2:8" ht="25.8">
      <c r="B29" s="229" t="s">
        <v>58</v>
      </c>
      <c r="C29" s="229"/>
    </row>
    <row r="31" spans="2:8" ht="18.3">
      <c r="B31" s="225" t="s">
        <v>34</v>
      </c>
      <c r="C31" s="226"/>
      <c r="D31" s="227" t="s">
        <v>50</v>
      </c>
      <c r="E31" s="228"/>
    </row>
    <row r="32" spans="2:8" ht="15.6">
      <c r="B32" s="44"/>
      <c r="C32" s="44"/>
      <c r="D32" s="45"/>
      <c r="E32" s="45"/>
    </row>
    <row r="33" spans="2:5" ht="15.6">
      <c r="B33" s="28" t="s">
        <v>35</v>
      </c>
      <c r="C33" s="28" t="s">
        <v>36</v>
      </c>
      <c r="D33" s="33" t="s">
        <v>35</v>
      </c>
      <c r="E33" s="33" t="s">
        <v>36</v>
      </c>
    </row>
    <row r="34" spans="2:5" ht="15.6">
      <c r="B34" s="34"/>
      <c r="C34" s="34"/>
      <c r="D34" s="46"/>
      <c r="E34" s="46"/>
    </row>
    <row r="35" spans="2:5" ht="15.6">
      <c r="B35" s="39" t="s">
        <v>37</v>
      </c>
      <c r="C35" s="40">
        <v>10000</v>
      </c>
      <c r="D35" s="50" t="s">
        <v>38</v>
      </c>
      <c r="E35" s="51">
        <v>40000</v>
      </c>
    </row>
    <row r="36" spans="2:5" ht="15.6">
      <c r="B36" s="35"/>
      <c r="C36" s="36"/>
      <c r="D36" s="47"/>
      <c r="E36" s="48"/>
    </row>
    <row r="37" spans="2:5" ht="15.6">
      <c r="B37" s="39" t="s">
        <v>46</v>
      </c>
      <c r="C37" s="40">
        <v>5000</v>
      </c>
      <c r="D37" s="50" t="s">
        <v>39</v>
      </c>
      <c r="E37" s="51">
        <v>0</v>
      </c>
    </row>
    <row r="38" spans="2:5" ht="15.6">
      <c r="B38" s="35"/>
      <c r="C38" s="36"/>
      <c r="D38" s="47"/>
      <c r="E38" s="49"/>
    </row>
    <row r="39" spans="2:5" ht="15.6">
      <c r="B39" s="39" t="s">
        <v>40</v>
      </c>
      <c r="C39" s="41">
        <v>0</v>
      </c>
      <c r="D39" s="50" t="s">
        <v>47</v>
      </c>
      <c r="E39" s="51">
        <f>3333.33*2</f>
        <v>6666.66</v>
      </c>
    </row>
    <row r="40" spans="2:5" ht="15.6">
      <c r="B40" s="35"/>
      <c r="C40" s="37"/>
      <c r="D40" s="47"/>
      <c r="E40" s="49"/>
    </row>
    <row r="41" spans="2:5" ht="15.6">
      <c r="B41" s="39" t="s">
        <v>41</v>
      </c>
      <c r="C41" s="41">
        <v>0</v>
      </c>
      <c r="D41" s="50" t="s">
        <v>48</v>
      </c>
      <c r="E41" s="51">
        <f>1666.666*2</f>
        <v>3333.3319999999999</v>
      </c>
    </row>
    <row r="42" spans="2:5" ht="15.6">
      <c r="B42" s="35"/>
      <c r="C42" s="37"/>
      <c r="D42" s="47"/>
      <c r="E42" s="49"/>
    </row>
    <row r="43" spans="2:5" ht="15.6">
      <c r="B43" s="39" t="s">
        <v>49</v>
      </c>
      <c r="C43" s="40">
        <f>Flussi!G94</f>
        <v>11570.141800000005</v>
      </c>
      <c r="D43" s="50" t="s">
        <v>42</v>
      </c>
      <c r="E43" s="51">
        <f>E16*2</f>
        <v>1777.7777777777778</v>
      </c>
    </row>
    <row r="44" spans="2:5" ht="15.6">
      <c r="B44" s="35"/>
      <c r="C44" s="36"/>
      <c r="D44" s="47"/>
      <c r="E44" s="48"/>
    </row>
    <row r="45" spans="2:5" ht="15.6">
      <c r="B45" s="39" t="s">
        <v>92</v>
      </c>
      <c r="C45" s="40">
        <v>6000</v>
      </c>
      <c r="D45" s="50" t="s">
        <v>43</v>
      </c>
      <c r="E45" s="51">
        <v>40000</v>
      </c>
    </row>
    <row r="46" spans="2:5" ht="15.6">
      <c r="B46" s="35"/>
      <c r="C46" s="36"/>
      <c r="D46" s="47"/>
      <c r="E46" s="48"/>
    </row>
    <row r="47" spans="2:5" ht="15.6">
      <c r="B47" s="39"/>
      <c r="C47" s="41"/>
      <c r="D47" s="50" t="s">
        <v>93</v>
      </c>
      <c r="E47" s="51">
        <v>2000</v>
      </c>
    </row>
    <row r="48" spans="2:5" ht="15.6">
      <c r="B48" s="35"/>
      <c r="C48" s="37"/>
      <c r="D48" s="47"/>
      <c r="E48" s="48"/>
    </row>
    <row r="49" spans="2:5" ht="15.6">
      <c r="B49" s="39"/>
      <c r="C49" s="41"/>
      <c r="D49" s="50" t="s">
        <v>44</v>
      </c>
      <c r="E49" s="51">
        <f>'C.E.'!C32</f>
        <v>1153.1611111111124</v>
      </c>
    </row>
    <row r="50" spans="2:5" ht="15.6">
      <c r="B50" s="35"/>
      <c r="C50" s="37"/>
      <c r="D50" s="47"/>
      <c r="E50" s="48"/>
    </row>
    <row r="51" spans="2:5" ht="15.6">
      <c r="B51" s="42"/>
      <c r="C51" s="42"/>
      <c r="D51" s="54" t="s">
        <v>95</v>
      </c>
      <c r="E51" s="51">
        <f>E20</f>
        <v>-62360.7588888889</v>
      </c>
    </row>
    <row r="52" spans="2:5" ht="15.6">
      <c r="B52" s="35"/>
      <c r="C52" s="37"/>
      <c r="D52" s="47"/>
      <c r="E52" s="48"/>
    </row>
    <row r="53" spans="2:5" ht="15.6">
      <c r="B53" s="28" t="s">
        <v>45</v>
      </c>
      <c r="C53" s="43">
        <f>SUM(C35:C49)</f>
        <v>32570.141800000005</v>
      </c>
      <c r="D53" s="33" t="s">
        <v>45</v>
      </c>
      <c r="E53" s="55">
        <f>SUM(E35:E51)</f>
        <v>32570.171999999991</v>
      </c>
    </row>
    <row r="54" spans="2:5" ht="15.6">
      <c r="B54" s="35"/>
      <c r="C54" s="37"/>
      <c r="D54" s="47"/>
      <c r="E54" s="48"/>
    </row>
    <row r="56" spans="2:5" ht="20.399999999999999">
      <c r="C56" s="57" t="s">
        <v>99</v>
      </c>
      <c r="D56" s="56">
        <f>C53-E53</f>
        <v>-3.0199999986507464E-2</v>
      </c>
    </row>
    <row r="58" spans="2:5" ht="25.8">
      <c r="B58" s="229" t="s">
        <v>59</v>
      </c>
      <c r="C58" s="229"/>
    </row>
    <row r="60" spans="2:5" ht="18.3">
      <c r="B60" s="225" t="s">
        <v>34</v>
      </c>
      <c r="C60" s="226"/>
      <c r="D60" s="227" t="s">
        <v>50</v>
      </c>
      <c r="E60" s="228"/>
    </row>
    <row r="61" spans="2:5" ht="15.6">
      <c r="B61" s="44"/>
      <c r="C61" s="44"/>
      <c r="D61" s="45"/>
      <c r="E61" s="45"/>
    </row>
    <row r="62" spans="2:5" ht="15.6">
      <c r="B62" s="28" t="s">
        <v>35</v>
      </c>
      <c r="C62" s="28" t="s">
        <v>36</v>
      </c>
      <c r="D62" s="33" t="s">
        <v>35</v>
      </c>
      <c r="E62" s="33" t="s">
        <v>36</v>
      </c>
    </row>
    <row r="63" spans="2:5" ht="15.6">
      <c r="B63" s="34"/>
      <c r="C63" s="34"/>
      <c r="D63" s="46"/>
      <c r="E63" s="46"/>
    </row>
    <row r="64" spans="2:5" ht="15.6">
      <c r="B64" s="39" t="s">
        <v>37</v>
      </c>
      <c r="C64" s="40">
        <v>10000</v>
      </c>
      <c r="D64" s="50" t="s">
        <v>38</v>
      </c>
      <c r="E64" s="51">
        <v>40000</v>
      </c>
    </row>
    <row r="65" spans="2:5" ht="15.6">
      <c r="B65" s="35"/>
      <c r="C65" s="36"/>
      <c r="D65" s="47"/>
      <c r="E65" s="48"/>
    </row>
    <row r="66" spans="2:5" ht="15.6">
      <c r="B66" s="39" t="s">
        <v>46</v>
      </c>
      <c r="C66" s="40">
        <v>5000</v>
      </c>
      <c r="D66" s="50" t="s">
        <v>39</v>
      </c>
      <c r="E66" s="52">
        <f>'C.E.'!C50/20</f>
        <v>1244.0443055555559</v>
      </c>
    </row>
    <row r="67" spans="2:5" ht="15.6">
      <c r="B67" s="35"/>
      <c r="C67" s="36"/>
      <c r="D67" s="47"/>
      <c r="E67" s="49"/>
    </row>
    <row r="68" spans="2:5" ht="15.6">
      <c r="B68" s="39" t="s">
        <v>40</v>
      </c>
      <c r="C68" s="41">
        <v>0</v>
      </c>
      <c r="D68" s="50" t="s">
        <v>47</v>
      </c>
      <c r="E68" s="53">
        <f>3333.33*3</f>
        <v>9999.99</v>
      </c>
    </row>
    <row r="69" spans="2:5" ht="15.6">
      <c r="B69" s="35"/>
      <c r="C69" s="37"/>
      <c r="D69" s="47"/>
      <c r="E69" s="49"/>
    </row>
    <row r="70" spans="2:5" ht="15.6">
      <c r="B70" s="39" t="s">
        <v>41</v>
      </c>
      <c r="C70" s="41">
        <v>0</v>
      </c>
      <c r="D70" s="50" t="s">
        <v>48</v>
      </c>
      <c r="E70" s="53">
        <f>1666.666*3</f>
        <v>4999.9979999999996</v>
      </c>
    </row>
    <row r="71" spans="2:5" ht="15.6">
      <c r="B71" s="35"/>
      <c r="C71" s="37"/>
      <c r="D71" s="47"/>
      <c r="E71" s="49"/>
    </row>
    <row r="72" spans="2:5" ht="15.6">
      <c r="B72" s="39" t="s">
        <v>49</v>
      </c>
      <c r="C72" s="40">
        <f>Flussi!G143</f>
        <v>34339.949600000007</v>
      </c>
      <c r="D72" s="50" t="s">
        <v>42</v>
      </c>
      <c r="E72" s="51">
        <f>E16*3</f>
        <v>2666.666666666667</v>
      </c>
    </row>
    <row r="73" spans="2:5" ht="15.6">
      <c r="B73" s="35"/>
      <c r="C73" s="36"/>
      <c r="D73" s="47"/>
      <c r="E73" s="48"/>
    </row>
    <row r="74" spans="2:5" ht="15.6">
      <c r="B74" s="39" t="s">
        <v>92</v>
      </c>
      <c r="C74" s="40">
        <v>6000</v>
      </c>
      <c r="D74" s="50" t="s">
        <v>43</v>
      </c>
      <c r="E74" s="51">
        <v>30000</v>
      </c>
    </row>
    <row r="75" spans="2:5" ht="15.6">
      <c r="B75" s="35"/>
      <c r="C75" s="36"/>
      <c r="D75" s="47"/>
      <c r="E75" s="48"/>
    </row>
    <row r="76" spans="2:5" ht="15.6">
      <c r="B76" s="39"/>
      <c r="C76" s="41"/>
      <c r="D76" s="50" t="s">
        <v>93</v>
      </c>
      <c r="E76" s="51">
        <f>2000*2</f>
        <v>4000</v>
      </c>
    </row>
    <row r="77" spans="2:5" ht="15.6">
      <c r="B77" s="35"/>
      <c r="C77" s="37"/>
      <c r="D77" s="47"/>
      <c r="E77" s="48"/>
    </row>
    <row r="78" spans="2:5" ht="15.6">
      <c r="B78" s="39"/>
      <c r="C78" s="41"/>
      <c r="D78" s="50" t="s">
        <v>97</v>
      </c>
      <c r="E78" s="51">
        <f>'C.E.'!C50-E66</f>
        <v>23636.841805555563</v>
      </c>
    </row>
    <row r="79" spans="2:5" ht="15.6">
      <c r="B79" s="35"/>
      <c r="C79" s="37"/>
      <c r="D79" s="47"/>
      <c r="E79" s="48"/>
    </row>
    <row r="80" spans="2:5" ht="15.6">
      <c r="B80" s="42"/>
      <c r="C80" s="42"/>
      <c r="D80" s="54" t="s">
        <v>95</v>
      </c>
      <c r="E80" s="169">
        <f>E20+E49</f>
        <v>-61207.597777777788</v>
      </c>
    </row>
    <row r="81" spans="2:5" ht="15.6">
      <c r="B81" s="35"/>
      <c r="C81" s="37"/>
      <c r="D81" s="47"/>
      <c r="E81" s="48"/>
    </row>
    <row r="82" spans="2:5" ht="15.6">
      <c r="B82" s="28" t="s">
        <v>45</v>
      </c>
      <c r="C82" s="43">
        <f>SUM(C64:C78)</f>
        <v>55339.949600000007</v>
      </c>
      <c r="D82" s="33" t="s">
        <v>45</v>
      </c>
      <c r="E82" s="55">
        <f>SUM(E64:E80)</f>
        <v>55339.942999999999</v>
      </c>
    </row>
    <row r="83" spans="2:5" ht="15.6">
      <c r="B83" s="35"/>
      <c r="C83" s="37"/>
      <c r="D83" s="47"/>
      <c r="E83" s="48"/>
    </row>
    <row r="86" spans="2:5" ht="20.399999999999999">
      <c r="C86" s="57" t="s">
        <v>99</v>
      </c>
      <c r="D86" s="56">
        <f>C82-E82</f>
        <v>6.6000000078929588E-3</v>
      </c>
    </row>
  </sheetData>
  <mergeCells count="9">
    <mergeCell ref="B60:C60"/>
    <mergeCell ref="D60:E60"/>
    <mergeCell ref="B4:C4"/>
    <mergeCell ref="D4:E4"/>
    <mergeCell ref="B2:C2"/>
    <mergeCell ref="B29:C29"/>
    <mergeCell ref="B31:C31"/>
    <mergeCell ref="D31:E31"/>
    <mergeCell ref="B58:C58"/>
  </mergeCells>
  <pageMargins left="0.7" right="0.7" top="0.75" bottom="0.75" header="0.3" footer="0.3"/>
  <pageSetup paperSize="9" orientation="portrait" horizontalDpi="360" verticalDpi="36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zoomScale="50" zoomScaleNormal="50" zoomScalePageLayoutView="50" workbookViewId="0">
      <selection activeCell="G25" sqref="G25"/>
    </sheetView>
  </sheetViews>
  <sheetFormatPr defaultColWidth="11" defaultRowHeight="14.4"/>
  <cols>
    <col min="2" max="2" width="38.15625" customWidth="1"/>
    <col min="3" max="4" width="25.83984375" customWidth="1"/>
    <col min="5" max="5" width="33.68359375" customWidth="1"/>
  </cols>
  <sheetData>
    <row r="3" spans="2:5" ht="33.6" thickBot="1">
      <c r="B3" s="131" t="s">
        <v>86</v>
      </c>
      <c r="C3" s="20"/>
      <c r="D3" s="20"/>
      <c r="E3" s="20"/>
    </row>
    <row r="4" spans="2:5" ht="46.8" thickTop="1" thickBot="1">
      <c r="B4" s="21" t="s">
        <v>20</v>
      </c>
      <c r="C4" s="21" t="s">
        <v>100</v>
      </c>
      <c r="D4" s="21" t="s">
        <v>101</v>
      </c>
      <c r="E4" s="21" t="s">
        <v>102</v>
      </c>
    </row>
    <row r="5" spans="2:5" ht="23.4" thickTop="1">
      <c r="B5" s="22" t="s">
        <v>103</v>
      </c>
      <c r="C5" s="142">
        <f>10000</f>
        <v>10000</v>
      </c>
      <c r="D5" s="23">
        <v>3</v>
      </c>
      <c r="E5" s="142">
        <f>C5/D5</f>
        <v>3333.3333333333335</v>
      </c>
    </row>
    <row r="6" spans="2:5" ht="23.4" thickBot="1">
      <c r="B6" s="24" t="s">
        <v>104</v>
      </c>
      <c r="C6" s="143">
        <f>5000</f>
        <v>5000</v>
      </c>
      <c r="D6" s="25">
        <v>3</v>
      </c>
      <c r="E6" s="144">
        <f t="shared" ref="E6" si="0">C6/D6</f>
        <v>1666.6666666666667</v>
      </c>
    </row>
    <row r="7" spans="2:5" ht="23.7" thickTop="1" thickBot="1">
      <c r="B7" s="26" t="s">
        <v>8</v>
      </c>
      <c r="C7" s="145">
        <f>SUM(C5:C6)</f>
        <v>15000</v>
      </c>
      <c r="D7" s="27"/>
      <c r="E7" s="145">
        <f>SUM(E5:E6)</f>
        <v>5000</v>
      </c>
    </row>
    <row r="8" spans="2:5" ht="14.7" thickTop="1">
      <c r="B8" s="19"/>
      <c r="C8" s="19"/>
      <c r="D8" s="19"/>
      <c r="E8" s="19"/>
    </row>
    <row r="11" spans="2:5" ht="30.9" thickBot="1">
      <c r="B11" s="132" t="s">
        <v>90</v>
      </c>
      <c r="C11" s="20"/>
      <c r="D11" s="20"/>
      <c r="E11" s="20"/>
    </row>
    <row r="12" spans="2:5" ht="46.8" thickTop="1" thickBot="1">
      <c r="B12" s="21" t="s">
        <v>20</v>
      </c>
      <c r="C12" s="21" t="s">
        <v>100</v>
      </c>
      <c r="D12" s="21" t="s">
        <v>101</v>
      </c>
      <c r="E12" s="21" t="s">
        <v>102</v>
      </c>
    </row>
    <row r="13" spans="2:5" ht="23.7" thickTop="1" thickBot="1">
      <c r="B13" s="22" t="s">
        <v>105</v>
      </c>
      <c r="C13" s="142">
        <f>C25</f>
        <v>6000.0018</v>
      </c>
      <c r="D13" s="23">
        <v>3</v>
      </c>
      <c r="E13" s="142">
        <f>C13/D13</f>
        <v>2000.0006000000001</v>
      </c>
    </row>
    <row r="14" spans="2:5" ht="23.7" thickTop="1" thickBot="1">
      <c r="B14" s="26" t="s">
        <v>8</v>
      </c>
      <c r="C14" s="145">
        <f>SUM(C13:C13)</f>
        <v>6000.0018</v>
      </c>
      <c r="D14" s="27"/>
      <c r="E14" s="145">
        <f>SUM(E13:E13)</f>
        <v>2000.0006000000001</v>
      </c>
    </row>
    <row r="15" spans="2:5" ht="14.7" thickTop="1"/>
    <row r="16" spans="2:5" ht="14.7" thickBot="1"/>
    <row r="17" spans="2:5" ht="41.05" customHeight="1" thickBot="1">
      <c r="B17" s="230" t="s">
        <v>109</v>
      </c>
      <c r="C17" s="231"/>
      <c r="D17" s="231"/>
      <c r="E17" s="232"/>
    </row>
    <row r="18" spans="2:5" ht="21" thickTop="1" thickBot="1">
      <c r="B18" s="133" t="s">
        <v>20</v>
      </c>
      <c r="C18" s="133" t="s">
        <v>106</v>
      </c>
      <c r="D18" s="133" t="s">
        <v>107</v>
      </c>
      <c r="E18" s="133" t="s">
        <v>108</v>
      </c>
    </row>
    <row r="19" spans="2:5" ht="20.7" thickBot="1">
      <c r="B19" s="129" t="s">
        <v>133</v>
      </c>
      <c r="C19" s="134">
        <f t="shared" ref="C19:C24" si="1">E19-D19</f>
        <v>2105.2200000000003</v>
      </c>
      <c r="D19" s="135">
        <f t="shared" ref="D19:D24" si="2">(E19*22)/100</f>
        <v>593.78</v>
      </c>
      <c r="E19" s="134">
        <v>2699</v>
      </c>
    </row>
    <row r="20" spans="2:5" ht="20.7" thickBot="1">
      <c r="B20" s="130" t="s">
        <v>113</v>
      </c>
      <c r="C20" s="139">
        <f t="shared" si="1"/>
        <v>833.28179999999998</v>
      </c>
      <c r="D20" s="137">
        <f t="shared" si="2"/>
        <v>235.0282</v>
      </c>
      <c r="E20" s="136">
        <v>1068.31</v>
      </c>
    </row>
    <row r="21" spans="2:5" ht="20.8" customHeight="1" thickBot="1">
      <c r="B21" s="129" t="s">
        <v>112</v>
      </c>
      <c r="C21" s="134">
        <f t="shared" si="1"/>
        <v>724.62</v>
      </c>
      <c r="D21" s="135">
        <f t="shared" si="2"/>
        <v>204.38</v>
      </c>
      <c r="E21" s="134">
        <v>929</v>
      </c>
    </row>
    <row r="22" spans="2:5" ht="20.7" thickBot="1">
      <c r="B22" s="130" t="s">
        <v>111</v>
      </c>
      <c r="C22" s="137">
        <f t="shared" si="1"/>
        <v>732.42</v>
      </c>
      <c r="D22" s="136">
        <f t="shared" si="2"/>
        <v>206.58</v>
      </c>
      <c r="E22" s="137">
        <v>939</v>
      </c>
    </row>
    <row r="23" spans="2:5" ht="20.7" thickBot="1">
      <c r="B23" s="129" t="s">
        <v>110</v>
      </c>
      <c r="C23" s="134">
        <f t="shared" si="1"/>
        <v>576.41999999999996</v>
      </c>
      <c r="D23" s="135">
        <f t="shared" si="2"/>
        <v>162.58000000000001</v>
      </c>
      <c r="E23" s="134">
        <v>739</v>
      </c>
    </row>
    <row r="24" spans="2:5" ht="41.1" thickBot="1">
      <c r="B24" s="130" t="s">
        <v>134</v>
      </c>
      <c r="C24" s="137">
        <f t="shared" si="1"/>
        <v>1028.04</v>
      </c>
      <c r="D24" s="136">
        <f t="shared" si="2"/>
        <v>289.95999999999998</v>
      </c>
      <c r="E24" s="137">
        <v>1318</v>
      </c>
    </row>
    <row r="25" spans="2:5" ht="69" customHeight="1" thickTop="1" thickBot="1">
      <c r="B25" s="133" t="s">
        <v>114</v>
      </c>
      <c r="C25" s="140">
        <f>SUM(C19:C24)</f>
        <v>6000.0018</v>
      </c>
      <c r="D25" s="140">
        <f>SUM(D19:D24)</f>
        <v>1692.3081999999999</v>
      </c>
      <c r="E25" s="141">
        <f>SUM(E19:E24)</f>
        <v>7692.3099999999995</v>
      </c>
    </row>
    <row r="32" spans="2:5" ht="14.7" thickBot="1"/>
    <row r="33" spans="6:6" ht="56.8" customHeight="1" thickBot="1">
      <c r="F33" s="138"/>
    </row>
  </sheetData>
  <mergeCells count="1">
    <mergeCell ref="B17:E17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zoomScale="120" zoomScaleNormal="120" zoomScalePageLayoutView="120" workbookViewId="0">
      <selection activeCell="L11" sqref="L11"/>
    </sheetView>
  </sheetViews>
  <sheetFormatPr defaultColWidth="11" defaultRowHeight="14.4"/>
  <cols>
    <col min="1" max="1" width="12.47265625" customWidth="1"/>
    <col min="2" max="2" width="16.47265625" customWidth="1"/>
    <col min="3" max="3" width="19.68359375" customWidth="1"/>
    <col min="4" max="4" width="6.83984375" customWidth="1"/>
    <col min="5" max="5" width="13.83984375" customWidth="1"/>
    <col min="6" max="6" width="6.68359375" customWidth="1"/>
    <col min="7" max="7" width="11" customWidth="1"/>
    <col min="8" max="8" width="4.47265625" customWidth="1"/>
    <col min="9" max="9" width="10" bestFit="1" customWidth="1"/>
    <col min="10" max="10" width="3.83984375" customWidth="1"/>
  </cols>
  <sheetData>
    <row r="1" spans="2:10" ht="18.3">
      <c r="J1" s="31"/>
    </row>
    <row r="2" spans="2:10" ht="18.3">
      <c r="J2" s="31"/>
    </row>
    <row r="3" spans="2:10" ht="18.3">
      <c r="B3" s="95" t="s">
        <v>51</v>
      </c>
      <c r="C3" s="96"/>
      <c r="D3" s="96"/>
      <c r="E3" s="96"/>
      <c r="F3" s="96"/>
      <c r="G3" s="31"/>
      <c r="H3" s="31"/>
      <c r="I3" s="31"/>
      <c r="J3" s="31"/>
    </row>
    <row r="4" spans="2:10" ht="18.3">
      <c r="B4" s="96"/>
      <c r="C4" s="96"/>
      <c r="D4" s="96"/>
      <c r="E4" s="96"/>
      <c r="F4" s="96"/>
      <c r="G4" s="31"/>
      <c r="H4" s="31"/>
      <c r="I4" s="31"/>
      <c r="J4" s="31"/>
    </row>
    <row r="5" spans="2:10" ht="18.600000000000001" thickBot="1">
      <c r="B5" s="234" t="s">
        <v>127</v>
      </c>
      <c r="C5" s="97" t="s">
        <v>54</v>
      </c>
      <c r="D5" s="235" t="s">
        <v>160</v>
      </c>
      <c r="E5" s="98">
        <f>'C.E.'!E18</f>
        <v>-84187.024500000014</v>
      </c>
      <c r="F5" s="236" t="s">
        <v>160</v>
      </c>
      <c r="G5" s="237">
        <f>E5/E6</f>
        <v>-2.1046756125000003</v>
      </c>
      <c r="H5" s="238" t="s">
        <v>160</v>
      </c>
      <c r="I5" s="239">
        <f>G5*100</f>
        <v>-210.46756125000005</v>
      </c>
      <c r="J5" s="233" t="s">
        <v>56</v>
      </c>
    </row>
    <row r="6" spans="2:10" ht="18.3">
      <c r="B6" s="234"/>
      <c r="C6" s="99" t="s">
        <v>55</v>
      </c>
      <c r="D6" s="235"/>
      <c r="E6" s="100">
        <f>'Stato Patrimoniale'!E8</f>
        <v>40000</v>
      </c>
      <c r="F6" s="236"/>
      <c r="G6" s="237"/>
      <c r="H6" s="238"/>
      <c r="I6" s="239"/>
      <c r="J6" s="233"/>
    </row>
    <row r="7" spans="2:10" ht="18.3">
      <c r="B7" s="31"/>
      <c r="C7" s="31"/>
      <c r="D7" s="31"/>
      <c r="E7" s="99"/>
      <c r="F7" s="31"/>
      <c r="G7" s="101"/>
      <c r="H7" s="31"/>
      <c r="I7" s="148"/>
      <c r="J7" s="32"/>
    </row>
    <row r="8" spans="2:10" ht="18.3">
      <c r="B8" s="95" t="s">
        <v>52</v>
      </c>
      <c r="C8" s="96"/>
      <c r="D8" s="96"/>
      <c r="E8" s="102"/>
      <c r="F8" s="96"/>
      <c r="G8" s="101"/>
      <c r="H8" s="31"/>
      <c r="I8" s="148"/>
      <c r="J8" s="32"/>
    </row>
    <row r="9" spans="2:10" ht="18.3">
      <c r="B9" s="96"/>
      <c r="C9" s="96"/>
      <c r="D9" s="96"/>
      <c r="E9" s="102"/>
      <c r="F9" s="96"/>
      <c r="G9" s="101"/>
      <c r="H9" s="31"/>
      <c r="I9" s="148"/>
      <c r="J9" s="32"/>
    </row>
    <row r="10" spans="2:10" ht="18.600000000000001" thickBot="1">
      <c r="B10" s="234" t="s">
        <v>128</v>
      </c>
      <c r="C10" s="97" t="s">
        <v>54</v>
      </c>
      <c r="D10" s="240" t="s">
        <v>160</v>
      </c>
      <c r="E10" s="98">
        <f>'C.E.'!E36</f>
        <v>749.55472222222306</v>
      </c>
      <c r="F10" s="236" t="s">
        <v>160</v>
      </c>
      <c r="G10" s="237">
        <f>E10/E11</f>
        <v>1.8738868055555576E-2</v>
      </c>
      <c r="H10" s="238" t="s">
        <v>160</v>
      </c>
      <c r="I10" s="239">
        <f>G10*100</f>
        <v>1.8738868055555575</v>
      </c>
      <c r="J10" s="233" t="s">
        <v>56</v>
      </c>
    </row>
    <row r="11" spans="2:10" ht="18.3">
      <c r="B11" s="234"/>
      <c r="C11" s="99" t="s">
        <v>55</v>
      </c>
      <c r="D11" s="240"/>
      <c r="E11" s="100">
        <f>'Stato Patrimoniale'!E35</f>
        <v>40000</v>
      </c>
      <c r="F11" s="236"/>
      <c r="G11" s="237"/>
      <c r="H11" s="238"/>
      <c r="I11" s="239"/>
      <c r="J11" s="233"/>
    </row>
    <row r="12" spans="2:10" ht="18.3">
      <c r="B12" s="31"/>
      <c r="C12" s="31"/>
      <c r="D12" s="31"/>
      <c r="E12" s="99"/>
      <c r="F12" s="31"/>
      <c r="G12" s="101"/>
      <c r="H12" s="31"/>
      <c r="I12" s="148"/>
      <c r="J12" s="32"/>
    </row>
    <row r="13" spans="2:10" ht="18.3">
      <c r="B13" s="95" t="s">
        <v>53</v>
      </c>
      <c r="C13" s="96"/>
      <c r="D13" s="96"/>
      <c r="E13" s="102"/>
      <c r="F13" s="96"/>
      <c r="G13" s="101"/>
      <c r="H13" s="31"/>
      <c r="I13" s="148"/>
      <c r="J13" s="32"/>
    </row>
    <row r="14" spans="2:10" ht="18.3">
      <c r="B14" s="31"/>
      <c r="C14" s="31"/>
      <c r="D14" s="31"/>
      <c r="E14" s="99"/>
      <c r="F14" s="31"/>
      <c r="G14" s="101"/>
      <c r="H14" s="31"/>
      <c r="I14" s="148"/>
      <c r="J14" s="32"/>
    </row>
    <row r="15" spans="2:10" ht="18.600000000000001" thickBot="1">
      <c r="B15" s="234" t="s">
        <v>127</v>
      </c>
      <c r="C15" s="97" t="s">
        <v>54</v>
      </c>
      <c r="D15" s="240" t="s">
        <v>160</v>
      </c>
      <c r="E15" s="98">
        <f>'C.E.'!E54</f>
        <v>16172.575972222226</v>
      </c>
      <c r="F15" s="236" t="s">
        <v>160</v>
      </c>
      <c r="G15" s="237">
        <f>E15/E16</f>
        <v>0.40431439930555568</v>
      </c>
      <c r="H15" s="238" t="s">
        <v>160</v>
      </c>
      <c r="I15" s="239">
        <f>G15*100</f>
        <v>40.43143993055557</v>
      </c>
      <c r="J15" s="233" t="s">
        <v>56</v>
      </c>
    </row>
    <row r="16" spans="2:10" ht="18.3">
      <c r="B16" s="234"/>
      <c r="C16" s="99" t="s">
        <v>55</v>
      </c>
      <c r="D16" s="240"/>
      <c r="E16" s="100">
        <f>'Stato Patrimoniale'!E64</f>
        <v>40000</v>
      </c>
      <c r="F16" s="236"/>
      <c r="G16" s="237"/>
      <c r="H16" s="238"/>
      <c r="I16" s="239"/>
      <c r="J16" s="233"/>
    </row>
  </sheetData>
  <mergeCells count="21">
    <mergeCell ref="J15:J16"/>
    <mergeCell ref="B10:B11"/>
    <mergeCell ref="D10:D11"/>
    <mergeCell ref="F10:F11"/>
    <mergeCell ref="G10:G11"/>
    <mergeCell ref="H10:H11"/>
    <mergeCell ref="I10:I11"/>
    <mergeCell ref="J10:J11"/>
    <mergeCell ref="B15:B16"/>
    <mergeCell ref="D15:D16"/>
    <mergeCell ref="F15:F16"/>
    <mergeCell ref="G15:G16"/>
    <mergeCell ref="H15:H16"/>
    <mergeCell ref="I15:I16"/>
    <mergeCell ref="J5:J6"/>
    <mergeCell ref="B5:B6"/>
    <mergeCell ref="D5:D6"/>
    <mergeCell ref="F5:F6"/>
    <mergeCell ref="G5:G6"/>
    <mergeCell ref="H5:H6"/>
    <mergeCell ref="I5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86" zoomScaleNormal="86" zoomScalePageLayoutView="73" workbookViewId="0">
      <selection activeCell="M13" sqref="M13"/>
    </sheetView>
  </sheetViews>
  <sheetFormatPr defaultColWidth="11" defaultRowHeight="14.4"/>
  <cols>
    <col min="3" max="3" width="22.47265625" customWidth="1"/>
    <col min="4" max="4" width="8.83984375" customWidth="1"/>
    <col min="5" max="5" width="11.3125" bestFit="1" customWidth="1"/>
    <col min="6" max="6" width="7.47265625" bestFit="1" customWidth="1"/>
    <col min="7" max="7" width="15.83984375" bestFit="1" customWidth="1"/>
    <col min="8" max="8" width="11.47265625" customWidth="1"/>
    <col min="9" max="9" width="11.68359375" customWidth="1"/>
    <col min="10" max="10" width="26.15625" bestFit="1" customWidth="1"/>
    <col min="11" max="11" width="11.68359375" customWidth="1"/>
    <col min="12" max="13" width="12" bestFit="1" customWidth="1"/>
  </cols>
  <sheetData>
    <row r="1" spans="1:13" ht="23.1">
      <c r="A1" s="147"/>
    </row>
    <row r="6" spans="1:13" ht="14.7" thickBot="1"/>
    <row r="7" spans="1:13" ht="18.899999999999999" thickTop="1" thickBot="1">
      <c r="B7" s="185" t="s">
        <v>135</v>
      </c>
      <c r="C7" s="186" t="s">
        <v>136</v>
      </c>
      <c r="D7" s="185" t="s">
        <v>174</v>
      </c>
      <c r="E7" s="187" t="s">
        <v>137</v>
      </c>
      <c r="F7" s="187" t="s">
        <v>176</v>
      </c>
      <c r="G7" s="187" t="s">
        <v>138</v>
      </c>
      <c r="H7" s="187" t="s">
        <v>137</v>
      </c>
      <c r="I7" s="187" t="s">
        <v>175</v>
      </c>
      <c r="J7" s="187" t="s">
        <v>177</v>
      </c>
      <c r="K7" s="188" t="s">
        <v>139</v>
      </c>
      <c r="L7" s="188" t="s">
        <v>140</v>
      </c>
      <c r="M7" s="188" t="s">
        <v>141</v>
      </c>
    </row>
    <row r="8" spans="1:13" ht="15.9" thickTop="1">
      <c r="B8" s="193">
        <v>0</v>
      </c>
      <c r="C8" s="193">
        <v>0</v>
      </c>
      <c r="D8" s="193"/>
      <c r="E8" s="194">
        <v>0</v>
      </c>
      <c r="F8" s="195">
        <v>0</v>
      </c>
      <c r="G8" s="196">
        <v>0</v>
      </c>
      <c r="H8" s="197">
        <v>0</v>
      </c>
      <c r="I8" s="198">
        <v>0</v>
      </c>
      <c r="J8" s="199">
        <v>0</v>
      </c>
      <c r="K8" s="192">
        <f>Costi!C33</f>
        <v>60997.520199999999</v>
      </c>
      <c r="L8" s="193">
        <v>0</v>
      </c>
      <c r="M8" s="193">
        <f>K8+L8</f>
        <v>60997.520199999999</v>
      </c>
    </row>
    <row r="9" spans="1:13" ht="15.6">
      <c r="B9" s="193">
        <f>B8+G9</f>
        <v>15506.099999999999</v>
      </c>
      <c r="C9" s="193">
        <f>C8+E9</f>
        <v>51687</v>
      </c>
      <c r="D9" s="193" t="s">
        <v>144</v>
      </c>
      <c r="E9" s="194">
        <f>'C.E.'!K7</f>
        <v>51687</v>
      </c>
      <c r="F9" s="200">
        <v>0.3</v>
      </c>
      <c r="G9" s="196">
        <f>E9*F9</f>
        <v>15506.099999999999</v>
      </c>
      <c r="H9" s="194">
        <f>E9</f>
        <v>51687</v>
      </c>
      <c r="I9" s="201">
        <f>F9*22/100</f>
        <v>6.6000000000000003E-2</v>
      </c>
      <c r="J9" s="199">
        <f>H9*I9</f>
        <v>3411.3420000000001</v>
      </c>
      <c r="K9" s="192">
        <f>K8</f>
        <v>60997.520199999999</v>
      </c>
      <c r="L9" s="193">
        <f>J9+L8</f>
        <v>3411.3420000000001</v>
      </c>
      <c r="M9" s="193">
        <f t="shared" ref="M9:M13" si="0">K9+L9</f>
        <v>64408.862199999996</v>
      </c>
    </row>
    <row r="10" spans="1:13" ht="15.6">
      <c r="B10" s="193">
        <f>B9+G10</f>
        <v>78077.7</v>
      </c>
      <c r="C10" s="193">
        <f t="shared" ref="C10:C14" si="1">C9+E10</f>
        <v>260259</v>
      </c>
      <c r="D10" s="241" t="s">
        <v>145</v>
      </c>
      <c r="E10" s="194">
        <f>'C.E.'!K25</f>
        <v>208572</v>
      </c>
      <c r="F10" s="200">
        <v>0.3</v>
      </c>
      <c r="G10" s="196">
        <f t="shared" ref="G10:G14" si="2">E10*F10</f>
        <v>62571.6</v>
      </c>
      <c r="H10" s="194">
        <f t="shared" ref="H10:H14" si="3">E10</f>
        <v>208572</v>
      </c>
      <c r="I10" s="201">
        <f t="shared" ref="I10:I14" si="4">F10*22/100</f>
        <v>6.6000000000000003E-2</v>
      </c>
      <c r="J10" s="199">
        <f t="shared" ref="J10:J14" si="5">H10*I10</f>
        <v>13765.752</v>
      </c>
      <c r="K10" s="192">
        <f t="shared" ref="K10:K14" si="6">K9</f>
        <v>60997.520199999999</v>
      </c>
      <c r="L10" s="193">
        <f t="shared" ref="L10:L14" si="7">J10+L9</f>
        <v>17177.094000000001</v>
      </c>
      <c r="M10" s="193">
        <f t="shared" si="0"/>
        <v>78174.614199999996</v>
      </c>
    </row>
    <row r="11" spans="1:13" ht="15.6">
      <c r="B11" s="193">
        <f t="shared" ref="B11:B14" si="8">B10+G11</f>
        <v>86003.04</v>
      </c>
      <c r="C11" s="193">
        <f t="shared" si="1"/>
        <v>294717</v>
      </c>
      <c r="D11" s="241"/>
      <c r="E11" s="194">
        <f>'C.E.'!K26</f>
        <v>34458</v>
      </c>
      <c r="F11" s="200">
        <v>0.23</v>
      </c>
      <c r="G11" s="196">
        <f t="shared" si="2"/>
        <v>7925.34</v>
      </c>
      <c r="H11" s="194">
        <f t="shared" si="3"/>
        <v>34458</v>
      </c>
      <c r="I11" s="201">
        <f t="shared" si="4"/>
        <v>5.0600000000000006E-2</v>
      </c>
      <c r="J11" s="199">
        <f t="shared" si="5"/>
        <v>1743.5748000000003</v>
      </c>
      <c r="K11" s="192">
        <f t="shared" si="6"/>
        <v>60997.520199999999</v>
      </c>
      <c r="L11" s="193">
        <f t="shared" si="7"/>
        <v>18920.668799999999</v>
      </c>
      <c r="M11" s="193">
        <f t="shared" si="0"/>
        <v>79918.188999999998</v>
      </c>
    </row>
    <row r="12" spans="1:13" ht="15.6">
      <c r="B12" s="193">
        <f t="shared" si="8"/>
        <v>138370.13999999998</v>
      </c>
      <c r="C12" s="193">
        <f t="shared" si="1"/>
        <v>469274</v>
      </c>
      <c r="D12" s="241" t="s">
        <v>146</v>
      </c>
      <c r="E12" s="194">
        <f>'C.E.'!K44</f>
        <v>174557</v>
      </c>
      <c r="F12" s="200">
        <v>0.3</v>
      </c>
      <c r="G12" s="196">
        <f t="shared" si="2"/>
        <v>52367.1</v>
      </c>
      <c r="H12" s="194">
        <f t="shared" si="3"/>
        <v>174557</v>
      </c>
      <c r="I12" s="201">
        <f t="shared" si="4"/>
        <v>6.6000000000000003E-2</v>
      </c>
      <c r="J12" s="199">
        <f t="shared" si="5"/>
        <v>11520.762000000001</v>
      </c>
      <c r="K12" s="192">
        <f t="shared" si="6"/>
        <v>60997.520199999999</v>
      </c>
      <c r="L12" s="193">
        <f t="shared" si="7"/>
        <v>30441.430800000002</v>
      </c>
      <c r="M12" s="193">
        <f t="shared" si="0"/>
        <v>91438.951000000001</v>
      </c>
    </row>
    <row r="13" spans="1:13" ht="15.6">
      <c r="B13" s="193">
        <f t="shared" si="8"/>
        <v>170351.18</v>
      </c>
      <c r="C13" s="193">
        <f t="shared" si="1"/>
        <v>608322</v>
      </c>
      <c r="D13" s="241"/>
      <c r="E13" s="194">
        <f>'C.E.'!K46</f>
        <v>139048</v>
      </c>
      <c r="F13" s="200">
        <v>0.23</v>
      </c>
      <c r="G13" s="196">
        <f t="shared" si="2"/>
        <v>31981.040000000001</v>
      </c>
      <c r="H13" s="194">
        <f t="shared" si="3"/>
        <v>139048</v>
      </c>
      <c r="I13" s="201">
        <f t="shared" si="4"/>
        <v>5.0600000000000006E-2</v>
      </c>
      <c r="J13" s="199">
        <f t="shared" si="5"/>
        <v>7035.8288000000011</v>
      </c>
      <c r="K13" s="192">
        <f t="shared" si="6"/>
        <v>60997.520199999999</v>
      </c>
      <c r="L13" s="193">
        <f t="shared" si="7"/>
        <v>37477.259600000005</v>
      </c>
      <c r="M13" s="193">
        <f t="shared" si="0"/>
        <v>98474.779800000004</v>
      </c>
    </row>
    <row r="14" spans="1:13" ht="15.6">
      <c r="B14" s="193">
        <f t="shared" si="8"/>
        <v>174227.70499999999</v>
      </c>
      <c r="C14" s="193">
        <f t="shared" si="1"/>
        <v>634165.5</v>
      </c>
      <c r="D14" s="241"/>
      <c r="E14" s="194">
        <f>'C.E.'!K45</f>
        <v>25843.5</v>
      </c>
      <c r="F14" s="200">
        <v>0.15</v>
      </c>
      <c r="G14" s="196">
        <f t="shared" si="2"/>
        <v>3876.5249999999996</v>
      </c>
      <c r="H14" s="194">
        <f t="shared" si="3"/>
        <v>25843.5</v>
      </c>
      <c r="I14" s="201">
        <f t="shared" si="4"/>
        <v>3.3000000000000002E-2</v>
      </c>
      <c r="J14" s="199">
        <f t="shared" si="5"/>
        <v>852.83550000000002</v>
      </c>
      <c r="K14" s="192">
        <f t="shared" si="6"/>
        <v>60997.520199999999</v>
      </c>
      <c r="L14" s="193">
        <f t="shared" si="7"/>
        <v>38330.095100000006</v>
      </c>
      <c r="M14" s="193">
        <f>K14+L14</f>
        <v>99327.615300000005</v>
      </c>
    </row>
    <row r="15" spans="1:13" ht="15.9" thickBot="1">
      <c r="B15" s="8"/>
      <c r="C15" s="8"/>
      <c r="D15" s="8"/>
      <c r="E15" s="151"/>
      <c r="F15" s="152"/>
      <c r="G15" s="153"/>
      <c r="H15" s="151"/>
      <c r="I15" s="154"/>
      <c r="J15" s="155"/>
      <c r="K15" s="160"/>
      <c r="L15" s="8"/>
    </row>
    <row r="16" spans="1:13" ht="14.7" thickTop="1"/>
    <row r="22" spans="11:12">
      <c r="L22" s="9">
        <f>SUM(G12:G13:G14)</f>
        <v>88224.664999999994</v>
      </c>
    </row>
    <row r="30" spans="11:12">
      <c r="K30">
        <f xml:space="preserve"> ROUNDUP(K8/(0.274735388-0.060441785),0)</f>
        <v>284645</v>
      </c>
    </row>
    <row r="43" spans="3:9">
      <c r="C43" s="189" t="s">
        <v>142</v>
      </c>
      <c r="D43" s="189"/>
      <c r="E43" s="184"/>
      <c r="F43" s="184"/>
      <c r="G43" s="184"/>
      <c r="H43" s="184"/>
      <c r="I43" s="184"/>
    </row>
  </sheetData>
  <mergeCells count="2">
    <mergeCell ref="D10:D11"/>
    <mergeCell ref="D12:D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</vt:i4>
      </vt:variant>
    </vt:vector>
  </HeadingPairs>
  <TitlesOfParts>
    <vt:vector size="8" baseType="lpstr">
      <vt:lpstr>Costi</vt:lpstr>
      <vt:lpstr>C.E.</vt:lpstr>
      <vt:lpstr>Flussi</vt:lpstr>
      <vt:lpstr>Stato Patrimoniale</vt:lpstr>
      <vt:lpstr>Ammortamenti</vt:lpstr>
      <vt:lpstr>ROE</vt:lpstr>
      <vt:lpstr>BEP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Palumbo</dc:creator>
  <cp:lastModifiedBy>Michele Palumbo</cp:lastModifiedBy>
  <cp:lastPrinted>2016-11-16T20:42:44Z</cp:lastPrinted>
  <dcterms:created xsi:type="dcterms:W3CDTF">2016-11-15T12:38:08Z</dcterms:created>
  <dcterms:modified xsi:type="dcterms:W3CDTF">2017-11-22T10:37:12Z</dcterms:modified>
</cp:coreProperties>
</file>