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filterPrivacy="1" defaultThemeVersion="166925"/>
  <xr:revisionPtr revIDLastSave="0" documentId="13_ncr:1_{67099E16-C30D-7140-8F9A-61F7D95C80A5}" xr6:coauthVersionLast="47" xr6:coauthVersionMax="47" xr10:uidLastSave="{00000000-0000-0000-0000-000000000000}"/>
  <bookViews>
    <workbookView xWindow="-35740" yWindow="-6480" windowWidth="27740" windowHeight="26740" xr2:uid="{06A5DFAE-1DCC-47A0-8F61-BA3A228AB1CD}"/>
  </bookViews>
  <sheets>
    <sheet name="Sheet1" sheetId="1" r:id="rId1"/>
  </sheets>
  <definedNames>
    <definedName name="coll_ratio">Sheet1!$C$37</definedName>
    <definedName name="p_BTC">Sheet1!$C$23</definedName>
    <definedName name="p_SNX">Sheet1!$C$22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75" i="1" l="1"/>
  <c r="C84" i="1"/>
  <c r="D30" i="1"/>
  <c r="D26" i="1"/>
  <c r="D27" i="1"/>
  <c r="C31" i="1"/>
  <c r="C89" i="1" s="1"/>
  <c r="C58" i="1"/>
  <c r="C50" i="1"/>
  <c r="E82" i="1"/>
  <c r="C104" i="1"/>
  <c r="D104" i="1" s="1"/>
  <c r="D103" i="1"/>
  <c r="H99" i="1" s="1"/>
  <c r="G49" i="1"/>
  <c r="G48" i="1"/>
  <c r="J48" i="1" s="1"/>
  <c r="D82" i="1"/>
  <c r="C82" i="1"/>
  <c r="F49" i="1"/>
  <c r="D70" i="1"/>
  <c r="K70" i="1" s="1"/>
  <c r="E69" i="1" s="1"/>
  <c r="E26" i="1" l="1"/>
  <c r="E27" i="1" s="1"/>
  <c r="C90" i="1"/>
  <c r="D31" i="1"/>
  <c r="F82" i="1"/>
  <c r="J49" i="1"/>
  <c r="K74" i="1"/>
  <c r="E68" i="1" s="1"/>
  <c r="F68" i="1" s="1"/>
  <c r="G82" i="1"/>
  <c r="H82" i="1"/>
  <c r="F60" i="1"/>
  <c r="F55" i="1"/>
  <c r="C33" i="1" l="1"/>
  <c r="C34" i="1" s="1"/>
  <c r="G68" i="1"/>
  <c r="I82" i="1"/>
  <c r="J50" i="1"/>
  <c r="C49" i="1" s="1"/>
  <c r="C51" i="1" s="1"/>
  <c r="C52" i="1" s="1"/>
  <c r="C111" i="1"/>
  <c r="D34" i="1" l="1"/>
  <c r="C35" i="1" s="1"/>
  <c r="D84" i="1"/>
  <c r="G84" i="1" s="1"/>
  <c r="D105" i="1"/>
  <c r="F69" i="1"/>
  <c r="C76" i="1" s="1"/>
  <c r="D35" i="1" l="1"/>
  <c r="D83" i="1"/>
  <c r="G83" i="1" s="1"/>
  <c r="G85" i="1" s="1"/>
  <c r="C105" i="1"/>
  <c r="E84" i="1" s="1"/>
  <c r="D106" i="1"/>
  <c r="C106" i="1" s="1"/>
  <c r="G69" i="1"/>
  <c r="G70" i="1" s="1"/>
  <c r="D89" i="1"/>
  <c r="C112" i="1" s="1"/>
  <c r="H49" i="1" l="1"/>
  <c r="F84" i="1"/>
  <c r="H84" i="1"/>
  <c r="I84" i="1" s="1"/>
  <c r="H48" i="1"/>
  <c r="K48" i="1" s="1"/>
  <c r="E83" i="1"/>
  <c r="G90" i="1"/>
  <c r="H98" i="1" s="1"/>
  <c r="C114" i="1"/>
  <c r="C91" i="1" s="1"/>
  <c r="C92" i="1" s="1"/>
  <c r="I48" i="1" l="1"/>
  <c r="K49" i="1"/>
  <c r="L49" i="1" s="1"/>
  <c r="I49" i="1"/>
  <c r="F83" i="1"/>
  <c r="H83" i="1"/>
  <c r="L48" i="1"/>
  <c r="C93" i="1"/>
  <c r="L50" i="1" l="1"/>
  <c r="C113" i="1" s="1"/>
  <c r="C115" i="1" s="1"/>
  <c r="K50" i="1"/>
  <c r="I83" i="1"/>
  <c r="I85" i="1" s="1"/>
  <c r="I90" i="1" s="1"/>
  <c r="H97" i="1" s="1"/>
  <c r="H100" i="1" s="1"/>
  <c r="H85" i="1"/>
  <c r="D92" i="1" l="1"/>
  <c r="H90" i="1"/>
  <c r="H91"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C31" authorId="0" shapeId="0" xr:uid="{B9DFD962-2CAB-4919-9A28-ED956CA542CA}">
      <text>
        <r>
          <rPr>
            <b/>
            <sz val="9"/>
            <color indexed="81"/>
            <rFont val="Tahoma"/>
            <family val="2"/>
          </rPr>
          <t>ML:</t>
        </r>
        <r>
          <rPr>
            <sz val="9"/>
            <color indexed="81"/>
            <rFont val="Tahoma"/>
            <family val="2"/>
          </rPr>
          <t xml:space="preserve">
assumes staker mints the full amount of SNX staked as sUSD</t>
        </r>
      </text>
    </comment>
    <comment ref="C49" authorId="0" shapeId="0" xr:uid="{E9DB318D-286F-4B15-82DF-4EE453135CB1}">
      <text>
        <r>
          <rPr>
            <b/>
            <sz val="9"/>
            <color rgb="FF000000"/>
            <rFont val="Tahoma"/>
            <family val="2"/>
          </rPr>
          <t xml:space="preserve">ML: </t>
        </r>
        <r>
          <rPr>
            <sz val="9"/>
            <color rgb="FF000000"/>
            <rFont val="Tahoma"/>
            <family val="2"/>
          </rPr>
          <t xml:space="preserve">assume that at the beginning, the collateralization ratio of collateral pool to debt pool is the same as the required 600%
</t>
        </r>
      </text>
    </comment>
    <comment ref="C113" authorId="0" shapeId="0" xr:uid="{F8BABA56-03A7-4191-ADFB-A72E3C76965A}">
      <text>
        <r>
          <rPr>
            <b/>
            <sz val="9"/>
            <color indexed="81"/>
            <rFont val="Tahoma"/>
            <family val="2"/>
          </rPr>
          <t>ML:</t>
        </r>
        <r>
          <rPr>
            <sz val="9"/>
            <color indexed="81"/>
            <rFont val="Tahoma"/>
            <family val="2"/>
          </rPr>
          <t xml:space="preserve">
= existing debt ratio * updated value of debt pool</t>
        </r>
      </text>
    </comment>
    <comment ref="C114" authorId="0" shapeId="0" xr:uid="{B8CBA91D-C56F-45C6-B908-E17628F91434}">
      <text>
        <r>
          <rPr>
            <b/>
            <sz val="9"/>
            <color indexed="81"/>
            <rFont val="Tahoma"/>
            <family val="2"/>
          </rPr>
          <t>ML:</t>
        </r>
        <r>
          <rPr>
            <sz val="9"/>
            <color indexed="81"/>
            <rFont val="Tahoma"/>
            <family val="2"/>
          </rPr>
          <t xml:space="preserve">
double check: Liability above + this number shuld = the number above</t>
        </r>
      </text>
    </comment>
  </commentList>
</comments>
</file>

<file path=xl/sharedStrings.xml><?xml version="1.0" encoding="utf-8"?>
<sst xmlns="http://schemas.openxmlformats.org/spreadsheetml/2006/main" count="164" uniqueCount="120">
  <si>
    <t>Collateral Pool</t>
  </si>
  <si>
    <t>Debt Pool</t>
  </si>
  <si>
    <t>Token</t>
  </si>
  <si>
    <t>SNX</t>
  </si>
  <si>
    <t>Number of tokens</t>
  </si>
  <si>
    <t>State changes</t>
  </si>
  <si>
    <t>Deposit SNX</t>
  </si>
  <si>
    <t>Number of sUSD minted</t>
  </si>
  <si>
    <t>Change</t>
  </si>
  <si>
    <t>Ending amount</t>
  </si>
  <si>
    <t>Synths</t>
  </si>
  <si>
    <t>Price</t>
  </si>
  <si>
    <t>Number</t>
  </si>
  <si>
    <t>Beginning amount</t>
  </si>
  <si>
    <t>Value</t>
  </si>
  <si>
    <t>sUSD</t>
  </si>
  <si>
    <t>sBTC</t>
  </si>
  <si>
    <t>External price</t>
  </si>
  <si>
    <t>Deposit SNX and mint sUSD</t>
  </si>
  <si>
    <t>Burn sUSD</t>
  </si>
  <si>
    <t>Mint sBTC</t>
  </si>
  <si>
    <t>Exchange synths: burn sUSD, mint sBTC</t>
  </si>
  <si>
    <t>Exchange synths: burn sBTC, mint sUSD</t>
  </si>
  <si>
    <t>Burn sBTC</t>
  </si>
  <si>
    <t>Mint sUSD</t>
  </si>
  <si>
    <t>link to another cell</t>
  </si>
  <si>
    <t>external input</t>
  </si>
  <si>
    <t>chosen variable</t>
  </si>
  <si>
    <t>Legend</t>
  </si>
  <si>
    <t>sUSD:USDC pool</t>
  </si>
  <si>
    <t>https://info.uniswap.org/#/tokens/0x57ab1ec28d129707052df4df418d58a2d46d5f51</t>
  </si>
  <si>
    <t>USDC</t>
  </si>
  <si>
    <t>Invariant function (constant product)</t>
  </si>
  <si>
    <t>X * Y = K</t>
  </si>
  <si>
    <t>X</t>
  </si>
  <si>
    <t>Y</t>
  </si>
  <si>
    <t>key result</t>
  </si>
  <si>
    <t>Sell USDC</t>
  </si>
  <si>
    <t>Receive sUSD</t>
  </si>
  <si>
    <t>Acquire sUSD with USDC</t>
  </si>
  <si>
    <t>Deposit into pool</t>
  </si>
  <si>
    <t>Deposit sUSD</t>
  </si>
  <si>
    <t>Deposit USDC</t>
  </si>
  <si>
    <t>sUSD/USDC ratio</t>
  </si>
  <si>
    <t>Assets</t>
  </si>
  <si>
    <t>Assumptions</t>
  </si>
  <si>
    <t>Asset</t>
  </si>
  <si>
    <t>External Price</t>
  </si>
  <si>
    <t>BTC</t>
  </si>
  <si>
    <t>Debt pool value</t>
  </si>
  <si>
    <t>Collateral Pool Value</t>
  </si>
  <si>
    <t>AMM Pool Value</t>
  </si>
  <si>
    <t>SNX Staker</t>
  </si>
  <si>
    <t>Beginning</t>
  </si>
  <si>
    <t>Ending</t>
  </si>
  <si>
    <t>Liability</t>
  </si>
  <si>
    <t>Change in value of debt pool</t>
  </si>
  <si>
    <t>sUSD minted / (sUSD burned)</t>
  </si>
  <si>
    <t>in sUSD</t>
  </si>
  <si>
    <t>Debt ratio (1)</t>
  </si>
  <si>
    <t>(1) Debt ratio = debt o/s / debt pool. Represents the proportion of the debt pool that the stake is responsible for</t>
  </si>
  <si>
    <t>Net assets</t>
  </si>
  <si>
    <t>Staker assets</t>
  </si>
  <si>
    <t>Collateralization ratio requirement for minting sUSD from SNX stake</t>
  </si>
  <si>
    <t>Debt pool beginning position</t>
  </si>
  <si>
    <t>Action: stake more SNX and buy the global portoflio of synths</t>
  </si>
  <si>
    <t>Add more SNX to collateral pool</t>
  </si>
  <si>
    <t>#</t>
  </si>
  <si>
    <t>$</t>
  </si>
  <si>
    <t>New sUSD debt</t>
  </si>
  <si>
    <t>Buy BTC according to the proportion in the debt pool</t>
  </si>
  <si>
    <t xml:space="preserve"> </t>
  </si>
  <si>
    <t>Profits</t>
  </si>
  <si>
    <t>Portfolio value</t>
  </si>
  <si>
    <t>Ending value</t>
  </si>
  <si>
    <t>Net profit</t>
  </si>
  <si>
    <t>Less: Additional investment</t>
  </si>
  <si>
    <t>Less: Initial value</t>
  </si>
  <si>
    <t>Retained sUSD exposure</t>
  </si>
  <si>
    <t>Ch. in value of debt pool from change in value of Synths</t>
  </si>
  <si>
    <t>Ending debt outstanding aka owned sUSD</t>
  </si>
  <si>
    <t>Beginning debt outstanding aka owned sUSD</t>
  </si>
  <si>
    <t>Value of debt owed by Staker</t>
  </si>
  <si>
    <t>Debt ratio of Staker</t>
  </si>
  <si>
    <t>Incremental debt owed by Staker</t>
  </si>
  <si>
    <t>Check</t>
  </si>
  <si>
    <t>Debt increase/(decrease)</t>
  </si>
  <si>
    <t>Scenario: BTC price changes</t>
  </si>
  <si>
    <t>BTC moves by x%</t>
  </si>
  <si>
    <t>%</t>
  </si>
  <si>
    <t>% change in net assets</t>
  </si>
  <si>
    <t>If an investment was NOT made, refer to the Net Assets section instead.</t>
  </si>
  <si>
    <t>This section only applies where an additional investment was made e.g. stake more SNX.</t>
  </si>
  <si>
    <t>SNX staked</t>
  </si>
  <si>
    <t>Staker's initial position</t>
  </si>
  <si>
    <t>sUSD minted</t>
  </si>
  <si>
    <t>in tokens</t>
  </si>
  <si>
    <t>in $</t>
  </si>
  <si>
    <t>sUSD left</t>
  </si>
  <si>
    <t>Exchange for sBTC</t>
  </si>
  <si>
    <t>% of sUSD exchanged for sBTC</t>
  </si>
  <si>
    <t>sBTC purchased</t>
  </si>
  <si>
    <t>State change</t>
  </si>
  <si>
    <t>Beginning K (in mn)</t>
  </si>
  <si>
    <t>New K (in mn)</t>
  </si>
  <si>
    <t>Components</t>
  </si>
  <si>
    <t>AMM DEX (external)</t>
  </si>
  <si>
    <t>x</t>
  </si>
  <si>
    <t>Instructions</t>
  </si>
  <si>
    <t>end</t>
  </si>
  <si>
    <t>&gt;&gt; changing this to a any number other than pro-rata to the existing pool will result in profits/losses when the price of BTC changes, through no action on the part of the Staker. Changing it to 0% reflects a Staker that doesn’t exchange his sUSD for other Synths; he is by default short the global portfolio</t>
  </si>
  <si>
    <t>Synthetix Model</t>
  </si>
  <si>
    <t>for things like price of BTC</t>
  </si>
  <si>
    <t>Key metrics</t>
  </si>
  <si>
    <t>Change these to see impact of certain actions/scenarios</t>
  </si>
  <si>
    <t>Important: Before entering variables for any action, scenario, or state change, make sure to zero out all the other blue chosen variable cells! Otherwise it will be hard to compare the Beginning and Ending values.</t>
  </si>
  <si>
    <t>This model can be used to measure the expected profit/loss of an SNX staker when the value of the Synths (other than sUSD) changes. It can also be used to illustrate the impact of how closely a staker mirrors the global portfolio of Synths: he suffers no losses/gains when the price of underlying Synths move, if he mirrors the global portfolio exactly. Otherwise, he may suffer substantial losses. This illustratates that a staker is effectively "short the global portfolio."</t>
  </si>
  <si>
    <t>Potential enhancements: impact of changes in SNX price on collateralization ratio. Collateralization ratio can change if the numerator changes (sUSD debt changes as the value of Synths changes), or if the denominator changes (value of SNX changes). The model could be used to calculate the amount of SNX a Staker would need to add to the reserve. When Synths increase in value, the Staker's outstanding debt rises, which hurts our collateralization ratio (even if the value of the sBTC counters the negative effect completely). The Staker has to liquidate the sBTC to pay off some sUSD to meet the 600% collateralization ratio gain.. The analysis would illustrate how actively one has to manage their Synthetix portfolio.</t>
  </si>
  <si>
    <t>Last updated: 29 Jan 2022. DM me at Twitter @88crypt for feedback/suggestions.</t>
  </si>
  <si>
    <t>Note: this section is irrelevant for the calcs here, so the rows are hidden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</si>
</sst>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6" formatCode="&quot;$&quot;#,##0_);[Red]\(&quot;$&quot;#,##0\)"/>
    <numFmt numFmtId="8" formatCode="&quot;$&quot;#,##0.00_);[Red]\(&quot;$&quot;#,##0.00\)"/>
    <numFmt numFmtId="43" formatCode="_(* #,##0.00_);_(* \(#,##0.00\);_(* &quot;-&quot;??_);_(@_)"/>
    <numFmt numFmtId="164" formatCode="&quot;$&quot;#,##0"/>
    <numFmt numFmtId="165" formatCode="&quot;$&quot;#,##0.0000_);[Red]\(&quot;$&quot;#,##0.0000\)"/>
    <numFmt numFmtId="166" formatCode="0.0%"/>
    <numFmt numFmtId="167" formatCode="0.0%_);\(0.0\)%"/>
    <numFmt numFmtId="168" formatCode="_(* #,##0_);_(* \(#,##0\);_(* &quot;-&quot;??_);_(@_)"/>
  </numFmts>
  <fonts count="28" x14ac:knownFonts="1">
    <font>
      <sz val="11"/>
      <color theme="1"/>
      <name val="Calibri"/>
      <family val="2"/>
      <scheme val="minor"/>
    </font>
    <font>
      <sz val="11"/>
      <color theme="1"/>
      <name val="Calibri"/>
      <family val="2"/>
      <scheme val="minor"/>
    </font>
    <font>
      <sz val="9"/>
      <color theme="1"/>
      <name val="Arial"/>
      <family val="2"/>
    </font>
    <font>
      <b/>
      <sz val="9"/>
      <color theme="1"/>
      <name val="Arial"/>
      <family val="2"/>
    </font>
    <font>
      <u/>
      <sz val="9"/>
      <color theme="1"/>
      <name val="Arial"/>
      <family val="2"/>
    </font>
    <font>
      <sz val="9"/>
      <color rgb="FF0070C0"/>
      <name val="Arial"/>
      <family val="2"/>
    </font>
    <font>
      <sz val="9"/>
      <color theme="1"/>
      <name val="Calibri"/>
      <family val="2"/>
      <scheme val="minor"/>
    </font>
    <font>
      <b/>
      <sz val="9"/>
      <color rgb="FFFF0000"/>
      <name val="Arial"/>
      <family val="2"/>
    </font>
    <font>
      <sz val="9"/>
      <color rgb="FF00B050"/>
      <name val="Arial"/>
      <family val="2"/>
    </font>
    <font>
      <sz val="9"/>
      <color rgb="FF00B0F0"/>
      <name val="Arial"/>
      <family val="2"/>
    </font>
    <font>
      <b/>
      <sz val="9"/>
      <color rgb="FF0070C0"/>
      <name val="Arial"/>
      <family val="2"/>
    </font>
    <font>
      <b/>
      <sz val="9"/>
      <color rgb="FF00B0F0"/>
      <name val="Arial"/>
      <family val="2"/>
    </font>
    <font>
      <sz val="9"/>
      <color rgb="FF7030A0"/>
      <name val="Arial"/>
      <family val="2"/>
    </font>
    <font>
      <b/>
      <sz val="9"/>
      <color rgb="FF7030A0"/>
      <name val="Arial"/>
      <family val="2"/>
    </font>
    <font>
      <sz val="9"/>
      <name val="Arial"/>
      <family val="2"/>
    </font>
    <font>
      <sz val="9"/>
      <color indexed="81"/>
      <name val="Tahoma"/>
      <family val="2"/>
    </font>
    <font>
      <b/>
      <sz val="9"/>
      <color indexed="81"/>
      <name val="Tahoma"/>
      <family val="2"/>
    </font>
    <font>
      <i/>
      <sz val="9"/>
      <color theme="1"/>
      <name val="Arial"/>
      <family val="2"/>
    </font>
    <font>
      <b/>
      <u/>
      <sz val="9"/>
      <color theme="1"/>
      <name val="Arial"/>
      <family val="2"/>
    </font>
    <font>
      <b/>
      <sz val="9"/>
      <color rgb="FF00B050"/>
      <name val="Arial"/>
      <family val="2"/>
    </font>
    <font>
      <sz val="9"/>
      <color rgb="FFC00000"/>
      <name val="Arial"/>
      <family val="2"/>
    </font>
    <font>
      <b/>
      <i/>
      <sz val="9"/>
      <color rgb="FF7030A0"/>
      <name val="Arial"/>
      <family val="2"/>
    </font>
    <font>
      <b/>
      <sz val="9"/>
      <color theme="0"/>
      <name val="Arial"/>
      <family val="2"/>
    </font>
    <font>
      <sz val="9"/>
      <color theme="0"/>
      <name val="Arial"/>
      <family val="2"/>
    </font>
    <font>
      <b/>
      <sz val="18"/>
      <color theme="1"/>
      <name val="Arial"/>
      <family val="2"/>
    </font>
    <font>
      <i/>
      <sz val="7"/>
      <color theme="1"/>
      <name val="Arial"/>
      <family val="2"/>
    </font>
    <font>
      <b/>
      <sz val="9"/>
      <color rgb="FF000000"/>
      <name val="Tahoma"/>
      <family val="2"/>
    </font>
    <font>
      <sz val="9"/>
      <color rgb="FF000000"/>
      <name val="Tahoma"/>
      <family val="2"/>
    </font>
  </fonts>
  <fills count="7">
    <fill>
      <patternFill patternType="none"/>
    </fill>
    <fill>
      <patternFill patternType="gray125"/>
    </fill>
    <fill>
      <patternFill patternType="solid">
        <fgColor theme="8" tint="0.79998168889431442"/>
        <bgColor indexed="64"/>
      </patternFill>
    </fill>
    <fill>
      <patternFill patternType="solid">
        <fgColor rgb="FFCCCCFF"/>
        <bgColor indexed="64"/>
      </patternFill>
    </fill>
    <fill>
      <patternFill patternType="solid">
        <fgColor rgb="FF0070C0"/>
        <bgColor indexed="64"/>
      </patternFill>
    </fill>
    <fill>
      <patternFill patternType="solid">
        <fgColor theme="0" tint="-4.9989318521683403E-2"/>
        <bgColor indexed="64"/>
      </patternFill>
    </fill>
    <fill>
      <patternFill patternType="solid">
        <fgColor theme="8" tint="0.39997558519241921"/>
        <bgColor indexed="64"/>
      </patternFill>
    </fill>
  </fills>
  <borders count="13">
    <border>
      <left/>
      <right/>
      <top/>
      <bottom/>
      <diagonal/>
    </border>
    <border>
      <left/>
      <right/>
      <top/>
      <bottom style="thin">
        <color indexed="64"/>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127">
    <xf numFmtId="0" fontId="0" fillId="0" borderId="0" xfId="0"/>
    <xf numFmtId="0" fontId="2" fillId="0" borderId="0" xfId="0" applyFont="1"/>
    <xf numFmtId="0" fontId="2" fillId="0" borderId="0" xfId="0" applyFont="1" applyFill="1"/>
    <xf numFmtId="0" fontId="3" fillId="0" borderId="0" xfId="0" applyFont="1"/>
    <xf numFmtId="0" fontId="4" fillId="0" borderId="0" xfId="0" applyFont="1"/>
    <xf numFmtId="164" fontId="2" fillId="0" borderId="0" xfId="0" applyNumberFormat="1" applyFont="1"/>
    <xf numFmtId="0" fontId="6" fillId="0" borderId="0" xfId="0" applyFont="1"/>
    <xf numFmtId="0" fontId="2" fillId="0" borderId="0" xfId="0" applyFont="1" applyAlignment="1">
      <alignment horizontal="left" indent="1"/>
    </xf>
    <xf numFmtId="0" fontId="7" fillId="0" borderId="0" xfId="0" applyFont="1"/>
    <xf numFmtId="0" fontId="2" fillId="0" borderId="1" xfId="0" applyFont="1" applyBorder="1"/>
    <xf numFmtId="6" fontId="2" fillId="0" borderId="0" xfId="0" applyNumberFormat="1" applyFont="1"/>
    <xf numFmtId="0" fontId="2" fillId="0" borderId="0" xfId="0" applyFont="1" applyBorder="1"/>
    <xf numFmtId="0" fontId="2" fillId="0" borderId="2" xfId="0" applyFont="1" applyBorder="1"/>
    <xf numFmtId="164" fontId="2" fillId="0" borderId="2" xfId="0" applyNumberFormat="1" applyFont="1" applyBorder="1"/>
    <xf numFmtId="0" fontId="2" fillId="0" borderId="5" xfId="0" applyFont="1" applyBorder="1"/>
    <xf numFmtId="0" fontId="8" fillId="0" borderId="6" xfId="0" applyFont="1" applyBorder="1"/>
    <xf numFmtId="0" fontId="2" fillId="0" borderId="6" xfId="0" applyFont="1" applyBorder="1"/>
    <xf numFmtId="0" fontId="2" fillId="0" borderId="7" xfId="0" applyFont="1" applyBorder="1"/>
    <xf numFmtId="6" fontId="10" fillId="0" borderId="0" xfId="0" applyNumberFormat="1" applyFont="1"/>
    <xf numFmtId="8" fontId="10" fillId="0" borderId="0" xfId="0" applyNumberFormat="1" applyFont="1"/>
    <xf numFmtId="0" fontId="11" fillId="0" borderId="6" xfId="0" applyFont="1" applyBorder="1"/>
    <xf numFmtId="0" fontId="11" fillId="2" borderId="6" xfId="0" applyFont="1" applyFill="1" applyBorder="1"/>
    <xf numFmtId="1" fontId="2" fillId="0" borderId="0" xfId="0" applyNumberFormat="1" applyFont="1"/>
    <xf numFmtId="0" fontId="2" fillId="0" borderId="0" xfId="0" applyFont="1" applyAlignment="1">
      <alignment horizontal="right"/>
    </xf>
    <xf numFmtId="0" fontId="13" fillId="3" borderId="0" xfId="0" applyFont="1" applyFill="1"/>
    <xf numFmtId="0" fontId="13" fillId="3" borderId="0" xfId="0" applyFont="1" applyFill="1" applyBorder="1"/>
    <xf numFmtId="0" fontId="5" fillId="0" borderId="0" xfId="0" applyFont="1" applyAlignment="1">
      <alignment horizontal="right"/>
    </xf>
    <xf numFmtId="164" fontId="13" fillId="3" borderId="0" xfId="0" applyNumberFormat="1" applyFont="1" applyFill="1"/>
    <xf numFmtId="0" fontId="3" fillId="0" borderId="2" xfId="0" applyFont="1" applyBorder="1"/>
    <xf numFmtId="164" fontId="13" fillId="3" borderId="2" xfId="0" applyNumberFormat="1" applyFont="1" applyFill="1" applyBorder="1"/>
    <xf numFmtId="0" fontId="2" fillId="0" borderId="0" xfId="0" applyFont="1" applyAlignment="1">
      <alignment horizontal="left" indent="2"/>
    </xf>
    <xf numFmtId="0" fontId="13" fillId="0" borderId="2" xfId="0" applyFont="1" applyFill="1" applyBorder="1"/>
    <xf numFmtId="0" fontId="13" fillId="3" borderId="2" xfId="0" applyFont="1" applyFill="1" applyBorder="1" applyAlignment="1">
      <alignment horizontal="right"/>
    </xf>
    <xf numFmtId="165" fontId="10" fillId="0" borderId="0" xfId="0" applyNumberFormat="1" applyFont="1"/>
    <xf numFmtId="165" fontId="2" fillId="0" borderId="0" xfId="0" applyNumberFormat="1" applyFont="1"/>
    <xf numFmtId="8" fontId="2" fillId="0" borderId="0" xfId="0" applyNumberFormat="1" applyFont="1"/>
    <xf numFmtId="43" fontId="2" fillId="0" borderId="2" xfId="1" applyFont="1" applyBorder="1"/>
    <xf numFmtId="38" fontId="2" fillId="0" borderId="0" xfId="0" applyNumberFormat="1" applyFont="1"/>
    <xf numFmtId="0" fontId="2" fillId="0" borderId="1" xfId="0" applyFont="1" applyBorder="1" applyAlignment="1">
      <alignment horizontal="right"/>
    </xf>
    <xf numFmtId="6" fontId="14" fillId="0" borderId="0" xfId="0" applyNumberFormat="1" applyFont="1"/>
    <xf numFmtId="0" fontId="2" fillId="0" borderId="1" xfId="0" applyFont="1" applyBorder="1" applyAlignment="1">
      <alignment horizontal="left"/>
    </xf>
    <xf numFmtId="40" fontId="2" fillId="0" borderId="0" xfId="0" applyNumberFormat="1" applyFont="1"/>
    <xf numFmtId="0" fontId="13" fillId="3" borderId="2" xfId="0" applyFont="1" applyFill="1" applyBorder="1" applyAlignment="1">
      <alignment horizontal="left"/>
    </xf>
    <xf numFmtId="0" fontId="12" fillId="0" borderId="2" xfId="0" applyFont="1" applyFill="1" applyBorder="1" applyAlignment="1">
      <alignment horizontal="right"/>
    </xf>
    <xf numFmtId="0" fontId="12" fillId="0" borderId="10" xfId="0" applyFont="1" applyFill="1" applyBorder="1" applyAlignment="1">
      <alignment horizontal="right"/>
    </xf>
    <xf numFmtId="164" fontId="12" fillId="0" borderId="10" xfId="0" applyNumberFormat="1" applyFont="1" applyFill="1" applyBorder="1"/>
    <xf numFmtId="6" fontId="13" fillId="3" borderId="2" xfId="0" applyNumberFormat="1" applyFont="1" applyFill="1" applyBorder="1"/>
    <xf numFmtId="6" fontId="2" fillId="0" borderId="2" xfId="0" applyNumberFormat="1" applyFont="1" applyBorder="1"/>
    <xf numFmtId="0" fontId="3" fillId="0" borderId="1" xfId="0" applyFont="1" applyBorder="1"/>
    <xf numFmtId="9" fontId="2" fillId="0" borderId="0" xfId="2" applyFont="1"/>
    <xf numFmtId="0" fontId="2" fillId="0" borderId="10" xfId="0" applyFont="1" applyBorder="1" applyAlignment="1">
      <alignment horizontal="right"/>
    </xf>
    <xf numFmtId="0" fontId="12" fillId="3" borderId="1" xfId="0" applyFont="1" applyFill="1" applyBorder="1"/>
    <xf numFmtId="6" fontId="12" fillId="3" borderId="0" xfId="0" applyNumberFormat="1" applyFont="1" applyFill="1"/>
    <xf numFmtId="6" fontId="12" fillId="3" borderId="0" xfId="0" applyNumberFormat="1" applyFont="1" applyFill="1" applyBorder="1"/>
    <xf numFmtId="0" fontId="12" fillId="3" borderId="2" xfId="0" applyFont="1" applyFill="1" applyBorder="1"/>
    <xf numFmtId="6" fontId="14" fillId="3" borderId="0" xfId="0" applyNumberFormat="1" applyFont="1" applyFill="1"/>
    <xf numFmtId="9" fontId="2" fillId="0" borderId="0" xfId="0" applyNumberFormat="1" applyFont="1"/>
    <xf numFmtId="9" fontId="10" fillId="0" borderId="0" xfId="0" applyNumberFormat="1" applyFont="1"/>
    <xf numFmtId="38" fontId="10" fillId="0" borderId="0" xfId="0" applyNumberFormat="1" applyFont="1"/>
    <xf numFmtId="38" fontId="2" fillId="0" borderId="0" xfId="0" applyNumberFormat="1" applyFont="1" applyFill="1"/>
    <xf numFmtId="38" fontId="14" fillId="0" borderId="0" xfId="0" applyNumberFormat="1" applyFont="1" applyFill="1"/>
    <xf numFmtId="166" fontId="12" fillId="3" borderId="0" xfId="2" applyNumberFormat="1" applyFont="1" applyFill="1"/>
    <xf numFmtId="166" fontId="12" fillId="3" borderId="2" xfId="2" applyNumberFormat="1" applyFont="1" applyFill="1" applyBorder="1"/>
    <xf numFmtId="38" fontId="10" fillId="2" borderId="0" xfId="0" applyNumberFormat="1" applyFont="1" applyFill="1"/>
    <xf numFmtId="0" fontId="17" fillId="0" borderId="0" xfId="0" applyFont="1"/>
    <xf numFmtId="6" fontId="8" fillId="0" borderId="1" xfId="0" applyNumberFormat="1" applyFont="1" applyBorder="1"/>
    <xf numFmtId="38" fontId="8" fillId="0" borderId="0" xfId="0" applyNumberFormat="1" applyFont="1" applyFill="1"/>
    <xf numFmtId="40" fontId="2" fillId="0" borderId="0" xfId="0" applyNumberFormat="1" applyFont="1" applyFill="1"/>
    <xf numFmtId="4" fontId="2" fillId="0" borderId="0" xfId="0" applyNumberFormat="1" applyFont="1" applyFill="1"/>
    <xf numFmtId="6" fontId="2" fillId="0" borderId="0" xfId="0" applyNumberFormat="1" applyFont="1" applyFill="1"/>
    <xf numFmtId="3" fontId="2" fillId="0" borderId="0" xfId="0" applyNumberFormat="1" applyFont="1" applyFill="1"/>
    <xf numFmtId="40" fontId="8" fillId="0" borderId="0" xfId="0" applyNumberFormat="1" applyFont="1" applyFill="1"/>
    <xf numFmtId="0" fontId="18" fillId="0" borderId="0" xfId="0" applyFont="1"/>
    <xf numFmtId="38" fontId="10" fillId="0" borderId="0" xfId="0" applyNumberFormat="1" applyFont="1" applyFill="1"/>
    <xf numFmtId="38" fontId="19" fillId="0" borderId="0" xfId="0" applyNumberFormat="1" applyFont="1" applyFill="1"/>
    <xf numFmtId="0" fontId="2" fillId="3" borderId="1" xfId="0" applyFont="1" applyFill="1" applyBorder="1" applyAlignment="1">
      <alignment horizontal="right"/>
    </xf>
    <xf numFmtId="38" fontId="8" fillId="3" borderId="0" xfId="0" applyNumberFormat="1" applyFont="1" applyFill="1"/>
    <xf numFmtId="38" fontId="3" fillId="3" borderId="0" xfId="0" applyNumberFormat="1" applyFont="1" applyFill="1"/>
    <xf numFmtId="0" fontId="2" fillId="0" borderId="0" xfId="0" applyFont="1" applyAlignment="1">
      <alignment horizontal="left"/>
    </xf>
    <xf numFmtId="166" fontId="2" fillId="0" borderId="0" xfId="0" applyNumberFormat="1" applyFont="1"/>
    <xf numFmtId="164" fontId="17" fillId="0" borderId="0" xfId="0" applyNumberFormat="1" applyFont="1"/>
    <xf numFmtId="9" fontId="10" fillId="2" borderId="0" xfId="0" applyNumberFormat="1" applyFont="1" applyFill="1"/>
    <xf numFmtId="38" fontId="2" fillId="5" borderId="0" xfId="0" applyNumberFormat="1" applyFont="1" applyFill="1"/>
    <xf numFmtId="38" fontId="8" fillId="5" borderId="0" xfId="0" applyNumberFormat="1" applyFont="1" applyFill="1"/>
    <xf numFmtId="166" fontId="12" fillId="3" borderId="0" xfId="2" applyNumberFormat="1" applyFont="1" applyFill="1" applyBorder="1"/>
    <xf numFmtId="0" fontId="21" fillId="3" borderId="0" xfId="0" applyFont="1" applyFill="1" applyBorder="1" applyAlignment="1">
      <alignment horizontal="right"/>
    </xf>
    <xf numFmtId="167" fontId="21" fillId="3" borderId="0" xfId="2" applyNumberFormat="1" applyFont="1" applyFill="1" applyBorder="1"/>
    <xf numFmtId="166" fontId="13" fillId="3" borderId="0" xfId="2" applyNumberFormat="1" applyFont="1" applyFill="1" applyBorder="1"/>
    <xf numFmtId="38" fontId="12" fillId="3" borderId="2" xfId="0" applyNumberFormat="1" applyFont="1" applyFill="1" applyBorder="1"/>
    <xf numFmtId="0" fontId="21" fillId="3" borderId="0" xfId="0" applyFont="1" applyFill="1" applyBorder="1" applyAlignment="1">
      <alignment horizontal="left"/>
    </xf>
    <xf numFmtId="6" fontId="3" fillId="0" borderId="0" xfId="0" applyNumberFormat="1" applyFont="1"/>
    <xf numFmtId="38" fontId="14" fillId="0" borderId="0" xfId="0" applyNumberFormat="1" applyFont="1"/>
    <xf numFmtId="0" fontId="4" fillId="0" borderId="0" xfId="0" applyFont="1" applyAlignment="1">
      <alignment horizontal="right"/>
    </xf>
    <xf numFmtId="165" fontId="5" fillId="0" borderId="0" xfId="0" applyNumberFormat="1" applyFont="1"/>
    <xf numFmtId="40" fontId="10" fillId="2" borderId="0" xfId="0" applyNumberFormat="1" applyFont="1" applyFill="1"/>
    <xf numFmtId="168" fontId="2" fillId="0" borderId="0" xfId="0" applyNumberFormat="1" applyFont="1"/>
    <xf numFmtId="0" fontId="2" fillId="0" borderId="2" xfId="0" applyFont="1" applyBorder="1" applyAlignment="1">
      <alignment horizontal="right"/>
    </xf>
    <xf numFmtId="0" fontId="22" fillId="4" borderId="0" xfId="0" applyFont="1" applyFill="1"/>
    <xf numFmtId="0" fontId="23" fillId="4" borderId="0" xfId="0" applyFont="1" applyFill="1"/>
    <xf numFmtId="0" fontId="2" fillId="6" borderId="0" xfId="0" applyFont="1" applyFill="1"/>
    <xf numFmtId="0" fontId="22" fillId="6" borderId="0" xfId="0" applyFont="1" applyFill="1"/>
    <xf numFmtId="0" fontId="23" fillId="6" borderId="0" xfId="0" applyFont="1" applyFill="1"/>
    <xf numFmtId="0" fontId="23" fillId="0" borderId="0" xfId="0" applyFont="1"/>
    <xf numFmtId="0" fontId="2" fillId="0" borderId="0" xfId="0" applyFont="1" applyFill="1" applyAlignment="1">
      <alignment horizontal="center" vertical="center"/>
    </xf>
    <xf numFmtId="0" fontId="3" fillId="0" borderId="0" xfId="0" applyFont="1" applyAlignment="1">
      <alignment horizontal="center" vertical="center"/>
    </xf>
    <xf numFmtId="0" fontId="2" fillId="0" borderId="0" xfId="0" applyFont="1" applyAlignment="1">
      <alignment horizontal="center" vertical="center"/>
    </xf>
    <xf numFmtId="0" fontId="0" fillId="0" borderId="0" xfId="0" applyAlignment="1">
      <alignment horizontal="center" vertical="center"/>
    </xf>
    <xf numFmtId="0" fontId="24" fillId="0" borderId="0" xfId="0" applyFont="1"/>
    <xf numFmtId="0" fontId="9" fillId="0" borderId="0" xfId="0" applyFont="1" applyFill="1" applyBorder="1"/>
    <xf numFmtId="0" fontId="9" fillId="0" borderId="0" xfId="0" applyFont="1" applyBorder="1"/>
    <xf numFmtId="0" fontId="18" fillId="0" borderId="4" xfId="0" applyFont="1" applyBorder="1" applyAlignment="1">
      <alignment horizontal="center"/>
    </xf>
    <xf numFmtId="0" fontId="13" fillId="3" borderId="8" xfId="0" applyFont="1" applyFill="1" applyBorder="1"/>
    <xf numFmtId="0" fontId="13" fillId="0" borderId="1" xfId="0" applyFont="1" applyFill="1" applyBorder="1"/>
    <xf numFmtId="0" fontId="2" fillId="0" borderId="9" xfId="0" applyFont="1" applyBorder="1"/>
    <xf numFmtId="0" fontId="2" fillId="0" borderId="0" xfId="0" applyFont="1" applyAlignment="1">
      <alignment horizontal="left" vertical="center"/>
    </xf>
    <xf numFmtId="9" fontId="10" fillId="2" borderId="0" xfId="0" applyNumberFormat="1" applyFont="1" applyFill="1" applyAlignment="1">
      <alignment vertical="center"/>
    </xf>
    <xf numFmtId="0" fontId="2" fillId="0" borderId="0" xfId="0" applyFont="1" applyAlignment="1">
      <alignment horizontal="left" wrapText="1"/>
    </xf>
    <xf numFmtId="0" fontId="2" fillId="0" borderId="0" xfId="0" applyFont="1" applyAlignment="1">
      <alignment horizontal="left" vertical="center" wrapText="1"/>
    </xf>
    <xf numFmtId="0" fontId="25" fillId="0" borderId="0" xfId="0" applyFont="1" applyAlignment="1">
      <alignment horizontal="left" vertical="center" wrapText="1"/>
    </xf>
    <xf numFmtId="0" fontId="20" fillId="0" borderId="0" xfId="0" applyFont="1" applyAlignment="1">
      <alignment horizontal="left" wrapText="1"/>
    </xf>
    <xf numFmtId="0" fontId="2" fillId="0" borderId="0" xfId="0" applyFont="1" applyAlignment="1">
      <alignment horizontal="left" wrapText="1"/>
    </xf>
    <xf numFmtId="0" fontId="2" fillId="0" borderId="3" xfId="0" applyFont="1" applyBorder="1" applyAlignment="1">
      <alignment horizontal="center"/>
    </xf>
    <xf numFmtId="0" fontId="2" fillId="0" borderId="0" xfId="0" applyFont="1" applyBorder="1" applyAlignment="1">
      <alignment horizontal="center"/>
    </xf>
    <xf numFmtId="0" fontId="2" fillId="0" borderId="11" xfId="0" applyFont="1" applyBorder="1" applyAlignment="1">
      <alignment horizontal="center"/>
    </xf>
    <xf numFmtId="0" fontId="2" fillId="0" borderId="10" xfId="0" applyFont="1" applyBorder="1" applyAlignment="1">
      <alignment horizontal="center"/>
    </xf>
    <xf numFmtId="0" fontId="2" fillId="0" borderId="12" xfId="0" applyFont="1" applyBorder="1" applyAlignment="1">
      <alignment horizontal="center"/>
    </xf>
    <xf numFmtId="0" fontId="2" fillId="0" borderId="1" xfId="0" applyFont="1" applyBorder="1" applyAlignment="1">
      <alignment horizontal="center"/>
    </xf>
  </cellXfs>
  <cellStyles count="3">
    <cellStyle name="Comma" xfId="1" builtinId="3"/>
    <cellStyle name="Normal" xfId="0" builtinId="0"/>
    <cellStyle name="Percent" xfId="2" builtinId="5"/>
  </cellStyles>
  <dxfs count="0"/>
  <tableStyles count="0" defaultTableStyle="TableStyleMedium2" defaultPivotStyle="PivotStyleLight16"/>
  <colors>
    <mruColors>
      <color rgb="FFCC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013598-B82F-4FC8-BCC5-8920C8D192D1}">
  <dimension ref="A2:M117"/>
  <sheetViews>
    <sheetView showGridLines="0" tabSelected="1" topLeftCell="A27" zoomScale="110" zoomScaleNormal="110" workbookViewId="0">
      <selection activeCell="B33" sqref="B33"/>
    </sheetView>
  </sheetViews>
  <sheetFormatPr baseColWidth="10" defaultColWidth="8.83203125" defaultRowHeight="12" outlineLevelRow="1" x14ac:dyDescent="0.15"/>
  <cols>
    <col min="1" max="1" width="3.1640625" style="105" customWidth="1"/>
    <col min="2" max="2" width="24.5" style="1" bestFit="1" customWidth="1"/>
    <col min="3" max="3" width="9.1640625" style="1" bestFit="1" customWidth="1"/>
    <col min="4" max="4" width="8.83203125" style="1"/>
    <col min="5" max="5" width="10.33203125" style="1" bestFit="1" customWidth="1"/>
    <col min="6" max="6" width="8.83203125" style="1"/>
    <col min="7" max="7" width="13.6640625" style="1" customWidth="1"/>
    <col min="8" max="15" width="8.83203125" style="1"/>
    <col min="16" max="16" width="27.1640625" style="1" bestFit="1" customWidth="1"/>
    <col min="17" max="16384" width="8.83203125" style="1"/>
  </cols>
  <sheetData>
    <row r="2" spans="1:12" ht="23" x14ac:dyDescent="0.25">
      <c r="B2" s="107" t="s">
        <v>111</v>
      </c>
    </row>
    <row r="4" spans="1:12" x14ac:dyDescent="0.15">
      <c r="B4" s="1" t="s">
        <v>118</v>
      </c>
    </row>
    <row r="5" spans="1:12" x14ac:dyDescent="0.15">
      <c r="A5" s="103"/>
    </row>
    <row r="6" spans="1:12" x14ac:dyDescent="0.15">
      <c r="A6" s="104" t="s">
        <v>107</v>
      </c>
      <c r="B6" s="97" t="s">
        <v>108</v>
      </c>
      <c r="C6" s="98"/>
      <c r="D6" s="98"/>
      <c r="E6" s="98"/>
      <c r="F6" s="98"/>
      <c r="G6" s="98"/>
      <c r="H6" s="98"/>
      <c r="I6" s="98"/>
      <c r="J6" s="98"/>
      <c r="K6" s="98"/>
      <c r="L6" s="98"/>
    </row>
    <row r="7" spans="1:12" x14ac:dyDescent="0.15">
      <c r="A7" s="103"/>
    </row>
    <row r="8" spans="1:12" ht="11.5" customHeight="1" x14ac:dyDescent="0.15">
      <c r="A8" s="103"/>
      <c r="B8" s="117" t="s">
        <v>116</v>
      </c>
      <c r="C8" s="117"/>
      <c r="D8" s="117"/>
      <c r="E8" s="117"/>
      <c r="F8" s="117"/>
      <c r="G8" s="117"/>
      <c r="H8" s="117"/>
      <c r="I8" s="117"/>
      <c r="J8" s="117"/>
      <c r="K8" s="117"/>
      <c r="L8" s="117"/>
    </row>
    <row r="9" spans="1:12" x14ac:dyDescent="0.15">
      <c r="A9" s="103"/>
      <c r="B9" s="117"/>
      <c r="C9" s="117"/>
      <c r="D9" s="117"/>
      <c r="E9" s="117"/>
      <c r="F9" s="117"/>
      <c r="G9" s="117"/>
      <c r="H9" s="117"/>
      <c r="I9" s="117"/>
      <c r="J9" s="117"/>
      <c r="K9" s="117"/>
      <c r="L9" s="117"/>
    </row>
    <row r="10" spans="1:12" x14ac:dyDescent="0.15">
      <c r="A10" s="103"/>
      <c r="B10" s="117"/>
      <c r="C10" s="117"/>
      <c r="D10" s="117"/>
      <c r="E10" s="117"/>
      <c r="F10" s="117"/>
      <c r="G10" s="117"/>
      <c r="H10" s="117"/>
      <c r="I10" s="117"/>
      <c r="J10" s="117"/>
      <c r="K10" s="117"/>
      <c r="L10" s="117"/>
    </row>
    <row r="11" spans="1:12" x14ac:dyDescent="0.15">
      <c r="A11" s="103"/>
      <c r="B11" s="117"/>
      <c r="C11" s="117"/>
      <c r="D11" s="117"/>
      <c r="E11" s="117"/>
      <c r="F11" s="117"/>
      <c r="G11" s="117"/>
      <c r="H11" s="117"/>
      <c r="I11" s="117"/>
      <c r="J11" s="117"/>
      <c r="K11" s="117"/>
      <c r="L11" s="117"/>
    </row>
    <row r="12" spans="1:12" x14ac:dyDescent="0.15">
      <c r="A12" s="103"/>
    </row>
    <row r="13" spans="1:12" ht="11.5" customHeight="1" x14ac:dyDescent="0.15">
      <c r="A13" s="103"/>
      <c r="B13" s="120" t="s">
        <v>117</v>
      </c>
      <c r="C13" s="120"/>
      <c r="D13" s="120"/>
      <c r="E13" s="120"/>
      <c r="F13" s="120"/>
      <c r="G13" s="120"/>
      <c r="H13" s="120"/>
      <c r="I13" s="120"/>
      <c r="J13" s="120"/>
      <c r="K13" s="120"/>
      <c r="L13" s="120"/>
    </row>
    <row r="14" spans="1:12" x14ac:dyDescent="0.15">
      <c r="A14" s="103"/>
      <c r="B14" s="120"/>
      <c r="C14" s="120"/>
      <c r="D14" s="120"/>
      <c r="E14" s="120"/>
      <c r="F14" s="120"/>
      <c r="G14" s="120"/>
      <c r="H14" s="120"/>
      <c r="I14" s="120"/>
      <c r="J14" s="120"/>
      <c r="K14" s="120"/>
      <c r="L14" s="120"/>
    </row>
    <row r="15" spans="1:12" x14ac:dyDescent="0.15">
      <c r="A15" s="103"/>
      <c r="B15" s="120"/>
      <c r="C15" s="120"/>
      <c r="D15" s="120"/>
      <c r="E15" s="120"/>
      <c r="F15" s="120"/>
      <c r="G15" s="120"/>
      <c r="H15" s="120"/>
      <c r="I15" s="120"/>
      <c r="J15" s="120"/>
      <c r="K15" s="120"/>
      <c r="L15" s="120"/>
    </row>
    <row r="16" spans="1:12" x14ac:dyDescent="0.15">
      <c r="A16" s="103"/>
      <c r="B16" s="120"/>
      <c r="C16" s="120"/>
      <c r="D16" s="120"/>
      <c r="E16" s="120"/>
      <c r="F16" s="120"/>
      <c r="G16" s="120"/>
      <c r="H16" s="120"/>
      <c r="I16" s="120"/>
      <c r="J16" s="120"/>
      <c r="K16" s="120"/>
      <c r="L16" s="120"/>
    </row>
    <row r="17" spans="1:12" x14ac:dyDescent="0.15">
      <c r="A17" s="103"/>
      <c r="B17" s="120"/>
      <c r="C17" s="120"/>
      <c r="D17" s="120"/>
      <c r="E17" s="120"/>
      <c r="F17" s="120"/>
      <c r="G17" s="120"/>
      <c r="H17" s="120"/>
      <c r="I17" s="120"/>
      <c r="J17" s="120"/>
      <c r="K17" s="120"/>
      <c r="L17" s="120"/>
    </row>
    <row r="18" spans="1:12" x14ac:dyDescent="0.15">
      <c r="A18" s="103"/>
      <c r="B18" s="116"/>
      <c r="C18" s="116"/>
      <c r="D18" s="116"/>
      <c r="E18" s="116"/>
      <c r="F18" s="116"/>
      <c r="G18" s="116"/>
      <c r="H18" s="116"/>
      <c r="I18" s="116"/>
      <c r="J18" s="116"/>
      <c r="K18" s="116"/>
      <c r="L18" s="116"/>
    </row>
    <row r="19" spans="1:12" x14ac:dyDescent="0.15">
      <c r="A19" s="104" t="s">
        <v>107</v>
      </c>
      <c r="B19" s="97" t="s">
        <v>45</v>
      </c>
      <c r="C19" s="98"/>
      <c r="D19" s="98"/>
      <c r="E19" s="98"/>
      <c r="F19" s="98"/>
      <c r="G19" s="98"/>
      <c r="H19" s="98"/>
      <c r="I19" s="98"/>
      <c r="J19" s="98"/>
      <c r="K19" s="98"/>
      <c r="L19" s="98"/>
    </row>
    <row r="20" spans="1:12" x14ac:dyDescent="0.15">
      <c r="A20" s="103"/>
    </row>
    <row r="21" spans="1:12" x14ac:dyDescent="0.15">
      <c r="A21" s="103"/>
      <c r="B21" s="9" t="s">
        <v>46</v>
      </c>
      <c r="C21" s="9" t="s">
        <v>47</v>
      </c>
      <c r="G21" s="110" t="s">
        <v>28</v>
      </c>
      <c r="H21" s="28"/>
      <c r="I21" s="12"/>
      <c r="J21" s="12"/>
      <c r="K21" s="12"/>
      <c r="L21" s="14"/>
    </row>
    <row r="22" spans="1:12" x14ac:dyDescent="0.15">
      <c r="A22" s="103"/>
      <c r="B22" s="1" t="s">
        <v>3</v>
      </c>
      <c r="C22" s="19">
        <v>5</v>
      </c>
      <c r="G22" s="16"/>
      <c r="H22" s="11"/>
      <c r="I22" s="11"/>
      <c r="J22" s="11"/>
      <c r="K22" s="11"/>
      <c r="L22" s="17"/>
    </row>
    <row r="23" spans="1:12" x14ac:dyDescent="0.15">
      <c r="A23" s="103"/>
      <c r="B23" s="1" t="s">
        <v>48</v>
      </c>
      <c r="C23" s="18">
        <v>35000</v>
      </c>
      <c r="G23" s="21" t="s">
        <v>27</v>
      </c>
      <c r="H23" s="108" t="s">
        <v>114</v>
      </c>
      <c r="I23" s="11"/>
      <c r="J23" s="11"/>
      <c r="K23" s="11"/>
      <c r="L23" s="17"/>
    </row>
    <row r="24" spans="1:12" x14ac:dyDescent="0.15">
      <c r="A24" s="103"/>
      <c r="C24" s="33"/>
      <c r="G24" s="20" t="s">
        <v>26</v>
      </c>
      <c r="H24" s="109" t="s">
        <v>112</v>
      </c>
      <c r="I24" s="11"/>
      <c r="J24" s="11"/>
      <c r="K24" s="11"/>
      <c r="L24" s="17"/>
    </row>
    <row r="25" spans="1:12" x14ac:dyDescent="0.15">
      <c r="A25" s="103"/>
      <c r="B25" s="4" t="s">
        <v>64</v>
      </c>
      <c r="C25" s="92" t="s">
        <v>96</v>
      </c>
      <c r="D25" s="92" t="s">
        <v>97</v>
      </c>
      <c r="E25" s="92" t="s">
        <v>89</v>
      </c>
      <c r="G25" s="15" t="s">
        <v>25</v>
      </c>
      <c r="H25" s="11"/>
      <c r="I25" s="11"/>
      <c r="J25" s="11"/>
      <c r="K25" s="11"/>
      <c r="L25" s="17"/>
    </row>
    <row r="26" spans="1:12" x14ac:dyDescent="0.15">
      <c r="A26" s="103"/>
      <c r="B26" s="7" t="s">
        <v>15</v>
      </c>
      <c r="C26" s="58">
        <v>100000</v>
      </c>
      <c r="D26" s="39">
        <f>+C26</f>
        <v>100000</v>
      </c>
      <c r="E26" s="49">
        <f>+D26/SUM(D26:D27)</f>
        <v>0.41666666666666669</v>
      </c>
      <c r="G26" s="111" t="s">
        <v>36</v>
      </c>
      <c r="H26" s="112" t="s">
        <v>113</v>
      </c>
      <c r="I26" s="9"/>
      <c r="J26" s="9"/>
      <c r="K26" s="9"/>
      <c r="L26" s="113"/>
    </row>
    <row r="27" spans="1:12" x14ac:dyDescent="0.15">
      <c r="A27" s="103"/>
      <c r="B27" s="7" t="s">
        <v>16</v>
      </c>
      <c r="C27" s="58">
        <v>4</v>
      </c>
      <c r="D27" s="39">
        <f>+C27*p_BTC</f>
        <v>140000</v>
      </c>
      <c r="E27" s="56">
        <f>1-E26</f>
        <v>0.58333333333333326</v>
      </c>
      <c r="I27" s="11"/>
    </row>
    <row r="28" spans="1:12" x14ac:dyDescent="0.15">
      <c r="A28" s="103"/>
    </row>
    <row r="29" spans="1:12" x14ac:dyDescent="0.15">
      <c r="A29" s="103"/>
      <c r="B29" s="4" t="s">
        <v>94</v>
      </c>
      <c r="C29" s="92" t="s">
        <v>96</v>
      </c>
      <c r="D29" s="92" t="s">
        <v>97</v>
      </c>
    </row>
    <row r="30" spans="1:12" x14ac:dyDescent="0.15">
      <c r="A30" s="103"/>
      <c r="B30" s="7" t="s">
        <v>93</v>
      </c>
      <c r="C30" s="63">
        <v>60000</v>
      </c>
      <c r="D30" s="39">
        <f>+C30*p_SNX</f>
        <v>300000</v>
      </c>
    </row>
    <row r="31" spans="1:12" x14ac:dyDescent="0.15">
      <c r="A31" s="103"/>
      <c r="B31" s="7" t="s">
        <v>95</v>
      </c>
      <c r="C31" s="91">
        <f>+C30*p_SNX/coll_ratio</f>
        <v>50000</v>
      </c>
      <c r="D31" s="39">
        <f>+C31</f>
        <v>50000</v>
      </c>
    </row>
    <row r="32" spans="1:12" x14ac:dyDescent="0.15">
      <c r="A32" s="103"/>
      <c r="B32" s="7" t="s">
        <v>99</v>
      </c>
    </row>
    <row r="33" spans="1:13" ht="35.5" customHeight="1" x14ac:dyDescent="0.15">
      <c r="A33" s="103"/>
      <c r="B33" s="114" t="s">
        <v>100</v>
      </c>
      <c r="C33" s="115">
        <f>+E27</f>
        <v>0.58333333333333326</v>
      </c>
      <c r="D33" s="118" t="s">
        <v>110</v>
      </c>
      <c r="E33" s="118"/>
      <c r="F33" s="118"/>
      <c r="G33" s="118"/>
      <c r="H33" s="118"/>
      <c r="I33" s="118"/>
      <c r="M33" s="1" t="s">
        <v>71</v>
      </c>
    </row>
    <row r="34" spans="1:13" x14ac:dyDescent="0.15">
      <c r="A34" s="103"/>
      <c r="B34" s="30" t="s">
        <v>101</v>
      </c>
      <c r="C34" s="41">
        <f>(C33*C31)/p_BTC</f>
        <v>0.83333333333333326</v>
      </c>
      <c r="D34" s="39">
        <f>+C34*p_BTC</f>
        <v>29166.666666666664</v>
      </c>
    </row>
    <row r="35" spans="1:13" x14ac:dyDescent="0.15">
      <c r="A35" s="103"/>
      <c r="B35" s="7" t="s">
        <v>98</v>
      </c>
      <c r="C35" s="91">
        <f>+C31-D34</f>
        <v>20833.333333333336</v>
      </c>
      <c r="D35" s="39">
        <f>+C35</f>
        <v>20833.333333333336</v>
      </c>
    </row>
    <row r="36" spans="1:13" x14ac:dyDescent="0.15">
      <c r="A36" s="103"/>
    </row>
    <row r="37" spans="1:13" x14ac:dyDescent="0.15">
      <c r="A37" s="103"/>
      <c r="B37" s="1" t="s">
        <v>63</v>
      </c>
      <c r="C37" s="57">
        <v>6</v>
      </c>
    </row>
    <row r="38" spans="1:13" x14ac:dyDescent="0.15">
      <c r="A38" s="103"/>
    </row>
    <row r="39" spans="1:13" x14ac:dyDescent="0.15">
      <c r="A39" s="103"/>
      <c r="B39" s="119" t="s">
        <v>115</v>
      </c>
      <c r="C39" s="119"/>
      <c r="D39" s="119"/>
      <c r="E39" s="119"/>
      <c r="F39" s="119"/>
    </row>
    <row r="40" spans="1:13" x14ac:dyDescent="0.15">
      <c r="A40" s="103"/>
      <c r="B40" s="119"/>
      <c r="C40" s="119"/>
      <c r="D40" s="119"/>
      <c r="E40" s="119"/>
      <c r="F40" s="119"/>
      <c r="M40" s="1" t="s">
        <v>71</v>
      </c>
    </row>
    <row r="41" spans="1:13" x14ac:dyDescent="0.15">
      <c r="A41" s="103"/>
      <c r="B41" s="119"/>
      <c r="C41" s="119"/>
      <c r="D41" s="119"/>
      <c r="E41" s="119"/>
      <c r="F41" s="119"/>
    </row>
    <row r="43" spans="1:13" x14ac:dyDescent="0.15">
      <c r="A43" s="104" t="s">
        <v>107</v>
      </c>
      <c r="B43" s="97" t="s">
        <v>105</v>
      </c>
      <c r="C43" s="98"/>
      <c r="D43" s="98"/>
      <c r="E43" s="98"/>
      <c r="F43" s="98"/>
      <c r="G43" s="98"/>
      <c r="H43" s="98"/>
      <c r="I43" s="98"/>
      <c r="J43" s="98"/>
      <c r="K43" s="98"/>
      <c r="L43" s="98"/>
    </row>
    <row r="45" spans="1:13" x14ac:dyDescent="0.15">
      <c r="B45" s="100" t="s">
        <v>0</v>
      </c>
      <c r="C45" s="101"/>
      <c r="D45" s="102"/>
      <c r="E45" s="100" t="s">
        <v>1</v>
      </c>
      <c r="F45" s="99"/>
      <c r="G45" s="99"/>
      <c r="H45" s="99"/>
      <c r="I45" s="99"/>
      <c r="J45" s="99"/>
      <c r="K45" s="99"/>
      <c r="L45" s="99"/>
    </row>
    <row r="46" spans="1:13" x14ac:dyDescent="0.15">
      <c r="G46" s="123" t="s">
        <v>12</v>
      </c>
      <c r="H46" s="124"/>
      <c r="I46" s="125"/>
      <c r="J46" s="123" t="s">
        <v>14</v>
      </c>
      <c r="K46" s="124"/>
      <c r="L46" s="125"/>
    </row>
    <row r="47" spans="1:13" x14ac:dyDescent="0.15">
      <c r="B47" s="1" t="s">
        <v>2</v>
      </c>
      <c r="C47" s="26" t="s">
        <v>3</v>
      </c>
      <c r="E47" s="9" t="s">
        <v>10</v>
      </c>
      <c r="F47" s="38" t="s">
        <v>11</v>
      </c>
      <c r="G47" s="9" t="s">
        <v>13</v>
      </c>
      <c r="H47" s="38" t="s">
        <v>8</v>
      </c>
      <c r="I47" s="9" t="s">
        <v>9</v>
      </c>
      <c r="J47" s="23" t="s">
        <v>53</v>
      </c>
      <c r="K47" s="23" t="s">
        <v>8</v>
      </c>
      <c r="L47" s="38" t="s">
        <v>54</v>
      </c>
    </row>
    <row r="48" spans="1:13" x14ac:dyDescent="0.15">
      <c r="B48" s="1" t="s">
        <v>4</v>
      </c>
      <c r="C48" s="6"/>
      <c r="E48" s="1" t="s">
        <v>15</v>
      </c>
      <c r="F48" s="19">
        <v>1</v>
      </c>
      <c r="G48" s="59">
        <f>+C26</f>
        <v>100000</v>
      </c>
      <c r="H48" s="66">
        <f>(-F54+F60)+(C90)+(C58)+(C106)</f>
        <v>0</v>
      </c>
      <c r="I48" s="59">
        <f>SUM(G48,H48)</f>
        <v>100000</v>
      </c>
      <c r="J48" s="13">
        <f>$F48*G48</f>
        <v>100000</v>
      </c>
      <c r="K48" s="13">
        <f>$F48*H48</f>
        <v>0</v>
      </c>
      <c r="L48" s="5">
        <f>SUM(J48:K48)</f>
        <v>100000</v>
      </c>
    </row>
    <row r="49" spans="2:12" x14ac:dyDescent="0.15">
      <c r="B49" s="7" t="s">
        <v>13</v>
      </c>
      <c r="C49" s="59">
        <f>(J50*coll_ratio)/p_SNX</f>
        <v>288000</v>
      </c>
      <c r="E49" s="1" t="s">
        <v>16</v>
      </c>
      <c r="F49" s="39">
        <f>p_BTC</f>
        <v>35000</v>
      </c>
      <c r="G49" s="67">
        <f>+C27</f>
        <v>4</v>
      </c>
      <c r="H49" s="71">
        <f>(F55-F59)+(C105)</f>
        <v>0</v>
      </c>
      <c r="I49" s="59">
        <f t="shared" ref="I49" si="0">SUM(G49,H49)</f>
        <v>4</v>
      </c>
      <c r="J49" s="5">
        <f>$F49*G49</f>
        <v>140000</v>
      </c>
      <c r="K49" s="5">
        <f>($F49*H49)+C111</f>
        <v>42000</v>
      </c>
      <c r="L49" s="5">
        <f>SUM(J49:K49)</f>
        <v>182000</v>
      </c>
    </row>
    <row r="50" spans="2:12" x14ac:dyDescent="0.15">
      <c r="B50" s="7" t="s">
        <v>8</v>
      </c>
      <c r="C50" s="66">
        <f>(C57)+(C103)</f>
        <v>0</v>
      </c>
      <c r="E50" s="12"/>
      <c r="F50" s="31"/>
      <c r="G50" s="31"/>
      <c r="H50" s="42" t="s">
        <v>49</v>
      </c>
      <c r="I50" s="32"/>
      <c r="J50" s="29">
        <f t="shared" ref="J50:K50" si="1">SUM(J48:J49)</f>
        <v>240000</v>
      </c>
      <c r="K50" s="29">
        <f t="shared" si="1"/>
        <v>42000</v>
      </c>
      <c r="L50" s="29">
        <f>SUM(L48:L49)</f>
        <v>282000</v>
      </c>
    </row>
    <row r="51" spans="2:12" x14ac:dyDescent="0.15">
      <c r="B51" s="7" t="s">
        <v>9</v>
      </c>
      <c r="C51" s="59">
        <f>SUM(C49,C50)</f>
        <v>288000</v>
      </c>
    </row>
    <row r="52" spans="2:12" x14ac:dyDescent="0.15">
      <c r="B52" s="24" t="s">
        <v>50</v>
      </c>
      <c r="C52" s="27">
        <f>C51*p_SNX</f>
        <v>1440000</v>
      </c>
      <c r="E52" s="72" t="s">
        <v>102</v>
      </c>
    </row>
    <row r="53" spans="2:12" x14ac:dyDescent="0.15">
      <c r="E53" s="1" t="s">
        <v>21</v>
      </c>
      <c r="F53" s="22"/>
    </row>
    <row r="54" spans="2:12" x14ac:dyDescent="0.15">
      <c r="E54" s="7" t="s">
        <v>19</v>
      </c>
      <c r="F54" s="63">
        <v>0</v>
      </c>
    </row>
    <row r="55" spans="2:12" x14ac:dyDescent="0.15">
      <c r="B55" s="4" t="s">
        <v>5</v>
      </c>
      <c r="E55" s="7" t="s">
        <v>20</v>
      </c>
      <c r="F55" s="41">
        <f>F54/F49</f>
        <v>0</v>
      </c>
    </row>
    <row r="56" spans="2:12" x14ac:dyDescent="0.15">
      <c r="B56" s="1" t="s">
        <v>18</v>
      </c>
    </row>
    <row r="57" spans="2:12" x14ac:dyDescent="0.15">
      <c r="B57" s="7" t="s">
        <v>6</v>
      </c>
      <c r="C57" s="63">
        <v>0</v>
      </c>
      <c r="E57" s="72" t="s">
        <v>102</v>
      </c>
      <c r="F57" s="22"/>
    </row>
    <row r="58" spans="2:12" x14ac:dyDescent="0.15">
      <c r="B58" s="7" t="s">
        <v>7</v>
      </c>
      <c r="C58" s="37">
        <f>(C57*p_SNX)/coll_ratio</f>
        <v>0</v>
      </c>
      <c r="D58" s="8"/>
      <c r="E58" s="1" t="s">
        <v>22</v>
      </c>
      <c r="F58" s="22"/>
    </row>
    <row r="59" spans="2:12" x14ac:dyDescent="0.15">
      <c r="E59" s="7" t="s">
        <v>23</v>
      </c>
      <c r="F59" s="94">
        <v>0</v>
      </c>
    </row>
    <row r="60" spans="2:12" x14ac:dyDescent="0.15">
      <c r="E60" s="7" t="s">
        <v>24</v>
      </c>
      <c r="F60" s="37">
        <f>F59*F49</f>
        <v>0</v>
      </c>
    </row>
    <row r="62" spans="2:12" x14ac:dyDescent="0.15">
      <c r="B62" s="100" t="s">
        <v>106</v>
      </c>
      <c r="C62" s="101"/>
    </row>
    <row r="63" spans="2:12" x14ac:dyDescent="0.15">
      <c r="B63" s="64" t="s">
        <v>119</v>
      </c>
    </row>
    <row r="64" spans="2:12" hidden="1" outlineLevel="1" x14ac:dyDescent="0.15">
      <c r="B64" s="1" t="s">
        <v>29</v>
      </c>
      <c r="C64" s="1" t="s">
        <v>30</v>
      </c>
    </row>
    <row r="65" spans="1:12" hidden="1" outlineLevel="1" x14ac:dyDescent="0.15"/>
    <row r="66" spans="1:12" hidden="1" outlineLevel="1" x14ac:dyDescent="0.15">
      <c r="D66" s="126" t="s">
        <v>12</v>
      </c>
      <c r="E66" s="126"/>
      <c r="F66" s="126"/>
    </row>
    <row r="67" spans="1:12" hidden="1" outlineLevel="1" x14ac:dyDescent="0.15">
      <c r="B67" s="9" t="s">
        <v>10</v>
      </c>
      <c r="C67" s="9" t="s">
        <v>17</v>
      </c>
      <c r="D67" s="9" t="s">
        <v>13</v>
      </c>
      <c r="E67" s="38" t="s">
        <v>8</v>
      </c>
      <c r="F67" s="9" t="s">
        <v>9</v>
      </c>
      <c r="G67" s="38" t="s">
        <v>14</v>
      </c>
      <c r="I67" s="4" t="s">
        <v>5</v>
      </c>
    </row>
    <row r="68" spans="1:12" hidden="1" outlineLevel="1" x14ac:dyDescent="0.15">
      <c r="B68" s="1" t="s">
        <v>31</v>
      </c>
      <c r="C68" s="33">
        <v>1</v>
      </c>
      <c r="D68" s="73">
        <v>397000</v>
      </c>
      <c r="E68" s="74">
        <f>K69+K74</f>
        <v>0</v>
      </c>
      <c r="F68" s="37">
        <f>SUM(D68,E68)</f>
        <v>397000</v>
      </c>
      <c r="G68" s="5">
        <f>C68*F68</f>
        <v>397000</v>
      </c>
      <c r="I68" s="1" t="s">
        <v>39</v>
      </c>
    </row>
    <row r="69" spans="1:12" hidden="1" outlineLevel="1" x14ac:dyDescent="0.15">
      <c r="B69" s="1" t="s">
        <v>15</v>
      </c>
      <c r="C69" s="33">
        <v>1.0023</v>
      </c>
      <c r="D69" s="73">
        <v>404000</v>
      </c>
      <c r="E69" s="74">
        <f>-K70+K73</f>
        <v>0</v>
      </c>
      <c r="F69" s="37">
        <f t="shared" ref="F69" si="2">SUM(D69,E69)</f>
        <v>404000</v>
      </c>
      <c r="G69" s="5">
        <f t="shared" ref="G69" si="3">C69*F69</f>
        <v>404929.2</v>
      </c>
      <c r="I69" s="7" t="s">
        <v>37</v>
      </c>
      <c r="K69" s="63"/>
    </row>
    <row r="70" spans="1:12" hidden="1" outlineLevel="1" x14ac:dyDescent="0.15">
      <c r="B70" s="12"/>
      <c r="C70" s="96" t="s">
        <v>43</v>
      </c>
      <c r="D70" s="36">
        <f>D69/D68</f>
        <v>1.0176322418136021</v>
      </c>
      <c r="E70" s="43"/>
      <c r="F70" s="44" t="s">
        <v>51</v>
      </c>
      <c r="G70" s="45">
        <f>SUM(G68:G69)</f>
        <v>801929.2</v>
      </c>
      <c r="I70" s="7" t="s">
        <v>38</v>
      </c>
      <c r="K70" s="95">
        <f>K69/D70</f>
        <v>0</v>
      </c>
    </row>
    <row r="71" spans="1:12" hidden="1" outlineLevel="1" x14ac:dyDescent="0.15">
      <c r="E71" s="11"/>
    </row>
    <row r="72" spans="1:12" hidden="1" outlineLevel="1" x14ac:dyDescent="0.15">
      <c r="B72" s="1" t="s">
        <v>32</v>
      </c>
      <c r="C72" s="23" t="s">
        <v>33</v>
      </c>
      <c r="D72" s="34"/>
      <c r="I72" s="1" t="s">
        <v>40</v>
      </c>
    </row>
    <row r="73" spans="1:12" hidden="1" outlineLevel="1" x14ac:dyDescent="0.15">
      <c r="B73" s="1" t="s">
        <v>34</v>
      </c>
      <c r="C73" s="23" t="s">
        <v>31</v>
      </c>
      <c r="D73" s="23"/>
      <c r="I73" s="7" t="s">
        <v>41</v>
      </c>
      <c r="K73" s="63">
        <v>0</v>
      </c>
    </row>
    <row r="74" spans="1:12" hidden="1" outlineLevel="1" x14ac:dyDescent="0.15">
      <c r="B74" s="1" t="s">
        <v>35</v>
      </c>
      <c r="C74" s="23" t="s">
        <v>15</v>
      </c>
      <c r="I74" s="7" t="s">
        <v>42</v>
      </c>
      <c r="K74" s="95">
        <f>K73*D70</f>
        <v>0</v>
      </c>
    </row>
    <row r="75" spans="1:12" hidden="1" outlineLevel="1" x14ac:dyDescent="0.15">
      <c r="B75" s="1" t="s">
        <v>103</v>
      </c>
      <c r="C75" s="37">
        <f>D68*D69/1000000</f>
        <v>160388</v>
      </c>
    </row>
    <row r="76" spans="1:12" hidden="1" outlineLevel="1" x14ac:dyDescent="0.15">
      <c r="B76" s="1" t="s">
        <v>104</v>
      </c>
      <c r="C76" s="37">
        <f>F68*F69/1000000</f>
        <v>160388</v>
      </c>
    </row>
    <row r="77" spans="1:12" collapsed="1" x14ac:dyDescent="0.15"/>
    <row r="78" spans="1:12" x14ac:dyDescent="0.15">
      <c r="A78" s="105" t="s">
        <v>107</v>
      </c>
      <c r="B78" s="97" t="s">
        <v>52</v>
      </c>
      <c r="C78" s="98"/>
      <c r="D78" s="98"/>
      <c r="E78" s="98"/>
      <c r="F78" s="98"/>
      <c r="G78" s="98"/>
      <c r="H78" s="98"/>
      <c r="I78" s="98"/>
      <c r="J78" s="98"/>
      <c r="K78" s="98"/>
      <c r="L78" s="98"/>
    </row>
    <row r="80" spans="1:12" x14ac:dyDescent="0.15">
      <c r="D80" s="121" t="s">
        <v>12</v>
      </c>
      <c r="E80" s="121"/>
      <c r="F80" s="121"/>
      <c r="G80" s="121" t="s">
        <v>14</v>
      </c>
      <c r="H80" s="121"/>
      <c r="I80" s="121"/>
    </row>
    <row r="81" spans="1:9" x14ac:dyDescent="0.15">
      <c r="B81" s="48" t="s">
        <v>44</v>
      </c>
      <c r="C81" s="40" t="s">
        <v>47</v>
      </c>
      <c r="D81" s="9" t="s">
        <v>13</v>
      </c>
      <c r="E81" s="38" t="s">
        <v>8</v>
      </c>
      <c r="F81" s="9" t="s">
        <v>9</v>
      </c>
      <c r="G81" s="23" t="s">
        <v>53</v>
      </c>
      <c r="H81" s="23" t="s">
        <v>8</v>
      </c>
      <c r="I81" s="38" t="s">
        <v>54</v>
      </c>
    </row>
    <row r="82" spans="1:9" x14ac:dyDescent="0.15">
      <c r="B82" s="1" t="s">
        <v>3</v>
      </c>
      <c r="C82" s="35">
        <f>p_SNX</f>
        <v>5</v>
      </c>
      <c r="D82" s="60">
        <f>+C30</f>
        <v>60000</v>
      </c>
      <c r="E82" s="66">
        <f>+C103</f>
        <v>0</v>
      </c>
      <c r="F82" s="37">
        <f>SUM(D82,E82)</f>
        <v>60000</v>
      </c>
      <c r="G82" s="47">
        <f t="shared" ref="G82:H84" si="4">$C82*D82</f>
        <v>300000</v>
      </c>
      <c r="H82" s="47">
        <f t="shared" si="4"/>
        <v>0</v>
      </c>
      <c r="I82" s="10">
        <f>SUM(G82:H82)</f>
        <v>300000</v>
      </c>
    </row>
    <row r="83" spans="1:9" x14ac:dyDescent="0.15">
      <c r="B83" s="1" t="s">
        <v>15</v>
      </c>
      <c r="C83" s="93">
        <v>1</v>
      </c>
      <c r="D83" s="82">
        <f>+C35</f>
        <v>20833.333333333336</v>
      </c>
      <c r="E83" s="83">
        <f>+C106</f>
        <v>0</v>
      </c>
      <c r="F83" s="37">
        <f>SUM(D83,E83)</f>
        <v>20833.333333333336</v>
      </c>
      <c r="G83" s="10">
        <f t="shared" si="4"/>
        <v>20833.333333333336</v>
      </c>
      <c r="H83" s="10">
        <f t="shared" si="4"/>
        <v>0</v>
      </c>
      <c r="I83" s="10">
        <f t="shared" ref="I83:I84" si="5">SUM(G83:H83)</f>
        <v>20833.333333333336</v>
      </c>
    </row>
    <row r="84" spans="1:9" x14ac:dyDescent="0.15">
      <c r="B84" s="1" t="s">
        <v>16</v>
      </c>
      <c r="C84" s="10">
        <f>p_BTC</f>
        <v>35000</v>
      </c>
      <c r="D84" s="41">
        <f>+C34</f>
        <v>0.83333333333333326</v>
      </c>
      <c r="E84" s="71">
        <f>+C105</f>
        <v>0</v>
      </c>
      <c r="F84" s="41">
        <f>SUM(D84,E84)</f>
        <v>0.83333333333333326</v>
      </c>
      <c r="G84" s="10">
        <f t="shared" si="4"/>
        <v>29166.666666666664</v>
      </c>
      <c r="H84" s="69">
        <f>($C84*E84)+(C84*D84*C110)</f>
        <v>8749.9999999999982</v>
      </c>
      <c r="I84" s="10">
        <f t="shared" si="5"/>
        <v>37916.666666666664</v>
      </c>
    </row>
    <row r="85" spans="1:9" x14ac:dyDescent="0.15">
      <c r="B85" s="12"/>
      <c r="C85" s="12"/>
      <c r="D85" s="12"/>
      <c r="E85" s="42" t="s">
        <v>62</v>
      </c>
      <c r="F85" s="32"/>
      <c r="G85" s="46">
        <f>SUM(G82:G84)</f>
        <v>350000</v>
      </c>
      <c r="H85" s="46">
        <f>SUM(H82:H84)</f>
        <v>8749.9999999999982</v>
      </c>
      <c r="I85" s="46">
        <f>SUM(I82:I84)</f>
        <v>358750</v>
      </c>
    </row>
    <row r="86" spans="1:9" customFormat="1" ht="15" x14ac:dyDescent="0.2">
      <c r="A86" s="106"/>
    </row>
    <row r="87" spans="1:9" customFormat="1" ht="15" x14ac:dyDescent="0.2">
      <c r="A87" s="106"/>
      <c r="B87" s="3" t="s">
        <v>55</v>
      </c>
      <c r="C87" s="1"/>
      <c r="D87" s="1"/>
      <c r="F87" s="3" t="s">
        <v>61</v>
      </c>
      <c r="G87" s="3"/>
    </row>
    <row r="88" spans="1:9" x14ac:dyDescent="0.15">
      <c r="B88" s="48"/>
      <c r="C88" s="75" t="s">
        <v>58</v>
      </c>
      <c r="D88" s="51" t="s">
        <v>59</v>
      </c>
      <c r="G88" s="122" t="s">
        <v>14</v>
      </c>
      <c r="H88" s="122"/>
      <c r="I88" s="122"/>
    </row>
    <row r="89" spans="1:9" x14ac:dyDescent="0.15">
      <c r="B89" s="1" t="s">
        <v>81</v>
      </c>
      <c r="C89" s="77">
        <f>+C31</f>
        <v>50000</v>
      </c>
      <c r="D89" s="61">
        <f>C89/J50</f>
        <v>0.20833333333333334</v>
      </c>
      <c r="G89" s="50" t="s">
        <v>53</v>
      </c>
      <c r="H89" s="50" t="s">
        <v>8</v>
      </c>
      <c r="I89" s="50" t="s">
        <v>54</v>
      </c>
    </row>
    <row r="90" spans="1:9" x14ac:dyDescent="0.15">
      <c r="B90" s="7" t="s">
        <v>57</v>
      </c>
      <c r="C90" s="76">
        <f>+C104</f>
        <v>0</v>
      </c>
      <c r="D90" s="61"/>
      <c r="F90" s="54" t="s">
        <v>61</v>
      </c>
      <c r="G90" s="52">
        <f>G85-C89</f>
        <v>300000</v>
      </c>
      <c r="H90" s="55">
        <f>I90-G90</f>
        <v>0</v>
      </c>
      <c r="I90" s="53">
        <f>I85-C92</f>
        <v>300000</v>
      </c>
    </row>
    <row r="91" spans="1:9" x14ac:dyDescent="0.15">
      <c r="B91" s="7" t="s">
        <v>79</v>
      </c>
      <c r="C91" s="76">
        <f>+C114</f>
        <v>8750</v>
      </c>
      <c r="D91" s="61"/>
      <c r="F91" s="89" t="s">
        <v>90</v>
      </c>
      <c r="G91" s="85"/>
      <c r="H91" s="86">
        <f>+H90/G90</f>
        <v>0</v>
      </c>
      <c r="I91" s="84"/>
    </row>
    <row r="92" spans="1:9" x14ac:dyDescent="0.15">
      <c r="B92" s="54" t="s">
        <v>80</v>
      </c>
      <c r="C92" s="88">
        <f>SUM(C89:C91)</f>
        <v>58750</v>
      </c>
      <c r="D92" s="62">
        <f>C92/L50</f>
        <v>0.20833333333333334</v>
      </c>
    </row>
    <row r="93" spans="1:9" x14ac:dyDescent="0.15">
      <c r="B93" s="25" t="s">
        <v>86</v>
      </c>
      <c r="C93" s="87">
        <f>+(C92-C89)/C89</f>
        <v>0.17499999999999999</v>
      </c>
      <c r="D93" s="84"/>
      <c r="F93" s="3" t="s">
        <v>72</v>
      </c>
    </row>
    <row r="94" spans="1:9" x14ac:dyDescent="0.15">
      <c r="E94" s="1" t="s">
        <v>71</v>
      </c>
      <c r="F94" s="64" t="s">
        <v>92</v>
      </c>
    </row>
    <row r="95" spans="1:9" x14ac:dyDescent="0.15">
      <c r="F95" s="64" t="s">
        <v>91</v>
      </c>
    </row>
    <row r="96" spans="1:9" x14ac:dyDescent="0.15">
      <c r="F96" s="9"/>
      <c r="G96" s="9"/>
      <c r="H96" s="38" t="s">
        <v>73</v>
      </c>
    </row>
    <row r="97" spans="1:10" x14ac:dyDescent="0.15">
      <c r="B97" s="1" t="s">
        <v>60</v>
      </c>
      <c r="E97" s="1" t="s">
        <v>71</v>
      </c>
      <c r="F97" s="1" t="s">
        <v>74</v>
      </c>
      <c r="H97" s="10">
        <f>I90</f>
        <v>300000</v>
      </c>
      <c r="I97" s="10"/>
      <c r="J97" s="10"/>
    </row>
    <row r="98" spans="1:10" x14ac:dyDescent="0.15">
      <c r="B98" s="4"/>
      <c r="F98" s="1" t="s">
        <v>77</v>
      </c>
      <c r="H98" s="10">
        <f>-G90</f>
        <v>-300000</v>
      </c>
      <c r="I98" s="10"/>
      <c r="J98" s="10"/>
    </row>
    <row r="99" spans="1:10" x14ac:dyDescent="0.15">
      <c r="B99" s="4"/>
      <c r="F99" s="9" t="s">
        <v>76</v>
      </c>
      <c r="G99" s="9"/>
      <c r="H99" s="65">
        <f>-D103</f>
        <v>0</v>
      </c>
      <c r="I99" s="10"/>
    </row>
    <row r="100" spans="1:10" x14ac:dyDescent="0.15">
      <c r="B100" s="72" t="s">
        <v>65</v>
      </c>
      <c r="F100" s="3" t="s">
        <v>75</v>
      </c>
      <c r="H100" s="90">
        <f>SUM(H97:H99)</f>
        <v>0</v>
      </c>
      <c r="I100" s="10"/>
      <c r="J100" s="10"/>
    </row>
    <row r="102" spans="1:10" x14ac:dyDescent="0.15">
      <c r="C102" s="92" t="s">
        <v>67</v>
      </c>
      <c r="D102" s="92" t="s">
        <v>68</v>
      </c>
    </row>
    <row r="103" spans="1:10" x14ac:dyDescent="0.15">
      <c r="B103" s="1" t="s">
        <v>66</v>
      </c>
      <c r="C103" s="63">
        <v>0</v>
      </c>
      <c r="D103" s="10">
        <f>+C103*p_SNX</f>
        <v>0</v>
      </c>
    </row>
    <row r="104" spans="1:10" x14ac:dyDescent="0.15">
      <c r="B104" s="1" t="s">
        <v>69</v>
      </c>
      <c r="C104" s="37">
        <f>+C103/coll_ratio</f>
        <v>0</v>
      </c>
      <c r="D104" s="10">
        <f>C104</f>
        <v>0</v>
      </c>
    </row>
    <row r="105" spans="1:10" x14ac:dyDescent="0.15">
      <c r="B105" s="2" t="s">
        <v>70</v>
      </c>
      <c r="C105" s="68">
        <f>+D105/p_BTC</f>
        <v>0</v>
      </c>
      <c r="D105" s="69">
        <f>D104*(J49/J50)</f>
        <v>0</v>
      </c>
      <c r="E105" s="69"/>
    </row>
    <row r="106" spans="1:10" s="2" customFormat="1" x14ac:dyDescent="0.15">
      <c r="A106" s="103"/>
      <c r="B106" s="2" t="s">
        <v>78</v>
      </c>
      <c r="C106" s="70">
        <f>+D106</f>
        <v>0</v>
      </c>
      <c r="D106" s="69">
        <f>+D104-D105</f>
        <v>0</v>
      </c>
      <c r="E106" s="69"/>
    </row>
    <row r="108" spans="1:10" x14ac:dyDescent="0.15">
      <c r="B108" s="72" t="s">
        <v>87</v>
      </c>
    </row>
    <row r="110" spans="1:10" x14ac:dyDescent="0.15">
      <c r="B110" s="78" t="s">
        <v>88</v>
      </c>
      <c r="C110" s="81">
        <v>0.3</v>
      </c>
    </row>
    <row r="111" spans="1:10" x14ac:dyDescent="0.15">
      <c r="B111" s="78" t="s">
        <v>56</v>
      </c>
      <c r="C111" s="5">
        <f>+C110*J49</f>
        <v>42000</v>
      </c>
    </row>
    <row r="112" spans="1:10" x14ac:dyDescent="0.15">
      <c r="B112" s="1" t="s">
        <v>83</v>
      </c>
      <c r="C112" s="79">
        <f>+D89</f>
        <v>0.20833333333333334</v>
      </c>
    </row>
    <row r="113" spans="1:3" x14ac:dyDescent="0.15">
      <c r="B113" s="1" t="s">
        <v>82</v>
      </c>
      <c r="C113" s="5">
        <f>+C112*L50</f>
        <v>58750</v>
      </c>
    </row>
    <row r="114" spans="1:3" x14ac:dyDescent="0.15">
      <c r="B114" s="1" t="s">
        <v>84</v>
      </c>
      <c r="C114" s="5">
        <f>+C112*C111</f>
        <v>8750</v>
      </c>
    </row>
    <row r="115" spans="1:3" x14ac:dyDescent="0.15">
      <c r="B115" s="64" t="s">
        <v>85</v>
      </c>
      <c r="C115" s="80">
        <f>(C89+C114)-C113</f>
        <v>0</v>
      </c>
    </row>
    <row r="117" spans="1:3" x14ac:dyDescent="0.15">
      <c r="A117" s="105" t="s">
        <v>107</v>
      </c>
      <c r="B117" s="1" t="s">
        <v>109</v>
      </c>
    </row>
  </sheetData>
  <mergeCells count="10">
    <mergeCell ref="G88:I88"/>
    <mergeCell ref="G46:I46"/>
    <mergeCell ref="J46:L46"/>
    <mergeCell ref="D66:F66"/>
    <mergeCell ref="B8:L11"/>
    <mergeCell ref="D33:I33"/>
    <mergeCell ref="B39:F41"/>
    <mergeCell ref="B13:L17"/>
    <mergeCell ref="D80:F80"/>
    <mergeCell ref="G80:I80"/>
  </mergeCells>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vt:i4>
      </vt:variant>
      <vt:variant>
        <vt:lpstr>Named Ranges</vt:lpstr>
      </vt:variant>
      <vt:variant>
        <vt:i4>3</vt:i4>
      </vt:variant>
    </vt:vector>
  </HeadingPairs>
  <TitlesOfParts>
    <vt:vector size="4" baseType="lpstr">
      <vt:lpstr>Sheet1</vt:lpstr>
      <vt:lpstr>coll_ratio</vt:lpstr>
      <vt:lpstr>p_BTC</vt:lpstr>
      <vt:lpstr>p_SNX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2022-01-28T16:11:24Z</dcterms:created>
  <dcterms:modified xsi:type="dcterms:W3CDTF">2022-01-29T04:48:57Z</dcterms:modified>
</cp:coreProperties>
</file>