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:\FJP\scripts\Shiny\Painel_DIREI\"/>
    </mc:Choice>
  </mc:AlternateContent>
  <xr:revisionPtr revIDLastSave="0" documentId="13_ncr:1_{ADD916A0-8438-4511-B767-5E41418134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UB_EXT" sheetId="7" r:id="rId1"/>
    <sheet name="Dados" sheetId="1" r:id="rId2"/>
    <sheet name="proposta_dados" sheetId="9" r:id="rId3"/>
    <sheet name="proposta_dados_vídeos" sheetId="10" r:id="rId4"/>
    <sheet name="Dados do Gráfico" sheetId="4" r:id="rId5"/>
    <sheet name="PUB_INT" sheetId="8" r:id="rId6"/>
  </sheets>
  <definedNames>
    <definedName name="_xlnm.Print_Area" localSheetId="0">PUB_EXT!$A$1:$Q$62</definedName>
    <definedName name="_xlnm.Print_Area" localSheetId="5">PUB_INT!$A$1:$R$49</definedName>
    <definedName name="categorias_de_despesas_exibidas">OFFSET(CélulaInicial,15-contagem_de_categorias_de_despesas_exibidas+1,,contagem_de_categorias_de_despesas_exibidas)</definedName>
    <definedName name="categorias_despesas">#REF!</definedName>
    <definedName name="CélulaInicial">'Dados do Gráfico'!$B$6</definedName>
    <definedName name="contagem_de_categorias_de_despesas_exibidas">COUNTIF('Dados do Gráfico'!$B$7:$B$21,"&gt;"&amp; " ")</definedName>
    <definedName name="despesas_animais">#REF!</definedName>
    <definedName name="despesas_assinaturas">#REF!</definedName>
    <definedName name="despesas_caridade">#REF!</definedName>
    <definedName name="despesas_casa">#REF!</definedName>
    <definedName name="despesas_diárias">#REF!</definedName>
    <definedName name="despesas_div">#REF!</definedName>
    <definedName name="despesas_educação">#REF!</definedName>
    <definedName name="despesas_entretenimento">#REF!</definedName>
    <definedName name="despesas_férias">#REF!</definedName>
    <definedName name="despesas_filhos">#REF!</definedName>
    <definedName name="despesas_obrigações">#REF!</definedName>
    <definedName name="despesas_poupança">#REF!</definedName>
    <definedName name="despesas_saúde">#REF!</definedName>
    <definedName name="despesas_seguro">#REF!</definedName>
    <definedName name="despesas_transporte">#REF!</definedName>
    <definedName name="exibir_período_long">CHOOSE(período,"janeiro","fevereiro","março","abril","mai","junho","julho","agosto","setembro","outubro","novembro","dezembro","ano")</definedName>
    <definedName name="frmDetalhesBotão">#REF!</definedName>
    <definedName name="Imprimir_Títulos" localSheetId="1">Dados!$1:$4</definedName>
    <definedName name="lista_de_categorias_de_despesas_01">CHOOSE(MATCH(INDEX(Dados!$B$25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2">CHOOSE(MATCH(INDEX(Dados!$B$30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3">CHOOSE(MATCH(INDEX(Dados!$B$35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4">CHOOSE(MATCH(INDEX(Dados!$B$40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5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6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7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8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09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0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1">CHOOSE(MATCH(INDEX(Dados!$B$45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2">CHOOSE(MATCH(INDEX(Dados!$B$62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3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4">CHOOSE(MATCH(INDEX(Dados!#REF!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lista_de_categorias_de_despesas_15">CHOOSE(MATCH(INDEX(Dados!$B$73,,1),categorias_despesas,0),0,despesas_casa,despesas_diárias,despesas_filhos,despesas_transporte,despesas_saúde,despesas_seguro,despesas_educação,despesas_caridade,despesas_poupança,despesas_obrigações,despesas_entretenimento,despesas_animais,despesas_assinaturas,despesas_férias,despesas_div)</definedName>
    <definedName name="NomeOrçamento">#REF!</definedName>
    <definedName name="período">'Dados do Gráfico'!$C$4</definedName>
    <definedName name="renda">#REF!</definedName>
    <definedName name="SaldoInicial">Dados!#REF!</definedName>
    <definedName name="valores_do_período_de_categorias_de_despesas_exibidas">OFFSET(categorias_de_despesas_exibidas,,período)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9" l="1"/>
  <c r="K19" i="9"/>
  <c r="K18" i="9"/>
  <c r="K17" i="9"/>
  <c r="K16" i="9"/>
  <c r="K15" i="9"/>
  <c r="K14" i="9"/>
  <c r="J30" i="9"/>
  <c r="E2" i="9"/>
  <c r="E3" i="9"/>
  <c r="E4" i="9"/>
  <c r="E5" i="9"/>
  <c r="E6" i="9"/>
  <c r="E7" i="9"/>
  <c r="E8" i="9"/>
  <c r="E9" i="9"/>
  <c r="E10" i="9"/>
  <c r="E11" i="9"/>
  <c r="E12" i="9"/>
  <c r="E13" i="9"/>
  <c r="E15" i="9"/>
  <c r="E17" i="9"/>
  <c r="E19" i="9"/>
  <c r="E23" i="9"/>
  <c r="E25" i="9"/>
  <c r="C25" i="9"/>
  <c r="C24" i="9"/>
  <c r="E24" i="9" s="1"/>
  <c r="C23" i="9"/>
  <c r="C22" i="9"/>
  <c r="E22" i="9" s="1"/>
  <c r="C21" i="9"/>
  <c r="E21" i="9" s="1"/>
  <c r="C20" i="9"/>
  <c r="E20" i="9" s="1"/>
  <c r="C19" i="9"/>
  <c r="C18" i="9"/>
  <c r="E18" i="9" s="1"/>
  <c r="C17" i="9"/>
  <c r="C16" i="9"/>
  <c r="E16" i="9" s="1"/>
  <c r="C15" i="9"/>
  <c r="C14" i="9"/>
  <c r="E14" i="9" s="1"/>
  <c r="C69" i="1"/>
  <c r="O66" i="1"/>
  <c r="P66" i="1" s="1"/>
  <c r="O31" i="7"/>
  <c r="O30" i="7"/>
  <c r="O29" i="7"/>
  <c r="O28" i="7"/>
  <c r="O27" i="7"/>
  <c r="O26" i="7"/>
  <c r="O25" i="7"/>
  <c r="B70" i="1"/>
  <c r="B69" i="1"/>
  <c r="L9" i="1" l="1"/>
  <c r="P15" i="1"/>
  <c r="O15" i="1"/>
  <c r="D5" i="1"/>
  <c r="E5" i="1"/>
  <c r="F5" i="1"/>
  <c r="G5" i="1"/>
  <c r="H5" i="1"/>
  <c r="I5" i="1"/>
  <c r="J5" i="1"/>
  <c r="K5" i="1"/>
  <c r="L5" i="1"/>
  <c r="M5" i="1"/>
  <c r="N5" i="1"/>
  <c r="C5" i="1"/>
  <c r="C21" i="1"/>
  <c r="D10" i="1"/>
  <c r="E10" i="1"/>
  <c r="F10" i="1"/>
  <c r="G10" i="1"/>
  <c r="H10" i="1"/>
  <c r="I10" i="1"/>
  <c r="J10" i="1"/>
  <c r="K10" i="1"/>
  <c r="L10" i="1"/>
  <c r="M10" i="1"/>
  <c r="N10" i="1"/>
  <c r="C10" i="1"/>
  <c r="O5" i="1" l="1"/>
  <c r="P5" i="1" s="1"/>
  <c r="K4" i="7"/>
  <c r="O10" i="1"/>
  <c r="G25" i="7"/>
  <c r="O32" i="1"/>
  <c r="P32" i="1" s="1"/>
  <c r="O28" i="1"/>
  <c r="O27" i="1"/>
  <c r="P27" i="1" s="1"/>
  <c r="P16" i="1"/>
  <c r="G26" i="7" s="1"/>
  <c r="O17" i="1"/>
  <c r="P17" i="1"/>
  <c r="P19" i="1"/>
  <c r="G4" i="7" l="1"/>
  <c r="P28" i="1"/>
  <c r="O33" i="1"/>
  <c r="G36" i="8"/>
  <c r="G42" i="8"/>
  <c r="G40" i="8"/>
  <c r="E42" i="8"/>
  <c r="E48" i="8" s="1"/>
  <c r="D40" i="8"/>
  <c r="F40" i="8"/>
  <c r="F38" i="8"/>
  <c r="C46" i="8"/>
  <c r="H46" i="8" s="1"/>
  <c r="C44" i="8"/>
  <c r="H44" i="8" s="1"/>
  <c r="C42" i="8"/>
  <c r="C40" i="8"/>
  <c r="C38" i="8"/>
  <c r="C36" i="8"/>
  <c r="G48" i="8" l="1"/>
  <c r="F48" i="8"/>
  <c r="H42" i="8"/>
  <c r="H40" i="8"/>
  <c r="D48" i="8"/>
  <c r="H36" i="8"/>
  <c r="H38" i="8"/>
  <c r="C48" i="8"/>
  <c r="H48" i="8" l="1"/>
  <c r="P16" i="8" l="1"/>
  <c r="P17" i="8"/>
  <c r="R2" i="8"/>
  <c r="S4" i="8" s="1"/>
  <c r="O68" i="1"/>
  <c r="P68" i="1" s="1"/>
  <c r="O67" i="1"/>
  <c r="P67" i="1" s="1"/>
  <c r="O65" i="1"/>
  <c r="P65" i="1" s="1"/>
  <c r="O36" i="1"/>
  <c r="P36" i="1" s="1"/>
  <c r="O37" i="1"/>
  <c r="P37" i="1" s="1"/>
  <c r="O41" i="1"/>
  <c r="P41" i="1" s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R2" i="7"/>
  <c r="S2" i="7" s="1"/>
  <c r="S2" i="8" l="1"/>
  <c r="O43" i="1"/>
  <c r="P43" i="1" s="1"/>
  <c r="P42" i="1"/>
  <c r="I11" i="1"/>
  <c r="C22" i="1"/>
  <c r="O16" i="1" l="1"/>
  <c r="O54" i="1"/>
  <c r="P54" i="1" s="1"/>
  <c r="O55" i="1"/>
  <c r="P55" i="1" s="1"/>
  <c r="O56" i="1"/>
  <c r="P56" i="1" s="1"/>
  <c r="O57" i="1"/>
  <c r="P57" i="1" s="1"/>
  <c r="O58" i="1"/>
  <c r="P58" i="1" s="1"/>
  <c r="O52" i="1"/>
  <c r="P52" i="1" s="1"/>
  <c r="O53" i="1"/>
  <c r="P53" i="1" s="1"/>
  <c r="C8" i="1" l="1"/>
  <c r="H21" i="1" l="1"/>
  <c r="H22" i="1" s="1"/>
  <c r="D9" i="1"/>
  <c r="E9" i="1"/>
  <c r="F9" i="1"/>
  <c r="G9" i="1"/>
  <c r="H9" i="1"/>
  <c r="I9" i="1"/>
  <c r="J9" i="1"/>
  <c r="K9" i="1"/>
  <c r="M9" i="1"/>
  <c r="N9" i="1"/>
  <c r="C9" i="1"/>
  <c r="D8" i="1"/>
  <c r="E8" i="1"/>
  <c r="F8" i="1"/>
  <c r="G8" i="1"/>
  <c r="H8" i="1"/>
  <c r="I8" i="1"/>
  <c r="J8" i="1"/>
  <c r="K8" i="1"/>
  <c r="L8" i="1"/>
  <c r="M8" i="1"/>
  <c r="N8" i="1"/>
  <c r="O8" i="1" l="1"/>
  <c r="O9" i="1"/>
  <c r="O23" i="1"/>
  <c r="P23" i="1" s="1"/>
  <c r="D21" i="1"/>
  <c r="D22" i="1" s="1"/>
  <c r="E21" i="1"/>
  <c r="E22" i="1" s="1"/>
  <c r="P18" i="1"/>
  <c r="G20" i="1"/>
  <c r="P20" i="1" s="1"/>
  <c r="O19" i="1"/>
  <c r="G21" i="1" l="1"/>
  <c r="G22" i="1" s="1"/>
  <c r="F21" i="1"/>
  <c r="F22" i="1" s="1"/>
  <c r="O20" i="1"/>
  <c r="O18" i="1"/>
  <c r="O21" i="1" l="1"/>
  <c r="R4" i="7"/>
  <c r="P33" i="1"/>
  <c r="P8" i="1"/>
  <c r="P6" i="1"/>
  <c r="B40" i="4"/>
  <c r="B38" i="4"/>
  <c r="B7" i="4" l="1"/>
  <c r="B77" i="1"/>
  <c r="B8" i="4"/>
  <c r="B10" i="4"/>
  <c r="B11" i="4"/>
  <c r="B59" i="1"/>
  <c r="B12" i="4"/>
  <c r="B13" i="4"/>
  <c r="B14" i="4"/>
  <c r="B15" i="4"/>
  <c r="B16" i="4"/>
  <c r="B17" i="4"/>
  <c r="B18" i="4"/>
  <c r="B19" i="4"/>
  <c r="B20" i="4"/>
  <c r="B37" i="4"/>
  <c r="B21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K12" i="4"/>
  <c r="J12" i="4"/>
  <c r="I12" i="4"/>
  <c r="H12" i="4"/>
  <c r="G12" i="4"/>
  <c r="F12" i="4"/>
  <c r="E12" i="4"/>
  <c r="D12" i="4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H7" i="4"/>
  <c r="G7" i="4"/>
  <c r="F7" i="4"/>
  <c r="E7" i="4"/>
  <c r="D7" i="4"/>
  <c r="C7" i="4"/>
  <c r="E11" i="1"/>
  <c r="F11" i="1"/>
  <c r="H11" i="1"/>
  <c r="J11" i="1"/>
  <c r="K11" i="1"/>
  <c r="M11" i="1"/>
  <c r="N11" i="1"/>
  <c r="N77" i="1"/>
  <c r="M77" i="1"/>
  <c r="L77" i="1"/>
  <c r="K77" i="1"/>
  <c r="J77" i="1"/>
  <c r="I77" i="1"/>
  <c r="H77" i="1"/>
  <c r="G77" i="1"/>
  <c r="F77" i="1"/>
  <c r="E77" i="1"/>
  <c r="D77" i="1"/>
  <c r="C77" i="1"/>
  <c r="O76" i="1"/>
  <c r="P76" i="1" s="1"/>
  <c r="O75" i="1"/>
  <c r="P75" i="1" s="1"/>
  <c r="O74" i="1"/>
  <c r="N69" i="1"/>
  <c r="M69" i="1"/>
  <c r="L69" i="1"/>
  <c r="K69" i="1"/>
  <c r="J69" i="1"/>
  <c r="I69" i="1"/>
  <c r="H69" i="1"/>
  <c r="G69" i="1"/>
  <c r="F69" i="1"/>
  <c r="E69" i="1"/>
  <c r="D69" i="1"/>
  <c r="O64" i="1"/>
  <c r="P64" i="1" s="1"/>
  <c r="O63" i="1"/>
  <c r="P63" i="1" s="1"/>
  <c r="N59" i="1"/>
  <c r="M59" i="1"/>
  <c r="L59" i="1"/>
  <c r="K59" i="1"/>
  <c r="J59" i="1"/>
  <c r="I59" i="1"/>
  <c r="H59" i="1"/>
  <c r="G59" i="1"/>
  <c r="F59" i="1"/>
  <c r="E59" i="1"/>
  <c r="D59" i="1"/>
  <c r="C59" i="1"/>
  <c r="O51" i="1"/>
  <c r="P51" i="1" s="1"/>
  <c r="O50" i="1"/>
  <c r="P50" i="1" s="1"/>
  <c r="N21" i="1"/>
  <c r="L21" i="1"/>
  <c r="K21" i="1"/>
  <c r="J21" i="1"/>
  <c r="I21" i="1"/>
  <c r="I22" i="1" s="1"/>
  <c r="M21" i="1"/>
  <c r="G4" i="8" l="1"/>
  <c r="R3" i="8" s="1"/>
  <c r="S3" i="8" s="1"/>
  <c r="P7" i="1"/>
  <c r="G11" i="1"/>
  <c r="O21" i="4"/>
  <c r="P9" i="1"/>
  <c r="G7" i="1"/>
  <c r="G28" i="4" s="1"/>
  <c r="C7" i="1"/>
  <c r="C29" i="4" s="1"/>
  <c r="C11" i="1"/>
  <c r="L7" i="1"/>
  <c r="L28" i="4" s="1"/>
  <c r="L11" i="1"/>
  <c r="D7" i="1"/>
  <c r="D29" i="4" s="1"/>
  <c r="D11" i="1"/>
  <c r="O7" i="4"/>
  <c r="H7" i="1"/>
  <c r="H29" i="4" s="1"/>
  <c r="E7" i="1"/>
  <c r="E28" i="4" s="1"/>
  <c r="O18" i="4"/>
  <c r="O13" i="4"/>
  <c r="O9" i="4"/>
  <c r="P8" i="4"/>
  <c r="K7" i="1"/>
  <c r="K29" i="4" s="1"/>
  <c r="O8" i="4"/>
  <c r="O14" i="4"/>
  <c r="P18" i="4"/>
  <c r="P17" i="4"/>
  <c r="P15" i="4"/>
  <c r="P13" i="4"/>
  <c r="P9" i="4"/>
  <c r="O77" i="1"/>
  <c r="P77" i="1" s="1"/>
  <c r="O15" i="4"/>
  <c r="N7" i="1"/>
  <c r="N29" i="4" s="1"/>
  <c r="J7" i="1"/>
  <c r="J28" i="4" s="1"/>
  <c r="F7" i="1"/>
  <c r="F28" i="4" s="1"/>
  <c r="M7" i="1"/>
  <c r="M29" i="4" s="1"/>
  <c r="I7" i="1"/>
  <c r="I29" i="4" s="1"/>
  <c r="C38" i="4"/>
  <c r="P16" i="4"/>
  <c r="P12" i="4"/>
  <c r="P11" i="4"/>
  <c r="O16" i="4"/>
  <c r="O17" i="4"/>
  <c r="P14" i="4"/>
  <c r="P21" i="4"/>
  <c r="P10" i="4"/>
  <c r="P20" i="4"/>
  <c r="O69" i="1"/>
  <c r="P69" i="1" s="1"/>
  <c r="B39" i="4"/>
  <c r="C39" i="4"/>
  <c r="P74" i="1"/>
  <c r="P7" i="4" s="1"/>
  <c r="O10" i="4"/>
  <c r="O20" i="4"/>
  <c r="O12" i="4"/>
  <c r="P21" i="1"/>
  <c r="O59" i="1"/>
  <c r="P59" i="1" s="1"/>
  <c r="O11" i="4"/>
  <c r="P19" i="4"/>
  <c r="O19" i="4"/>
  <c r="K4" i="8" l="1"/>
  <c r="C28" i="4"/>
  <c r="D28" i="4"/>
  <c r="E26" i="4"/>
  <c r="D40" i="4"/>
  <c r="C40" i="4"/>
  <c r="G29" i="4"/>
  <c r="E29" i="4"/>
  <c r="C26" i="4"/>
  <c r="D26" i="4"/>
  <c r="N28" i="4"/>
  <c r="H28" i="4"/>
  <c r="L29" i="4"/>
  <c r="I28" i="4"/>
  <c r="M28" i="4"/>
  <c r="K28" i="4"/>
  <c r="G26" i="4"/>
  <c r="H26" i="4"/>
  <c r="F26" i="4"/>
  <c r="L26" i="4"/>
  <c r="J26" i="4"/>
  <c r="J29" i="4"/>
  <c r="I26" i="4"/>
  <c r="F29" i="4"/>
  <c r="M26" i="4"/>
  <c r="N26" i="4"/>
  <c r="K26" i="4"/>
  <c r="O28" i="4" l="1"/>
  <c r="O26" i="4"/>
  <c r="O29" i="4"/>
  <c r="S3" i="7" l="1"/>
  <c r="S4" i="7"/>
</calcChain>
</file>

<file path=xl/sharedStrings.xml><?xml version="1.0" encoding="utf-8"?>
<sst xmlns="http://schemas.openxmlformats.org/spreadsheetml/2006/main" count="234" uniqueCount="147">
  <si>
    <t xml:space="preserve"> </t>
  </si>
  <si>
    <t>jan</t>
  </si>
  <si>
    <t>mar</t>
  </si>
  <si>
    <t>jun</t>
  </si>
  <si>
    <t>jul</t>
  </si>
  <si>
    <t>nov</t>
  </si>
  <si>
    <t>fev</t>
  </si>
  <si>
    <t>abr</t>
  </si>
  <si>
    <t>mai</t>
  </si>
  <si>
    <t>ago</t>
  </si>
  <si>
    <t>set</t>
  </si>
  <si>
    <t>out</t>
  </si>
  <si>
    <t>dez</t>
  </si>
  <si>
    <t>ano</t>
  </si>
  <si>
    <t>média</t>
  </si>
  <si>
    <t>período</t>
  </si>
  <si>
    <t>*** Esta planilha deve permanecer oculta ***</t>
  </si>
  <si>
    <t>Fluxo de Caixa Acumulado</t>
  </si>
  <si>
    <t>Fluxo de Caixa Anual Positivo</t>
  </si>
  <si>
    <t>Fluxo de Caixa Anual Negativo</t>
  </si>
  <si>
    <t>Kelly</t>
  </si>
  <si>
    <t>Carlos Luciano</t>
  </si>
  <si>
    <t>Eduardo Ribas</t>
  </si>
  <si>
    <t>Receita Prevista</t>
  </si>
  <si>
    <t>Variação PrevistoxArrecadado</t>
  </si>
  <si>
    <t>TOTAL RECEITA ARRECADADA</t>
  </si>
  <si>
    <t>Receita Arrecadada</t>
  </si>
  <si>
    <t>Produção Mensal 2021</t>
  </si>
  <si>
    <t>Produção Mensal 2020</t>
  </si>
  <si>
    <t>Serviço  de Ortofoto</t>
  </si>
  <si>
    <t>Deficit Habitacional</t>
  </si>
  <si>
    <t>Média Mensal de Arrecadação</t>
  </si>
  <si>
    <t>Arrecadação 2021</t>
  </si>
  <si>
    <t>Arrecadação 2020</t>
  </si>
  <si>
    <t>Previsão Arrecadação Anual</t>
  </si>
  <si>
    <t>Produção 2020</t>
  </si>
  <si>
    <t>Produção 2021</t>
  </si>
  <si>
    <t>Luciano 2021</t>
  </si>
  <si>
    <t>Luciano 2020</t>
  </si>
  <si>
    <t>Kelly 2021</t>
  </si>
  <si>
    <t>Kelly 2020</t>
  </si>
  <si>
    <t>Média mensal CPM 2021:</t>
  </si>
  <si>
    <t>Média mensal CPM 2020:</t>
  </si>
  <si>
    <t>CPM 2020</t>
  </si>
  <si>
    <t>CPM 2021</t>
  </si>
  <si>
    <t>visualizações</t>
  </si>
  <si>
    <t>Produção Informativos; texto; serie</t>
  </si>
  <si>
    <t>Para além FJP: Artigos cientificos; colunas Eleonora; Seminários convidados; citações da Direi na imprensa</t>
  </si>
  <si>
    <t>CAIP</t>
  </si>
  <si>
    <t>CCR</t>
  </si>
  <si>
    <t>Meta de Arrecadação 2021</t>
  </si>
  <si>
    <t>PAINEL DE CONTROLE GERENCIAL - DIREI 2021</t>
  </si>
  <si>
    <t>Arrecadação 2021 sem DH</t>
  </si>
  <si>
    <t>Direi: Minas vai vacinar 1,7 mi de adolescentes com Pfizer a partir de setembro</t>
  </si>
  <si>
    <t>Direi: Quase metade dos municípios da região de Barbacena não contam com esgoto tratado, mostra levantamento da Fundação João Pinheiro</t>
  </si>
  <si>
    <t>Direi: Preço alto do aluguel deixa milhões de brasileiros sem moradia</t>
  </si>
  <si>
    <t>Daniele: A Participação do BNDES no Mercado de Crédito Brasileiro</t>
  </si>
  <si>
    <t>Ester: Transferência internacional de tecnologia</t>
  </si>
  <si>
    <t>Frederico: Com cerca de 500 mil famílias sem-casa, MG é o 2° com maior déficit no Brasil</t>
  </si>
  <si>
    <t>Denise e Olinto: Investigação dos óbitos no Brasil no contexto da pandemia de Covid-19: um estudo exploratório</t>
  </si>
  <si>
    <t>♦</t>
  </si>
  <si>
    <t>Denise e Nícia: DIVISÃO SEXUAL DO TRABALHO E AUTONOMIA ECONÔMICA DAS MULHERES NO ESTADO DE MINAS GERAIS E NO BRASIL</t>
  </si>
  <si>
    <t>Frederico: Recursos municipais para a saúde e o controle externo: O caso do estado de minas gerais</t>
  </si>
  <si>
    <t>Carla e Lúcio: A participação de Minas Gerais e do Brasil na cadeia produtiva global do café</t>
  </si>
  <si>
    <t>Coordenação</t>
  </si>
  <si>
    <t>Texto Discussão</t>
  </si>
  <si>
    <t>Nota Técnica</t>
  </si>
  <si>
    <t>Série E&amp;I</t>
  </si>
  <si>
    <t>CEP</t>
  </si>
  <si>
    <t>CHS</t>
  </si>
  <si>
    <t>CIS</t>
  </si>
  <si>
    <t>CIT</t>
  </si>
  <si>
    <t>Total Geral</t>
  </si>
  <si>
    <t>Total Coordenação</t>
  </si>
  <si>
    <t>Informativo</t>
  </si>
  <si>
    <t>Outros Relatórios</t>
  </si>
  <si>
    <t>Arrecadação 2021 sem deficit *</t>
  </si>
  <si>
    <t>CPM: Certidão de Pertencimento Municipal</t>
  </si>
  <si>
    <t>Com Deficit Habitacional</t>
  </si>
  <si>
    <t>Meta Anual</t>
  </si>
  <si>
    <t>Deficit</t>
  </si>
  <si>
    <t>Arrecadação 2022</t>
  </si>
  <si>
    <t>Média Mensal de Arrecadação 2022</t>
  </si>
  <si>
    <t>CPM 2022</t>
  </si>
  <si>
    <t>Kelly 2022</t>
  </si>
  <si>
    <t>Luciano 2022</t>
  </si>
  <si>
    <t>Produção 2022</t>
  </si>
  <si>
    <t>Receita  Arrecadada 22</t>
  </si>
  <si>
    <t>Média mensal CPM 2022:</t>
  </si>
  <si>
    <t>PAINEL DE CONTROLE GERENCIAL - DIREI 2022</t>
  </si>
  <si>
    <t>Previsão Arrecadação Anual 2022</t>
  </si>
  <si>
    <t>Índice Déficit do Saneamento Básico em Minas Gerais</t>
  </si>
  <si>
    <t>Eventos</t>
  </si>
  <si>
    <t>Visualizações</t>
  </si>
  <si>
    <t>Índice Mineiro de Responsabilidade Social</t>
  </si>
  <si>
    <t>Publicações Vale Alim.</t>
  </si>
  <si>
    <t>Webinários 2022</t>
  </si>
  <si>
    <t>PIB RGINTs</t>
  </si>
  <si>
    <t>PIB Agronegócio</t>
  </si>
  <si>
    <t>PIB Munic.Mineiros</t>
  </si>
  <si>
    <t>PIB 3º Trimestre de 2021</t>
  </si>
  <si>
    <t>PIB-MG - 4º trimestre de 2021</t>
  </si>
  <si>
    <t>Estudos técnicos para a Série Estatística &amp; Informações</t>
  </si>
  <si>
    <t>PIB Trimestral de Minas Gerais - relatório IBGE</t>
  </si>
  <si>
    <t>Texto p/Discussão</t>
  </si>
  <si>
    <t>Boletins temáticos (mulheres, negros, etc) Observatório do trabalho</t>
  </si>
  <si>
    <t xml:space="preserve">Relatório/Nota técnica </t>
  </si>
  <si>
    <t>Boletim/Informativo Caged</t>
  </si>
  <si>
    <t>Distritos 2022</t>
  </si>
  <si>
    <t>receita_arrecadada</t>
  </si>
  <si>
    <t>variacao_previsto_arrecadado</t>
  </si>
  <si>
    <t>producao</t>
  </si>
  <si>
    <t>cpm</t>
  </si>
  <si>
    <t>distritos</t>
  </si>
  <si>
    <t>ortofoto</t>
  </si>
  <si>
    <t>deficit_habitacional</t>
  </si>
  <si>
    <t>arrecadacao_sem_deficit</t>
  </si>
  <si>
    <t>producao_kelly</t>
  </si>
  <si>
    <t>producao_carlos</t>
  </si>
  <si>
    <t>producao_eduardo</t>
  </si>
  <si>
    <t>UCvvMwDTf_LG68j83N-esY-A</t>
  </si>
  <si>
    <t>AIzaSyD0YHD_y_dXJOCwAyORD4fmyssYrfo7l44</t>
  </si>
  <si>
    <t>2smYmQohjnA</t>
  </si>
  <si>
    <t>fQpiJUlsKnI</t>
  </si>
  <si>
    <t>-93GuHvmzFg</t>
  </si>
  <si>
    <t>8gJWkcyFQL8</t>
  </si>
  <si>
    <t>Censo 2022</t>
  </si>
  <si>
    <t>Mandioca</t>
  </si>
  <si>
    <t>Divórcio</t>
  </si>
  <si>
    <t>Queimadas</t>
  </si>
  <si>
    <t>Como obter o ID do canal:</t>
  </si>
  <si>
    <t>https://commentpicker.com/youtube-channel-id.php</t>
  </si>
  <si>
    <t>Como obter o KEY de usuário</t>
  </si>
  <si>
    <t>https://www.yuichiotsuka.com/youtube-data-extract-r/#Step_4_Sample_Code_for_Extracting_YouTube_Data_in_R</t>
  </si>
  <si>
    <t>videos_id</t>
  </si>
  <si>
    <t>nomes</t>
  </si>
  <si>
    <t>user_key</t>
  </si>
  <si>
    <t>canal_id</t>
  </si>
  <si>
    <t>mes</t>
  </si>
  <si>
    <t>previsao_arrecadacao</t>
  </si>
  <si>
    <t>pva_pib_trimestral</t>
  </si>
  <si>
    <t>pva_texto_discussao</t>
  </si>
  <si>
    <t>pva_boletim_caged</t>
  </si>
  <si>
    <t>pva_boletim_tematico</t>
  </si>
  <si>
    <t>pva_relatorio_nota_tecnica</t>
  </si>
  <si>
    <t>publicado</t>
  </si>
  <si>
    <t>pva_estudos_tecnicos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</si>
</sst>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  <numFmt numFmtId="165" formatCode="_(* #,##0.00_);_(* \(#,##0.00\);_(* &quot;-&quot;??_);_(@_)"/>
    <numFmt numFmtId="166" formatCode="#,##0.00_ ;\-#,##0.00\ "/>
  </numFmts>
  <fonts count="39" x14ac:knownFonts="1">
    <font>
      <sz val="9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color theme="0"/>
      <name val="Euphemia"/>
      <family val="2"/>
      <scheme val="major"/>
    </font>
    <font>
      <b/>
      <sz val="12"/>
      <color theme="5"/>
      <name val="Euphemia"/>
      <family val="2"/>
      <scheme val="major"/>
    </font>
    <font>
      <b/>
      <sz val="15"/>
      <color theme="4" tint="-0.249977111117893"/>
      <name val="Euphemia"/>
      <family val="2"/>
      <scheme val="major"/>
    </font>
    <font>
      <b/>
      <sz val="32"/>
      <color theme="4" tint="-0.249977111117893"/>
      <name val="Century Gothic"/>
      <family val="2"/>
      <scheme val="minor"/>
    </font>
    <font>
      <b/>
      <sz val="9"/>
      <color theme="0"/>
      <name val="Euphemia"/>
      <family val="2"/>
      <scheme val="major"/>
    </font>
    <font>
      <sz val="9"/>
      <color theme="3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6"/>
      <color theme="0"/>
      <name val="Euphemia"/>
      <family val="2"/>
      <scheme val="major"/>
    </font>
    <font>
      <b/>
      <sz val="9"/>
      <color theme="1"/>
      <name val="Century Gothic"/>
      <family val="2"/>
      <scheme val="minor"/>
    </font>
    <font>
      <b/>
      <sz val="9"/>
      <color theme="9"/>
      <name val="Century Gothic"/>
      <family val="2"/>
      <scheme val="minor"/>
    </font>
    <font>
      <sz val="9"/>
      <color theme="1"/>
      <name val="Century Gothic"/>
      <family val="2"/>
      <scheme val="minor"/>
    </font>
    <font>
      <sz val="7"/>
      <color theme="1"/>
      <name val="Century Gothic"/>
      <family val="2"/>
      <scheme val="minor"/>
    </font>
    <font>
      <b/>
      <sz val="10"/>
      <color theme="1" tint="0.34998626667073579"/>
      <name val="Century Gothic"/>
      <family val="2"/>
      <scheme val="minor"/>
    </font>
    <font>
      <sz val="9"/>
      <color theme="0"/>
      <name val="Century Gothic"/>
      <family val="2"/>
      <scheme val="minor"/>
    </font>
    <font>
      <b/>
      <sz val="28"/>
      <color theme="1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color theme="1" tint="0.249977111117893"/>
      <name val="Century Gothic"/>
      <family val="2"/>
      <scheme val="minor"/>
    </font>
    <font>
      <b/>
      <sz val="22"/>
      <color theme="1" tint="0.249977111117893"/>
      <name val="Century Gothic"/>
      <family val="2"/>
      <scheme val="minor"/>
    </font>
    <font>
      <sz val="9"/>
      <color theme="1"/>
      <name val="Wingdings"/>
      <charset val="2"/>
    </font>
    <font>
      <u/>
      <sz val="9"/>
      <color theme="10"/>
      <name val="Century Gothic"/>
      <family val="2"/>
      <scheme val="minor"/>
    </font>
    <font>
      <u/>
      <sz val="14"/>
      <color theme="10"/>
      <name val="Century Gothic"/>
      <family val="2"/>
      <scheme val="minor"/>
    </font>
    <font>
      <sz val="11"/>
      <color theme="9" tint="-0.249977111117893"/>
      <name val="Inconsolata ExtraExpanded Light"/>
    </font>
    <font>
      <sz val="8"/>
      <color theme="9" tint="-0.249977111117893"/>
      <name val="Century Gothic"/>
      <family val="2"/>
      <scheme val="minor"/>
    </font>
    <font>
      <b/>
      <sz val="8"/>
      <color theme="1" tint="0.249977111117893"/>
      <name val="Century Gothic"/>
      <family val="2"/>
      <scheme val="minor"/>
    </font>
    <font>
      <b/>
      <sz val="8"/>
      <color theme="1"/>
      <name val="Century Gothic"/>
      <family val="2"/>
      <scheme val="minor"/>
    </font>
    <font>
      <b/>
      <sz val="7"/>
      <color theme="1"/>
      <name val="Century Gothic"/>
      <family val="2"/>
      <scheme val="minor"/>
    </font>
    <font>
      <sz val="9"/>
      <color theme="1"/>
      <name val="Garamond"/>
      <family val="1"/>
    </font>
    <font>
      <sz val="7"/>
      <color theme="9" tint="-0.249977111117893"/>
      <name val="Century Gothic"/>
      <family val="2"/>
      <scheme val="minor"/>
    </font>
    <font>
      <b/>
      <sz val="18"/>
      <color theme="1" tint="0.249977111117893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8"/>
      <color theme="0" tint="-0.249977111117893"/>
      <name val="Century Gothic"/>
      <family val="2"/>
      <scheme val="minor"/>
    </font>
    <font>
      <sz val="11"/>
      <color theme="1"/>
      <name val="Arial"/>
      <family val="2"/>
    </font>
    <font>
      <sz val="9"/>
      <color theme="1"/>
      <name val="Century Gothic"/>
      <scheme val="minor"/>
    </font>
    <font>
      <u/>
      <sz val="9"/>
      <color theme="1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5"/>
        <bgColor indexed="64"/>
      </patternFill>
    </fill>
    <fill>
      <patternFill patternType="lightGrid">
        <fgColor theme="0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auto="1"/>
      </patternFill>
    </fill>
    <fill>
      <patternFill patternType="solid">
        <fgColor theme="2" tint="-0.249977111117893"/>
        <bgColor theme="2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theme="2" tint="-9.9948118533890809E-2"/>
        <bgColor auto="1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4" fillId="5" borderId="1">
      <alignment horizontal="right" vertical="center" indent="1"/>
    </xf>
    <xf numFmtId="0" fontId="5" fillId="0" borderId="0">
      <alignment vertical="center"/>
    </xf>
    <xf numFmtId="0" fontId="6" fillId="0" borderId="0">
      <alignment horizontal="right"/>
    </xf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36" fillId="0" borderId="0"/>
    <xf numFmtId="0" fontId="1" fillId="0" borderId="0"/>
  </cellStyleXfs>
  <cellXfs count="12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7" fillId="4" borderId="0" xfId="0" applyFont="1" applyFill="1" applyAlignment="1">
      <alignment horizontal="right" vertical="center" indent="1"/>
    </xf>
    <xf numFmtId="0" fontId="7" fillId="3" borderId="0" xfId="0" applyFon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1" fontId="0" fillId="0" borderId="0" xfId="0" applyNumberFormat="1">
      <alignment vertical="center"/>
    </xf>
    <xf numFmtId="1" fontId="0" fillId="0" borderId="1" xfId="0" applyNumberFormat="1" applyBorder="1">
      <alignment vertical="center"/>
    </xf>
    <xf numFmtId="1" fontId="0" fillId="0" borderId="0" xfId="0" applyNumberFormat="1" applyAlignment="1">
      <alignment horizontal="right" vertical="center" indent="1"/>
    </xf>
    <xf numFmtId="1" fontId="0" fillId="0" borderId="1" xfId="0" applyNumberFormat="1" applyBorder="1" applyAlignment="1">
      <alignment horizontal="right" vertical="center" indent="1"/>
    </xf>
    <xf numFmtId="0" fontId="4" fillId="5" borderId="1" xfId="1" applyAlignment="1">
      <alignment horizontal="right" vertical="center" indent="2"/>
    </xf>
    <xf numFmtId="0" fontId="0" fillId="0" borderId="0" xfId="0" applyFont="1" applyFill="1" applyBorder="1" applyAlignment="1">
      <alignment horizontal="right" vertical="center" indent="1"/>
    </xf>
    <xf numFmtId="1" fontId="0" fillId="0" borderId="0" xfId="0" applyNumberFormat="1" applyFont="1" applyFill="1" applyBorder="1" applyAlignment="1">
      <alignment horizontal="right" vertical="center" indent="1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" fontId="0" fillId="6" borderId="0" xfId="0" applyNumberFormat="1" applyFont="1" applyFill="1" applyBorder="1" applyAlignment="1">
      <alignment horizontal="right" vertical="center" indent="1"/>
    </xf>
    <xf numFmtId="1" fontId="0" fillId="8" borderId="0" xfId="0" applyNumberFormat="1" applyFill="1">
      <alignment vertical="center"/>
    </xf>
    <xf numFmtId="1" fontId="0" fillId="8" borderId="1" xfId="0" applyNumberFormat="1" applyFill="1" applyBorder="1">
      <alignment vertical="center"/>
    </xf>
    <xf numFmtId="1" fontId="0" fillId="8" borderId="0" xfId="0" applyNumberFormat="1" applyFill="1" applyAlignment="1">
      <alignment horizontal="right" vertical="center" indent="1"/>
    </xf>
    <xf numFmtId="1" fontId="0" fillId="8" borderId="1" xfId="0" applyNumberFormat="1" applyFill="1" applyBorder="1" applyAlignment="1">
      <alignment horizontal="right" vertical="center" indent="1"/>
    </xf>
    <xf numFmtId="164" fontId="0" fillId="0" borderId="0" xfId="0" applyNumberFormat="1">
      <alignment vertical="center"/>
    </xf>
    <xf numFmtId="0" fontId="9" fillId="0" borderId="0" xfId="0" applyFont="1" applyFill="1" applyBorder="1" applyAlignment="1">
      <alignment horizontal="right" vertical="center" indent="1"/>
    </xf>
    <xf numFmtId="0" fontId="3" fillId="9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41" fontId="0" fillId="0" borderId="0" xfId="0" applyNumberFormat="1" applyFont="1" applyFill="1" applyBorder="1" applyAlignment="1">
      <alignment horizontal="right" vertical="center" indent="1"/>
    </xf>
    <xf numFmtId="41" fontId="0" fillId="6" borderId="0" xfId="0" applyNumberFormat="1" applyFont="1" applyFill="1" applyBorder="1" applyAlignment="1">
      <alignment horizontal="right" vertical="center" indent="1"/>
    </xf>
    <xf numFmtId="41" fontId="8" fillId="0" borderId="0" xfId="0" applyNumberFormat="1" applyFont="1" applyBorder="1" applyAlignment="1">
      <alignment horizontal="right" vertical="center" indent="1"/>
    </xf>
    <xf numFmtId="41" fontId="8" fillId="6" borderId="0" xfId="0" applyNumberFormat="1" applyFont="1" applyFill="1" applyBorder="1" applyAlignment="1">
      <alignment horizontal="right" vertical="center" indent="1"/>
    </xf>
    <xf numFmtId="0" fontId="12" fillId="2" borderId="0" xfId="0" applyFont="1" applyFill="1">
      <alignment vertical="center"/>
    </xf>
    <xf numFmtId="1" fontId="0" fillId="8" borderId="0" xfId="0" applyNumberFormat="1" applyFill="1" applyBorder="1" applyAlignment="1">
      <alignment horizontal="right" vertical="center" indent="1"/>
    </xf>
    <xf numFmtId="0" fontId="8" fillId="0" borderId="0" xfId="0" applyFont="1" applyFill="1" applyBorder="1" applyAlignment="1">
      <alignment horizontal="right" vertical="center" indent="1"/>
    </xf>
    <xf numFmtId="1" fontId="0" fillId="0" borderId="1" xfId="0" applyNumberFormat="1" applyBorder="1" applyAlignment="1">
      <alignment horizontal="left" vertical="center" indent="1"/>
    </xf>
    <xf numFmtId="44" fontId="14" fillId="2" borderId="0" xfId="4" applyFont="1" applyFill="1" applyAlignment="1">
      <alignment horizontal="right" vertical="center"/>
    </xf>
    <xf numFmtId="44" fontId="14" fillId="2" borderId="0" xfId="4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>
      <alignment vertical="center"/>
    </xf>
    <xf numFmtId="43" fontId="16" fillId="2" borderId="0" xfId="0" applyNumberFormat="1" applyFont="1" applyFill="1">
      <alignment vertical="center"/>
    </xf>
    <xf numFmtId="9" fontId="16" fillId="2" borderId="0" xfId="5" applyFont="1" applyFill="1" applyAlignment="1">
      <alignment vertical="center"/>
    </xf>
    <xf numFmtId="0" fontId="18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14" fillId="2" borderId="0" xfId="0" applyFont="1" applyFill="1">
      <alignment vertical="center"/>
    </xf>
    <xf numFmtId="0" fontId="23" fillId="0" borderId="0" xfId="6" applyFont="1" applyAlignment="1">
      <alignment horizontal="left" vertical="center"/>
    </xf>
    <xf numFmtId="0" fontId="24" fillId="2" borderId="0" xfId="0" applyFont="1" applyFill="1" applyAlignment="1">
      <alignment horizontal="right" vertical="center"/>
    </xf>
    <xf numFmtId="0" fontId="25" fillId="2" borderId="0" xfId="0" applyFont="1" applyFill="1">
      <alignment vertical="center"/>
    </xf>
    <xf numFmtId="0" fontId="11" fillId="11" borderId="0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18" fillId="2" borderId="0" xfId="0" applyFont="1" applyFill="1" applyBorder="1">
      <alignment vertical="center"/>
    </xf>
    <xf numFmtId="0" fontId="27" fillId="10" borderId="0" xfId="0" applyFont="1" applyFill="1" applyBorder="1" applyAlignment="1">
      <alignment horizontal="center" vertical="center" wrapText="1"/>
    </xf>
    <xf numFmtId="0" fontId="28" fillId="10" borderId="0" xfId="0" applyFont="1" applyFill="1" applyBorder="1" applyAlignment="1">
      <alignment horizontal="center" vertical="center" wrapText="1"/>
    </xf>
    <xf numFmtId="41" fontId="0" fillId="12" borderId="0" xfId="0" applyNumberFormat="1" applyFont="1" applyFill="1" applyBorder="1" applyAlignment="1">
      <alignment horizontal="right" vertical="center" indent="1"/>
    </xf>
    <xf numFmtId="1" fontId="0" fillId="12" borderId="0" xfId="0" applyNumberFormat="1" applyFont="1" applyFill="1" applyBorder="1" applyAlignment="1">
      <alignment horizontal="right" vertical="center" indent="1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20" fontId="0" fillId="2" borderId="0" xfId="0" applyNumberFormat="1" applyFill="1">
      <alignment vertical="center"/>
    </xf>
    <xf numFmtId="4" fontId="0" fillId="2" borderId="0" xfId="0" applyNumberFormat="1" applyFill="1">
      <alignment vertical="center"/>
    </xf>
    <xf numFmtId="1" fontId="0" fillId="8" borderId="0" xfId="0" applyNumberFormat="1" applyFill="1" applyBorder="1">
      <alignment vertical="center"/>
    </xf>
    <xf numFmtId="1" fontId="8" fillId="0" borderId="0" xfId="0" applyNumberFormat="1" applyFont="1" applyBorder="1" applyAlignment="1">
      <alignment horizontal="right" vertical="center" indent="1"/>
    </xf>
    <xf numFmtId="41" fontId="8" fillId="14" borderId="0" xfId="0" applyNumberFormat="1" applyFont="1" applyFill="1" applyBorder="1" applyAlignment="1">
      <alignment horizontal="right" vertical="center" indent="1"/>
    </xf>
    <xf numFmtId="165" fontId="8" fillId="14" borderId="0" xfId="0" applyNumberFormat="1" applyFont="1" applyFill="1" applyBorder="1" applyAlignment="1"/>
    <xf numFmtId="0" fontId="33" fillId="10" borderId="0" xfId="0" applyFont="1" applyFill="1" applyBorder="1" applyAlignment="1">
      <alignment vertical="center"/>
    </xf>
    <xf numFmtId="1" fontId="33" fillId="10" borderId="0" xfId="0" applyNumberFormat="1" applyFont="1" applyFill="1" applyBorder="1" applyAlignment="1">
      <alignment vertical="center"/>
    </xf>
    <xf numFmtId="0" fontId="34" fillId="10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7" fillId="10" borderId="0" xfId="0" applyFont="1" applyFill="1" applyBorder="1" applyAlignment="1">
      <alignment vertical="center" wrapText="1"/>
    </xf>
    <xf numFmtId="0" fontId="28" fillId="10" borderId="0" xfId="0" applyFont="1" applyFill="1" applyBorder="1" applyAlignment="1">
      <alignment vertical="center" wrapText="1"/>
    </xf>
    <xf numFmtId="0" fontId="0" fillId="2" borderId="5" xfId="0" applyFill="1" applyBorder="1">
      <alignment vertical="center"/>
    </xf>
    <xf numFmtId="0" fontId="11" fillId="2" borderId="5" xfId="0" applyFont="1" applyFill="1" applyBorder="1">
      <alignment vertical="center"/>
    </xf>
    <xf numFmtId="1" fontId="0" fillId="2" borderId="0" xfId="0" applyNumberFormat="1" applyFill="1">
      <alignment vertical="center"/>
    </xf>
    <xf numFmtId="0" fontId="37" fillId="0" borderId="0" xfId="0" applyFont="1" applyFill="1" applyBorder="1" applyAlignment="1">
      <alignment horizontal="right" vertical="center" indent="1"/>
    </xf>
    <xf numFmtId="1" fontId="37" fillId="0" borderId="0" xfId="0" applyNumberFormat="1" applyFont="1" applyFill="1" applyBorder="1" applyAlignment="1">
      <alignment horizontal="right" vertical="center" indent="1"/>
    </xf>
    <xf numFmtId="1" fontId="37" fillId="6" borderId="0" xfId="0" applyNumberFormat="1" applyFont="1" applyFill="1" applyBorder="1" applyAlignment="1">
      <alignment horizontal="right" vertical="center" indent="1"/>
    </xf>
    <xf numFmtId="0" fontId="0" fillId="0" borderId="0" xfId="0" applyFont="1" applyFill="1" applyBorder="1" applyAlignment="1">
      <alignment horizontal="left" vertical="center" indent="1"/>
    </xf>
    <xf numFmtId="0" fontId="37" fillId="15" borderId="0" xfId="0" applyFont="1" applyFill="1" applyBorder="1" applyAlignment="1">
      <alignment horizontal="right" vertical="center" indent="1"/>
    </xf>
    <xf numFmtId="0" fontId="8" fillId="15" borderId="0" xfId="0" applyFont="1" applyFill="1" applyBorder="1" applyAlignment="1">
      <alignment horizontal="right" vertical="center" indent="1"/>
    </xf>
    <xf numFmtId="1" fontId="37" fillId="15" borderId="0" xfId="0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0" fontId="38" fillId="0" borderId="0" xfId="0" applyFont="1">
      <alignment vertical="center"/>
    </xf>
    <xf numFmtId="0" fontId="23" fillId="0" borderId="0" xfId="6" applyFont="1" applyAlignment="1">
      <alignment horizontal="left" vertical="center" wrapText="1"/>
    </xf>
    <xf numFmtId="0" fontId="23" fillId="0" borderId="0" xfId="6" applyFont="1" applyAlignment="1">
      <alignment horizontal="left" vertical="center"/>
    </xf>
    <xf numFmtId="166" fontId="35" fillId="2" borderId="0" xfId="0" applyNumberFormat="1" applyFont="1" applyFill="1" applyBorder="1" applyAlignment="1">
      <alignment horizontal="center" vertical="center"/>
    </xf>
    <xf numFmtId="166" fontId="35" fillId="2" borderId="2" xfId="0" applyNumberFormat="1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6" fontId="31" fillId="2" borderId="3" xfId="0" applyNumberFormat="1" applyFont="1" applyFill="1" applyBorder="1" applyAlignment="1">
      <alignment horizontal="center" vertical="center"/>
    </xf>
    <xf numFmtId="166" fontId="31" fillId="2" borderId="0" xfId="0" applyNumberFormat="1" applyFont="1" applyFill="1" applyBorder="1" applyAlignment="1">
      <alignment horizontal="center" vertical="center"/>
    </xf>
    <xf numFmtId="166" fontId="31" fillId="2" borderId="2" xfId="0" applyNumberFormat="1" applyFont="1" applyFill="1" applyBorder="1" applyAlignment="1">
      <alignment horizontal="center" vertical="center"/>
    </xf>
    <xf numFmtId="166" fontId="32" fillId="2" borderId="0" xfId="0" applyNumberFormat="1" applyFont="1" applyFill="1" applyBorder="1" applyAlignment="1">
      <alignment horizontal="center" vertical="center"/>
    </xf>
    <xf numFmtId="166" fontId="32" fillId="2" borderId="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1" fontId="0" fillId="10" borderId="0" xfId="0" applyNumberFormat="1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0" fontId="27" fillId="10" borderId="0" xfId="0" applyFont="1" applyFill="1" applyBorder="1" applyAlignment="1">
      <alignment horizontal="center" vertical="center" wrapText="1"/>
    </xf>
    <xf numFmtId="43" fontId="20" fillId="2" borderId="0" xfId="0" applyNumberFormat="1" applyFont="1" applyFill="1" applyBorder="1" applyAlignment="1">
      <alignment horizontal="center" vertical="center"/>
    </xf>
    <xf numFmtId="43" fontId="20" fillId="2" borderId="2" xfId="0" applyNumberFormat="1" applyFont="1" applyFill="1" applyBorder="1" applyAlignment="1">
      <alignment horizontal="center" vertical="center"/>
    </xf>
    <xf numFmtId="43" fontId="17" fillId="2" borderId="0" xfId="0" applyNumberFormat="1" applyFont="1" applyFill="1" applyBorder="1" applyAlignment="1">
      <alignment horizontal="center" vertical="center"/>
    </xf>
    <xf numFmtId="43" fontId="17" fillId="2" borderId="2" xfId="0" applyNumberFormat="1" applyFont="1" applyFill="1" applyBorder="1" applyAlignment="1">
      <alignment horizontal="center" vertical="center"/>
    </xf>
    <xf numFmtId="43" fontId="20" fillId="2" borderId="3" xfId="0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22" fillId="0" borderId="0" xfId="6">
      <alignment vertical="center"/>
    </xf>
  </cellXfs>
  <cellStyles count="9">
    <cellStyle name="Dashboard Labels" xfId="2" xr:uid="{00000000-0005-0000-0000-000000000000}"/>
    <cellStyle name="Dashboard Values" xfId="3" xr:uid="{00000000-0005-0000-0000-000001000000}"/>
    <cellStyle name="Hiperlink" xfId="6" builtinId="8"/>
    <cellStyle name="Moeda" xfId="4" builtinId="4"/>
    <cellStyle name="Normal" xfId="0" builtinId="0" customBuiltin="1"/>
    <cellStyle name="Normal 2" xfId="7" xr:uid="{00000000-0005-0000-0000-000005000000}"/>
    <cellStyle name="Normal 3" xfId="8" xr:uid="{00000000-0005-0000-0000-000006000000}"/>
    <cellStyle name="Porcentagem" xfId="5" builtinId="5"/>
    <cellStyle name="Table Title" xfId="1" xr:uid="{00000000-0005-0000-0000-000008000000}"/>
  </cellStyles>
  <dxfs count="2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fill>
        <patternFill>
          <bgColor theme="2" tint="-0.249977111117893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theme="2"/>
          <bgColor theme="2" tint="-0.249977111117893"/>
        </patternFill>
      </fill>
      <alignment horizontal="right" vertical="center" textRotation="0" wrapText="0" indent="1" justifyLastLine="0" shrinkToFit="0" readingOrder="0"/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theme="2"/>
          <bgColor theme="2" tint="-0.249977111117893"/>
        </patternFill>
      </fill>
      <alignment horizontal="right" vertical="center" textRotation="0" wrapText="0" indent="1" justifyLastLine="0" shrinkToFit="0" readingOrder="0"/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solid">
          <fgColor indexed="64"/>
          <bgColor theme="0" tint="-0.34998626667073579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color theme="3"/>
      </font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solid">
          <fgColor indexed="64"/>
          <bgColor theme="2" tint="-0.249977111117893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inor"/>
      </font>
      <fill>
        <patternFill patternType="lightGrid">
          <fgColor theme="2"/>
          <bgColor theme="0" tint="-4.9989318521683403E-2"/>
        </patternFill>
      </fill>
      <border diagonalUp="0" diagonalDown="0" outline="0">
        <left/>
        <right/>
        <top/>
        <bottom/>
      </border>
    </dxf>
    <dxf>
      <font>
        <b/>
        <i val="0"/>
        <color theme="0"/>
      </font>
      <fill>
        <patternFill patternType="solid">
          <bgColor theme="5"/>
        </patternFill>
      </fill>
      <border>
        <bottom/>
      </border>
    </dxf>
    <dxf>
      <fill>
        <patternFill patternType="solid">
          <fgColor auto="1"/>
          <bgColor theme="0"/>
        </patternFill>
      </fill>
      <border>
        <horizontal style="thin">
          <color theme="4" tint="0.59996337778862885"/>
        </horizontal>
      </border>
    </dxf>
    <dxf>
      <font>
        <b/>
        <i val="0"/>
        <color theme="0"/>
      </font>
      <fill>
        <patternFill>
          <bgColor theme="5"/>
        </patternFill>
      </fill>
      <border>
        <bottom/>
      </border>
    </dxf>
    <dxf>
      <fill>
        <patternFill>
          <bgColor theme="4" tint="0.59996337778862885"/>
        </patternFill>
      </fill>
      <border>
        <horizontal style="thin">
          <color theme="4" tint="-0.24994659260841701"/>
        </horizontal>
      </border>
    </dxf>
    <dxf>
      <fill>
        <patternFill patternType="solid">
          <fgColor auto="1"/>
          <bgColor theme="2" tint="-9.9948118533890809E-2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left/>
        <right/>
        <top/>
        <bottom style="thin">
          <color theme="4"/>
        </bottom>
        <vertical/>
      </border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Budget Tables" pivot="0" count="4" xr9:uid="{00000000-0011-0000-FFFF-FFFF00000000}">
      <tableStyleElement type="wholeTable" dxfId="294"/>
      <tableStyleElement type="headerRow" dxfId="293"/>
      <tableStyleElement type="firstColumn" dxfId="292"/>
      <tableStyleElement type="firstRowStripe" dxfId="291"/>
    </tableStyle>
    <tableStyle name="Other Custom Table Style" pivot="0" count="2" xr9:uid="{00000000-0011-0000-FFFF-FFFF01000000}">
      <tableStyleElement type="wholeTable" dxfId="290"/>
      <tableStyleElement type="headerRow" dxfId="289"/>
    </tableStyle>
    <tableStyle name="Setup Tables" pivot="0" count="2" xr9:uid="{00000000-0011-0000-FFFF-FFFF02000000}">
      <tableStyleElement type="wholeTable" dxfId="288"/>
      <tableStyleElement type="headerRow" dxfId="287"/>
    </tableStyle>
  </tableStyles>
  <colors>
    <mruColors>
      <color rgb="FFFFFFFF"/>
      <color rgb="FFD0D9D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Arrecadação com</a:t>
            </a:r>
            <a:r>
              <a:rPr lang="pt-BR" sz="1100" b="1" baseline="0"/>
              <a:t> </a:t>
            </a:r>
            <a:r>
              <a:rPr lang="pt-BR" sz="1100" b="1"/>
              <a:t>CPM - 2022</a:t>
            </a:r>
          </a:p>
        </c:rich>
      </c:tx>
      <c:layout>
        <c:manualLayout>
          <c:xMode val="edge"/>
          <c:yMode val="edge"/>
          <c:x val="0.29697146788320639"/>
          <c:y val="3.46255528004508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0965048287882933E-2"/>
          <c:y val="0.13958035092696455"/>
          <c:w val="0.93772117453317627"/>
          <c:h val="0.64835949103985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Dados!$B$15</c:f>
              <c:strCache>
                <c:ptCount val="1"/>
                <c:pt idx="0">
                  <c:v>CPM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Dados!$C$14:$N$14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Dados!$C$15:$N$15</c:f>
              <c:numCache>
                <c:formatCode>_(* #,##0_);_(* \(#,##0\);_(* "-"_);_(@_)</c:formatCode>
                <c:ptCount val="12"/>
                <c:pt idx="0">
                  <c:v>27269.009999999991</c:v>
                </c:pt>
                <c:pt idx="1">
                  <c:v>34293.839999999989</c:v>
                </c:pt>
                <c:pt idx="2">
                  <c:v>45803.040000000001</c:v>
                </c:pt>
                <c:pt idx="3">
                  <c:v>52566.51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CA9-AF52-8D5726CBE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4196544"/>
        <c:axId val="384187840"/>
      </c:barChart>
      <c:catAx>
        <c:axId val="3841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7840"/>
        <c:crosses val="autoZero"/>
        <c:auto val="1"/>
        <c:lblAlgn val="ctr"/>
        <c:lblOffset val="100"/>
        <c:noMultiLvlLbl val="0"/>
      </c:catAx>
      <c:valAx>
        <c:axId val="384187840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3841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Visualizações Webinários Youtube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Dados!$B$48:$B$58</c:f>
              <c:strCache>
                <c:ptCount val="5"/>
                <c:pt idx="0">
                  <c:v>Índice Mineiro de Responsabilidade Social</c:v>
                </c:pt>
                <c:pt idx="1">
                  <c:v>Índice Déficit do Saneamento Básico em Minas Gerais</c:v>
                </c:pt>
                <c:pt idx="2">
                  <c:v>PIB-MG - 4º trimestre de 2021</c:v>
                </c:pt>
                <c:pt idx="3">
                  <c:v>PIB RGINTs</c:v>
                </c:pt>
                <c:pt idx="4">
                  <c:v>PIB Agronegócio</c:v>
                </c:pt>
              </c:strCache>
            </c:strRef>
          </c:cat>
          <c:val>
            <c:numRef>
              <c:f>Dados!$C$48:$C$58</c:f>
              <c:numCache>
                <c:formatCode>0</c:formatCode>
                <c:ptCount val="11"/>
                <c:pt idx="0">
                  <c:v>155</c:v>
                </c:pt>
                <c:pt idx="1">
                  <c:v>108</c:v>
                </c:pt>
                <c:pt idx="2">
                  <c:v>150</c:v>
                </c:pt>
                <c:pt idx="3">
                  <c:v>100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13C-8EC3-D023C29A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273232"/>
        <c:axId val="210278128"/>
      </c:barChart>
      <c:catAx>
        <c:axId val="21027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8128"/>
        <c:crosses val="autoZero"/>
        <c:auto val="1"/>
        <c:lblAlgn val="ctr"/>
        <c:lblOffset val="100"/>
        <c:noMultiLvlLbl val="0"/>
      </c:catAx>
      <c:valAx>
        <c:axId val="2102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Cumprimento da Meta - Acum. 2021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73A-4D23-9D25-65303EDC9839}"/>
              </c:ext>
            </c:extLst>
          </c:dPt>
          <c:dPt>
            <c:idx val="1"/>
            <c:invertIfNegative val="0"/>
            <c:bubble3D val="0"/>
            <c:spPr>
              <a:solidFill>
                <a:srgbClr val="D0D9D9"/>
              </a:solidFill>
            </c:spPr>
            <c:extLst>
              <c:ext xmlns:c16="http://schemas.microsoft.com/office/drawing/2014/chart" uri="{C3380CC4-5D6E-409C-BE32-E72D297353CC}">
                <c16:uniqueId val="{00000003-473A-4D23-9D25-65303EDC9839}"/>
              </c:ext>
            </c:extLst>
          </c:dPt>
          <c:dPt>
            <c:idx val="2"/>
            <c:invertIfNegative val="0"/>
            <c:bubble3D val="0"/>
            <c:spPr>
              <a:solidFill>
                <a:srgbClr val="D0D9D9"/>
              </a:solidFill>
            </c:spPr>
            <c:extLst>
              <c:ext xmlns:c16="http://schemas.microsoft.com/office/drawing/2014/chart" uri="{C3380CC4-5D6E-409C-BE32-E72D297353CC}">
                <c16:uniqueId val="{00000005-473A-4D23-9D25-65303EDC98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PUB_EXT!$Q$2:$Q$4</c:f>
              <c:strCache>
                <c:ptCount val="3"/>
                <c:pt idx="0">
                  <c:v>Meta Anual</c:v>
                </c:pt>
                <c:pt idx="1">
                  <c:v>Com Deficit Habitacional</c:v>
                </c:pt>
                <c:pt idx="2">
                  <c:v>Arrecadação 2022</c:v>
                </c:pt>
              </c:strCache>
            </c:strRef>
          </c:cat>
          <c:val>
            <c:numRef>
              <c:f>PUB_EXT!$R$2:$R$4</c:f>
              <c:numCache>
                <c:formatCode>_(* #,##0.00_);_(* \(#,##0.00\);_(* "-"??_);_(@_)</c:formatCode>
                <c:ptCount val="3"/>
                <c:pt idx="0">
                  <c:v>782538</c:v>
                </c:pt>
                <c:pt idx="2">
                  <c:v>159932.4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3A-4D23-9D25-65303EDC983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73A-4D23-9D25-65303EDC983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3A-4D23-9D25-65303EDC9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PUB_EXT!$Q$2:$Q$4</c:f>
              <c:strCache>
                <c:ptCount val="3"/>
                <c:pt idx="0">
                  <c:v>Meta Anual</c:v>
                </c:pt>
                <c:pt idx="1">
                  <c:v>Com Deficit Habitacional</c:v>
                </c:pt>
                <c:pt idx="2">
                  <c:v>Arrecadação 2022</c:v>
                </c:pt>
              </c:strCache>
            </c:strRef>
          </c:cat>
          <c:val>
            <c:numRef>
              <c:f>PUB_EXT!$S$2:$S$4</c:f>
              <c:numCache>
                <c:formatCode>0%</c:formatCode>
                <c:ptCount val="3"/>
                <c:pt idx="0" formatCode="_(* #,##0.00_);_(* \(#,##0.00\);_(* &quot;-&quot;??_);_(@_)">
                  <c:v>1</c:v>
                </c:pt>
                <c:pt idx="1">
                  <c:v>0</c:v>
                </c:pt>
                <c:pt idx="2">
                  <c:v>0.20437652867975739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3A-4D23-9D25-65303EDC98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276496"/>
        <c:axId val="450129456"/>
      </c:barChart>
      <c:catAx>
        <c:axId val="21027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9456"/>
        <c:crossesAt val="0"/>
        <c:auto val="1"/>
        <c:lblAlgn val="ctr"/>
        <c:lblOffset val="100"/>
        <c:noMultiLvlLbl val="0"/>
      </c:catAx>
      <c:valAx>
        <c:axId val="45012945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2102764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Cumprimento Meta Arrecadação 2022 </a:t>
            </a:r>
          </a:p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Acumulado até Abril</a:t>
            </a:r>
          </a:p>
        </c:rich>
      </c:tx>
      <c:layout>
        <c:manualLayout>
          <c:xMode val="edge"/>
          <c:yMode val="edge"/>
          <c:x val="0.17406815657542141"/>
          <c:y val="2.607372841684460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8-A513-49CD-A267-89A7DD24197E}"/>
              </c:ext>
            </c:extLst>
          </c:dPt>
          <c:dPt>
            <c:idx val="1"/>
            <c:invertIfNegative val="0"/>
            <c:bubble3D val="0"/>
            <c:spPr>
              <a:solidFill>
                <a:srgbClr val="D0D9D9"/>
              </a:solidFill>
            </c:spPr>
            <c:extLst>
              <c:ext xmlns:c16="http://schemas.microsoft.com/office/drawing/2014/chart" uri="{C3380CC4-5D6E-409C-BE32-E72D297353CC}">
                <c16:uniqueId val="{00000003-DA97-4848-B605-19FCC771C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PUB_EXT!$Q$2:$Q$4</c15:sqref>
                  </c15:fullRef>
                </c:ext>
              </c:extLst>
              <c:f>(PUB_EXT!$Q$2,PUB_EXT!$Q$4)</c:f>
              <c:strCache>
                <c:ptCount val="2"/>
                <c:pt idx="0">
                  <c:v>Meta Anual</c:v>
                </c:pt>
                <c:pt idx="1">
                  <c:v>Arrecadação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PUB_EXT!$R$2:$R$4</c15:sqref>
                  </c15:fullRef>
                </c:ext>
              </c:extLst>
              <c:f>(PUB_EXT!$R$2,PUB_EXT!$R$4)</c:f>
              <c:numCache>
                <c:formatCode>_(* #,##0.00_);_(* \(#,##0.00\);_(* "-"??_);_(@_)</c:formatCode>
                <c:ptCount val="2"/>
                <c:pt idx="0">
                  <c:v>782538</c:v>
                </c:pt>
                <c:pt idx="1">
                  <c:v>159932.4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PUB_EXT!$R$3</c15:sqref>
                  <c15:spPr xmlns:c15="http://schemas.microsoft.com/office/drawing/2012/chart">
                    <a:solidFill>
                      <a:srgbClr val="D0D9D9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A513-49CD-A267-89A7DD24197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3-49CD-A267-89A7DD24197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13-49CD-A267-89A7DD241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PUB_EXT!$Q$2:$Q$4</c15:sqref>
                  </c15:fullRef>
                </c:ext>
              </c:extLst>
              <c:f>(PUB_EXT!$Q$2,PUB_EXT!$Q$4)</c:f>
              <c:strCache>
                <c:ptCount val="2"/>
                <c:pt idx="0">
                  <c:v>Meta Anual</c:v>
                </c:pt>
                <c:pt idx="1">
                  <c:v>Arrecadação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PUB_EXT!$S$2:$S$4</c15:sqref>
                  </c15:fullRef>
                </c:ext>
              </c:extLst>
              <c:f>(PUB_EXT!$S$2,PUB_EXT!$S$4)</c:f>
              <c:numCache>
                <c:formatCode>0%</c:formatCode>
                <c:ptCount val="2"/>
                <c:pt idx="0" formatCode="_(* #,##0.00_);_(* \(#,##0.00\);_(* &quot;-&quot;??_);_(@_)">
                  <c:v>1</c:v>
                </c:pt>
                <c:pt idx="1">
                  <c:v>0.20437652867975739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3-49CD-A267-89A7DD2419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4197088"/>
        <c:axId val="384189472"/>
      </c:barChart>
      <c:catAx>
        <c:axId val="38419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9472"/>
        <c:crossesAt val="0"/>
        <c:auto val="1"/>
        <c:lblAlgn val="ctr"/>
        <c:lblOffset val="100"/>
        <c:noMultiLvlLbl val="0"/>
      </c:catAx>
      <c:valAx>
        <c:axId val="384189472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3841970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baseline="0">
                <a:effectLst/>
              </a:rPr>
              <a:t>Emissão CPM Acumulada - até Abril - 2020 x </a:t>
            </a: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2021 x 2022</a:t>
            </a:r>
          </a:p>
        </c:rich>
      </c:tx>
      <c:layout>
        <c:manualLayout>
          <c:xMode val="edge"/>
          <c:yMode val="edge"/>
          <c:x val="0.14141668568317903"/>
          <c:y val="8.02867818560723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Dados!$B$8</c:f>
              <c:strCache>
                <c:ptCount val="1"/>
                <c:pt idx="0">
                  <c:v>Produção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Dados!$C$8:$N$8</c:f>
              <c:numCache>
                <c:formatCode>0</c:formatCode>
                <c:ptCount val="12"/>
                <c:pt idx="0">
                  <c:v>21</c:v>
                </c:pt>
                <c:pt idx="1">
                  <c:v>40</c:v>
                </c:pt>
                <c:pt idx="2">
                  <c:v>30</c:v>
                </c:pt>
                <c:pt idx="3">
                  <c:v>43</c:v>
                </c:pt>
                <c:pt idx="4">
                  <c:v>41</c:v>
                </c:pt>
                <c:pt idx="5">
                  <c:v>33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23</c:v>
                </c:pt>
                <c:pt idx="10">
                  <c:v>51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7-4521-A16A-8A1985C1F3A2}"/>
            </c:ext>
          </c:extLst>
        </c:ser>
        <c:ser>
          <c:idx val="1"/>
          <c:order val="1"/>
          <c:tx>
            <c:strRef>
              <c:f>Dados!$B$9</c:f>
              <c:strCache>
                <c:ptCount val="1"/>
                <c:pt idx="0">
                  <c:v>Produção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Dados!$C$9:$N$9</c:f>
              <c:numCache>
                <c:formatCode>0</c:formatCode>
                <c:ptCount val="12"/>
                <c:pt idx="0">
                  <c:v>77</c:v>
                </c:pt>
                <c:pt idx="1">
                  <c:v>48</c:v>
                </c:pt>
                <c:pt idx="2">
                  <c:v>53</c:v>
                </c:pt>
                <c:pt idx="3">
                  <c:v>41</c:v>
                </c:pt>
                <c:pt idx="4">
                  <c:v>37</c:v>
                </c:pt>
                <c:pt idx="5">
                  <c:v>51</c:v>
                </c:pt>
                <c:pt idx="6">
                  <c:v>38</c:v>
                </c:pt>
                <c:pt idx="7">
                  <c:v>37</c:v>
                </c:pt>
                <c:pt idx="8">
                  <c:v>32</c:v>
                </c:pt>
                <c:pt idx="9">
                  <c:v>36</c:v>
                </c:pt>
                <c:pt idx="10">
                  <c:v>45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7-4521-A16A-8A1985C1F3A2}"/>
            </c:ext>
          </c:extLst>
        </c:ser>
        <c:ser>
          <c:idx val="2"/>
          <c:order val="2"/>
          <c:tx>
            <c:strRef>
              <c:f>Dados!$B$10</c:f>
              <c:strCache>
                <c:ptCount val="1"/>
                <c:pt idx="0">
                  <c:v>Produção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Dados!$C$10:$N$10</c:f>
              <c:numCache>
                <c:formatCode>0</c:formatCode>
                <c:ptCount val="12"/>
                <c:pt idx="0">
                  <c:v>54</c:v>
                </c:pt>
                <c:pt idx="1">
                  <c:v>23</c:v>
                </c:pt>
                <c:pt idx="2">
                  <c:v>54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521-A16A-8A1985C1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88384"/>
        <c:axId val="384193824"/>
      </c:barChart>
      <c:catAx>
        <c:axId val="3841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3824"/>
        <c:crosses val="autoZero"/>
        <c:auto val="1"/>
        <c:lblAlgn val="ctr"/>
        <c:lblOffset val="100"/>
        <c:noMultiLvlLbl val="0"/>
      </c:catAx>
      <c:valAx>
        <c:axId val="3841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Metas de Publicações</a:t>
            </a:r>
            <a:r>
              <a:rPr lang="pt-BR" baseline="0"/>
              <a:t> - Vale Alimentação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Dados!$B$69</c:f>
              <c:strCache>
                <c:ptCount val="1"/>
                <c:pt idx="0">
                  <c:v>Total Prometido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Dados!$C$62:$N$62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Dados!$C$69:$N$69</c:f>
              <c:numCache>
                <c:formatCode>0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A04-9BDB-02891E7056D9}"/>
            </c:ext>
          </c:extLst>
        </c:ser>
        <c:ser>
          <c:idx val="1"/>
          <c:order val="1"/>
          <c:tx>
            <c:strRef>
              <c:f>Dados!$B$70</c:f>
              <c:strCache>
                <c:ptCount val="1"/>
                <c:pt idx="0">
                  <c:v>Total Publicado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Dados!$C$62:$N$62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Dados!$C$70:$N$70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C-4A04-9BDB-02891E70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190016"/>
        <c:axId val="384185120"/>
      </c:barChart>
      <c:catAx>
        <c:axId val="384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85120"/>
        <c:crosses val="autoZero"/>
        <c:auto val="1"/>
        <c:lblAlgn val="ctr"/>
        <c:lblOffset val="100"/>
        <c:noMultiLvlLbl val="0"/>
      </c:catAx>
      <c:valAx>
        <c:axId val="384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Arrecadação - Distritos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Dados!$C$14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Dados!$C$18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32F-49CA-BB13-69DC586C7F47}"/>
            </c:ext>
          </c:extLst>
        </c:ser>
        <c:ser>
          <c:idx val="1"/>
          <c:order val="1"/>
          <c:tx>
            <c:strRef>
              <c:f>Dados!$D$14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Dados!$D$18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32F-49CA-BB13-69DC586C7F47}"/>
            </c:ext>
          </c:extLst>
        </c:ser>
        <c:ser>
          <c:idx val="2"/>
          <c:order val="2"/>
          <c:tx>
            <c:strRef>
              <c:f>Dados!$E$14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Dados!$E$18</c:f>
              <c:numCache>
                <c:formatCode>_(* #,##0_);_(* \(#,##0\);_(* "-"_);_(@_)</c:formatCode>
                <c:ptCount val="1"/>
                <c:pt idx="0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F-49CA-BB13-69DC586C7F47}"/>
            </c:ext>
          </c:extLst>
        </c:ser>
        <c:ser>
          <c:idx val="3"/>
          <c:order val="3"/>
          <c:tx>
            <c:strRef>
              <c:f>Dados!$F$14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Dados!$F$18</c:f>
              <c:numCache>
                <c:formatCode>_(* #,##0_);_(* \(#,##0\);_(* "-"_);_(@_)</c:formatCode>
                <c:ptCount val="1"/>
                <c:pt idx="0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F-49CA-BB13-69DC586C7F47}"/>
            </c:ext>
          </c:extLst>
        </c:ser>
        <c:ser>
          <c:idx val="4"/>
          <c:order val="4"/>
          <c:tx>
            <c:strRef>
              <c:f>Dados!$G$14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Dados!$G$18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D32F-49CA-BB13-69DC586C7F47}"/>
            </c:ext>
          </c:extLst>
        </c:ser>
        <c:ser>
          <c:idx val="5"/>
          <c:order val="5"/>
          <c:tx>
            <c:strRef>
              <c:f>Dados!$H$14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Dados!$H$18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D32F-49CA-BB13-69DC586C7F47}"/>
            </c:ext>
          </c:extLst>
        </c:ser>
        <c:ser>
          <c:idx val="6"/>
          <c:order val="6"/>
          <c:tx>
            <c:strRef>
              <c:f>Dados!$I$14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Dados!$I$18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D32F-49CA-BB13-69DC586C7F47}"/>
            </c:ext>
          </c:extLst>
        </c:ser>
        <c:ser>
          <c:idx val="7"/>
          <c:order val="7"/>
          <c:tx>
            <c:strRef>
              <c:f>Dados!$J$14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Dados!$J$18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D32F-49CA-BB13-69DC586C7F47}"/>
            </c:ext>
          </c:extLst>
        </c:ser>
        <c:ser>
          <c:idx val="8"/>
          <c:order val="8"/>
          <c:tx>
            <c:strRef>
              <c:f>Dados!$K$14</c:f>
              <c:strCache>
                <c:ptCount val="1"/>
                <c:pt idx="0">
                  <c:v>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Dados!$K$18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D32F-49CA-BB13-69DC586C7F47}"/>
            </c:ext>
          </c:extLst>
        </c:ser>
        <c:ser>
          <c:idx val="9"/>
          <c:order val="9"/>
          <c:tx>
            <c:strRef>
              <c:f>Dados!$L$14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Dados!$L$18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D32F-49CA-BB13-69DC586C7F47}"/>
            </c:ext>
          </c:extLst>
        </c:ser>
        <c:ser>
          <c:idx val="10"/>
          <c:order val="10"/>
          <c:tx>
            <c:strRef>
              <c:f>Dados!$M$14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Dados!$M$18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D32F-49CA-BB13-69DC586C7F47}"/>
            </c:ext>
          </c:extLst>
        </c:ser>
        <c:ser>
          <c:idx val="11"/>
          <c:order val="11"/>
          <c:tx>
            <c:strRef>
              <c:f>Dados!$N$14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Dados!$B$18</c:f>
              <c:strCache>
                <c:ptCount val="1"/>
                <c:pt idx="0">
                  <c:v>Distritos 2022</c:v>
                </c:pt>
              </c:strCache>
            </c:strRef>
          </c:cat>
          <c:val>
            <c:numRef>
              <c:f>Dados!$N$18</c:f>
              <c:numCache>
                <c:formatCode>_(* #,##0_);_(* \(#,##0\);_(* "-"_);_(@_)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D32F-49CA-BB13-69DC586C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22032"/>
        <c:axId val="568719312"/>
      </c:barChart>
      <c:catAx>
        <c:axId val="5687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9312"/>
        <c:crosses val="autoZero"/>
        <c:auto val="1"/>
        <c:lblAlgn val="ctr"/>
        <c:lblOffset val="100"/>
        <c:noMultiLvlLbl val="0"/>
      </c:catAx>
      <c:valAx>
        <c:axId val="5687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Dados!$C$25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Dados!$B$26:$B$33</c15:sqref>
                  </c15:fullRef>
                </c:ext>
              </c:extLst>
              <c:f>(Dados!$B$26:$B$29,Dados!$B$31:$B$33)</c:f>
              <c:strCache>
                <c:ptCount val="7"/>
                <c:pt idx="0">
                  <c:v>Kelly 2022</c:v>
                </c:pt>
                <c:pt idx="1">
                  <c:v>Kelly 2021</c:v>
                </c:pt>
                <c:pt idx="2">
                  <c:v>Kelly 2020</c:v>
                </c:pt>
                <c:pt idx="4">
                  <c:v>Luciano 2022</c:v>
                </c:pt>
                <c:pt idx="5">
                  <c:v>Luciano 2021</c:v>
                </c:pt>
                <c:pt idx="6">
                  <c:v>Luciano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Dados!$C$26:$C$33</c15:sqref>
                  </c15:fullRef>
                </c:ext>
              </c:extLst>
              <c:f>(Dados!$C$26:$C$29,Dados!$C$31:$C$33)</c:f>
              <c:numCache>
                <c:formatCode>0</c:formatCode>
                <c:ptCount val="7"/>
                <c:pt idx="0">
                  <c:v>31</c:v>
                </c:pt>
                <c:pt idx="1">
                  <c:v>17</c:v>
                </c:pt>
                <c:pt idx="2">
                  <c:v>4</c:v>
                </c:pt>
                <c:pt idx="4">
                  <c:v>23</c:v>
                </c:pt>
                <c:pt idx="5">
                  <c:v>60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5-4210-BC26-9E5F07248E70}"/>
            </c:ext>
          </c:extLst>
        </c:ser>
        <c:ser>
          <c:idx val="1"/>
          <c:order val="1"/>
          <c:tx>
            <c:strRef>
              <c:f>Dados!$D$25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Dados!$B$26:$B$33</c15:sqref>
                  </c15:fullRef>
                </c:ext>
              </c:extLst>
              <c:f>(Dados!$B$26:$B$29,Dados!$B$31:$B$33)</c:f>
              <c:strCache>
                <c:ptCount val="7"/>
                <c:pt idx="0">
                  <c:v>Kelly 2022</c:v>
                </c:pt>
                <c:pt idx="1">
                  <c:v>Kelly 2021</c:v>
                </c:pt>
                <c:pt idx="2">
                  <c:v>Kelly 2020</c:v>
                </c:pt>
                <c:pt idx="4">
                  <c:v>Luciano 2022</c:v>
                </c:pt>
                <c:pt idx="5">
                  <c:v>Luciano 2021</c:v>
                </c:pt>
                <c:pt idx="6">
                  <c:v>Luciano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Dados!$D$26:$D$33</c15:sqref>
                  </c15:fullRef>
                </c:ext>
              </c:extLst>
              <c:f>(Dados!$D$26:$D$29,Dados!$D$31:$D$33)</c:f>
              <c:numCache>
                <c:formatCode>0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5-4210-BC26-9E5F07248E70}"/>
            </c:ext>
          </c:extLst>
        </c:ser>
        <c:ser>
          <c:idx val="2"/>
          <c:order val="2"/>
          <c:tx>
            <c:strRef>
              <c:f>Dados!$E$25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Dados!$B$26:$B$33</c15:sqref>
                  </c15:fullRef>
                </c:ext>
              </c:extLst>
              <c:f>(Dados!$B$26:$B$29,Dados!$B$31:$B$33)</c:f>
              <c:strCache>
                <c:ptCount val="7"/>
                <c:pt idx="0">
                  <c:v>Kelly 2022</c:v>
                </c:pt>
                <c:pt idx="1">
                  <c:v>Kelly 2021</c:v>
                </c:pt>
                <c:pt idx="2">
                  <c:v>Kelly 2020</c:v>
                </c:pt>
                <c:pt idx="4">
                  <c:v>Luciano 2022</c:v>
                </c:pt>
                <c:pt idx="5">
                  <c:v>Luciano 2021</c:v>
                </c:pt>
                <c:pt idx="6">
                  <c:v>Luciano 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Dados!$E$26:$E$33</c15:sqref>
                  </c15:fullRef>
                </c:ext>
              </c:extLst>
              <c:f>(Dados!$E$26:$E$29,Dados!$E$31:$E$33)</c:f>
              <c:numCache>
                <c:formatCode>0</c:formatCode>
                <c:ptCount val="7"/>
                <c:pt idx="0">
                  <c:v>33</c:v>
                </c:pt>
                <c:pt idx="1">
                  <c:v>38</c:v>
                </c:pt>
                <c:pt idx="2">
                  <c:v>12</c:v>
                </c:pt>
                <c:pt idx="4">
                  <c:v>21</c:v>
                </c:pt>
                <c:pt idx="5">
                  <c:v>15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5-4210-BC26-9E5F0724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0128368"/>
        <c:axId val="450134896"/>
      </c:barChart>
      <c:catAx>
        <c:axId val="45012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4896"/>
        <c:crosses val="autoZero"/>
        <c:auto val="1"/>
        <c:lblAlgn val="ctr"/>
        <c:lblOffset val="100"/>
        <c:noMultiLvlLbl val="0"/>
      </c:catAx>
      <c:valAx>
        <c:axId val="4501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Arrecadação com</a:t>
            </a:r>
            <a:r>
              <a:rPr lang="pt-BR" sz="1100" b="1" baseline="0"/>
              <a:t> </a:t>
            </a:r>
            <a:r>
              <a:rPr lang="pt-BR" sz="1100" b="1"/>
              <a:t>CPM - 2021</a:t>
            </a:r>
          </a:p>
        </c:rich>
      </c:tx>
      <c:layout>
        <c:manualLayout>
          <c:xMode val="edge"/>
          <c:yMode val="edge"/>
          <c:x val="0.1927706461064935"/>
          <c:y val="2.3647121637907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853079175913827E-2"/>
          <c:y val="0.21661742391014241"/>
          <c:w val="0.93772117453317627"/>
          <c:h val="0.64835949103985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Dados!$B$17</c:f>
              <c:strCache>
                <c:ptCount val="1"/>
                <c:pt idx="0">
                  <c:v>CPM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Dados!$C$14:$N$14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Dados!$C$17:$N$17</c:f>
              <c:numCache>
                <c:formatCode>_(* #,##0_);_(* \(#,##0\);_(* "-"_);_(@_)</c:formatCode>
                <c:ptCount val="12"/>
                <c:pt idx="0">
                  <c:v>25934.87</c:v>
                </c:pt>
                <c:pt idx="1">
                  <c:v>30448.61</c:v>
                </c:pt>
                <c:pt idx="2">
                  <c:v>55821.06</c:v>
                </c:pt>
                <c:pt idx="3">
                  <c:v>24702.94</c:v>
                </c:pt>
                <c:pt idx="4">
                  <c:v>37633.97</c:v>
                </c:pt>
                <c:pt idx="5">
                  <c:v>38943.86</c:v>
                </c:pt>
                <c:pt idx="6">
                  <c:v>50393.2</c:v>
                </c:pt>
                <c:pt idx="7">
                  <c:v>43705.01</c:v>
                </c:pt>
                <c:pt idx="8">
                  <c:v>127172.42</c:v>
                </c:pt>
                <c:pt idx="9">
                  <c:v>29993.74</c:v>
                </c:pt>
                <c:pt idx="10">
                  <c:v>51351</c:v>
                </c:pt>
                <c:pt idx="11">
                  <c:v>64814.46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C-44DC-B594-7F7A1AB3D2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4191104"/>
        <c:axId val="384191648"/>
      </c:barChart>
      <c:catAx>
        <c:axId val="38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1648"/>
        <c:crosses val="autoZero"/>
        <c:auto val="1"/>
        <c:lblAlgn val="ctr"/>
        <c:lblOffset val="100"/>
        <c:noMultiLvlLbl val="0"/>
      </c:catAx>
      <c:valAx>
        <c:axId val="38419164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3841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Emissão CPM Acumulada - até Setembro -</a:t>
            </a:r>
            <a:r>
              <a:rPr lang="pt-BR" sz="1100" b="1" baseline="0"/>
              <a:t> 2020 x 2021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Dados!$B$8</c:f>
              <c:strCache>
                <c:ptCount val="1"/>
                <c:pt idx="0">
                  <c:v>Produção 2020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Dados!$O$8</c:f>
              <c:numCache>
                <c:formatCode>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120-986A-EB22B6F72D5E}"/>
            </c:ext>
          </c:extLst>
        </c:ser>
        <c:ser>
          <c:idx val="0"/>
          <c:order val="1"/>
          <c:tx>
            <c:strRef>
              <c:f>Dados!$B$9</c:f>
              <c:strCache>
                <c:ptCount val="1"/>
                <c:pt idx="0">
                  <c:v>Produção 2021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7CE-4120-986A-EB22B6F72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Dados!$O$9</c:f>
              <c:numCache>
                <c:formatCode>0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E-4120-986A-EB22B6F72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4182944"/>
        <c:axId val="384192192"/>
      </c:barChart>
      <c:catAx>
        <c:axId val="38418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192192"/>
        <c:crosses val="autoZero"/>
        <c:auto val="1"/>
        <c:lblAlgn val="ctr"/>
        <c:lblOffset val="100"/>
        <c:noMultiLvlLbl val="0"/>
      </c:catAx>
      <c:valAx>
        <c:axId val="3841921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841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Produção Acumulada CPM, </a:t>
            </a:r>
            <a:r>
              <a:rPr lang="pt-BR" sz="1100" b="1" i="0" u="none" strike="noStrike" baseline="0">
                <a:effectLst/>
              </a:rPr>
              <a:t>por servidor</a:t>
            </a:r>
            <a:br>
              <a:rPr lang="pt-BR" sz="1100" b="1" i="0" u="none" strike="noStrike" baseline="0">
                <a:effectLst/>
              </a:rPr>
            </a:br>
            <a:r>
              <a:rPr lang="pt-BR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Jan-Set 2020 x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Dados!$B$33</c:f>
              <c:strCache>
                <c:ptCount val="1"/>
                <c:pt idx="0">
                  <c:v>Luciano 2020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Dados!$O$33</c:f>
              <c:numCache>
                <c:formatCode>0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5CB-9F55-72C3A7D76AFD}"/>
            </c:ext>
          </c:extLst>
        </c:ser>
        <c:ser>
          <c:idx val="2"/>
          <c:order val="1"/>
          <c:tx>
            <c:strRef>
              <c:f>Dados!$B$32</c:f>
              <c:strCache>
                <c:ptCount val="1"/>
                <c:pt idx="0">
                  <c:v>Luciano 2021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Dados!$O$32</c:f>
              <c:numCache>
                <c:formatCode>0</c:formatCode>
                <c:ptCount val="1"/>
                <c:pt idx="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0-45CB-9F55-72C3A7D76AFD}"/>
            </c:ext>
          </c:extLst>
        </c:ser>
        <c:ser>
          <c:idx val="1"/>
          <c:order val="2"/>
          <c:tx>
            <c:strRef>
              <c:f>Dados!$B$28</c:f>
              <c:strCache>
                <c:ptCount val="1"/>
                <c:pt idx="0">
                  <c:v>Kelly 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Dados!$O$28</c:f>
              <c:numCache>
                <c:formatCode>_(* #,##0_);_(* \(#,##0\);_(* "-"_);_(@_)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0-45CB-9F55-72C3A7D76AFD}"/>
            </c:ext>
          </c:extLst>
        </c:ser>
        <c:ser>
          <c:idx val="0"/>
          <c:order val="3"/>
          <c:tx>
            <c:strRef>
              <c:f>Dados!$B$27</c:f>
              <c:strCache>
                <c:ptCount val="1"/>
                <c:pt idx="0">
                  <c:v>Kelly 2021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Dados!$O$27</c:f>
              <c:numCache>
                <c:formatCode>_(* #,##0_);_(* \(#,##0\);_(* "-"_);_(@_)</c:formatCode>
                <c:ptCount val="1"/>
                <c:pt idx="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0-45CB-9F55-72C3A7D76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30"/>
        <c:axId val="384192736"/>
        <c:axId val="210281936"/>
      </c:barChart>
      <c:catAx>
        <c:axId val="384192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281936"/>
        <c:crosses val="autoZero"/>
        <c:auto val="1"/>
        <c:lblAlgn val="ctr"/>
        <c:lblOffset val="100"/>
        <c:noMultiLvlLbl val="0"/>
      </c:catAx>
      <c:valAx>
        <c:axId val="210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Painel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461012</xdr:colOff>
      <xdr:row>0</xdr:row>
      <xdr:rowOff>3</xdr:rowOff>
    </xdr:from>
    <xdr:to>
      <xdr:col>2</xdr:col>
      <xdr:colOff>577982</xdr:colOff>
      <xdr:row>5</xdr:row>
      <xdr:rowOff>138548</xdr:rowOff>
    </xdr:to>
    <xdr:sp macro="" textlink="">
      <xdr:nvSpPr>
        <xdr:cNvPr id="3" name="Pentágono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372293" y="88722"/>
          <a:ext cx="1506681" cy="1329243"/>
        </a:xfrm>
        <a:prstGeom prst="homePlate">
          <a:avLst>
            <a:gd name="adj" fmla="val 21582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rIns="0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323678</xdr:colOff>
      <xdr:row>22</xdr:row>
      <xdr:rowOff>41720</xdr:rowOff>
    </xdr:from>
    <xdr:to>
      <xdr:col>8</xdr:col>
      <xdr:colOff>86359</xdr:colOff>
      <xdr:row>35</xdr:row>
      <xdr:rowOff>17839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338631</xdr:colOff>
      <xdr:row>6</xdr:row>
      <xdr:rowOff>93826</xdr:rowOff>
    </xdr:from>
    <xdr:to>
      <xdr:col>8</xdr:col>
      <xdr:colOff>98961</xdr:colOff>
      <xdr:row>12</xdr:row>
      <xdr:rowOff>12370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346360</xdr:colOff>
      <xdr:row>1</xdr:row>
      <xdr:rowOff>121227</xdr:rowOff>
    </xdr:from>
    <xdr:to>
      <xdr:col>3</xdr:col>
      <xdr:colOff>86590</xdr:colOff>
      <xdr:row>6</xdr:row>
      <xdr:rowOff>130195</xdr:rowOff>
    </xdr:to>
    <xdr:pic>
      <xdr:nvPicPr>
        <xdr:cNvPr id="14" name="Imagem 13" descr="Concurso Fundação João Pinheiro 2022 - Edital, Vagas, Salário, Inscrição,  Apostil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342"/>
        <a:stretch/>
      </xdr:blipFill>
      <xdr:spPr bwMode="auto">
        <a:xfrm>
          <a:off x="346360" y="606136"/>
          <a:ext cx="1558639" cy="1065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492127</xdr:colOff>
      <xdr:row>0</xdr:row>
      <xdr:rowOff>207819</xdr:rowOff>
    </xdr:from>
    <xdr:ext cx="1246908" cy="384401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92127" y="207819"/>
          <a:ext cx="1246908" cy="3844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700" b="1">
              <a:solidFill>
                <a:schemeClr val="accent2">
                  <a:lumMod val="50000"/>
                </a:schemeClr>
              </a:solidFill>
              <a:latin typeface="Aharoni" panose="020B0604020202020204" pitchFamily="2" charset="-79"/>
              <a:cs typeface="Aharoni" panose="020B0604020202020204" pitchFamily="2" charset="-79"/>
            </a:rPr>
            <a:t>Maio</a:t>
          </a:r>
        </a:p>
      </xdr:txBody>
    </xdr:sp>
    <xdr:clientData/>
  </xdr:oneCellAnchor>
  <xdr:oneCellAnchor>
    <xdr:from>
      <xdr:col>0</xdr:col>
      <xdr:colOff>278575</xdr:colOff>
      <xdr:row>11</xdr:row>
      <xdr:rowOff>161366</xdr:rowOff>
    </xdr:from>
    <xdr:ext cx="2000035" cy="218073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78575" y="3043606"/>
          <a:ext cx="2000035" cy="218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consolidados até 29/04/2022</a:t>
          </a:r>
          <a:r>
            <a:rPr lang="pt-BR" sz="800"/>
            <a:t> </a:t>
          </a:r>
        </a:p>
      </xdr:txBody>
    </xdr:sp>
    <xdr:clientData/>
  </xdr:oneCellAnchor>
  <xdr:oneCellAnchor>
    <xdr:from>
      <xdr:col>0</xdr:col>
      <xdr:colOff>257793</xdr:colOff>
      <xdr:row>34</xdr:row>
      <xdr:rowOff>159336</xdr:rowOff>
    </xdr:from>
    <xdr:ext cx="2000035" cy="218073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57793" y="7309271"/>
          <a:ext cx="2000035" cy="218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consolidados até 29/04/2022</a:t>
          </a:r>
          <a:r>
            <a:rPr lang="pt-BR" sz="800"/>
            <a:t> </a:t>
          </a:r>
        </a:p>
      </xdr:txBody>
    </xdr:sp>
    <xdr:clientData/>
  </xdr:oneCellAnchor>
  <xdr:oneCellAnchor>
    <xdr:from>
      <xdr:col>8</xdr:col>
      <xdr:colOff>118238</xdr:colOff>
      <xdr:row>20</xdr:row>
      <xdr:rowOff>40262</xdr:rowOff>
    </xdr:from>
    <xdr:ext cx="2082878" cy="233782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338433" y="4592470"/>
          <a:ext cx="2082878" cy="233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</a:t>
          </a:r>
          <a:r>
            <a:rPr lang="pt-BR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consolidados</a:t>
          </a:r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até 29/04/2022</a:t>
          </a:r>
          <a:endParaRPr lang="pt-BR" sz="800"/>
        </a:p>
      </xdr:txBody>
    </xdr:sp>
    <xdr:clientData/>
  </xdr:oneCellAnchor>
  <xdr:twoCellAnchor>
    <xdr:from>
      <xdr:col>8</xdr:col>
      <xdr:colOff>170090</xdr:colOff>
      <xdr:row>6</xdr:row>
      <xdr:rowOff>90715</xdr:rowOff>
    </xdr:from>
    <xdr:to>
      <xdr:col>15</xdr:col>
      <xdr:colOff>795563</xdr:colOff>
      <xdr:row>20</xdr:row>
      <xdr:rowOff>86591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97456</xdr:colOff>
      <xdr:row>34</xdr:row>
      <xdr:rowOff>167922</xdr:rowOff>
    </xdr:from>
    <xdr:ext cx="2082878" cy="23378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317651" y="7317857"/>
          <a:ext cx="2082878" cy="233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</a:t>
          </a:r>
          <a:r>
            <a:rPr lang="pt-BR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consolidados</a:t>
          </a:r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até 24/05/2022</a:t>
          </a:r>
          <a:r>
            <a:rPr lang="pt-BR" sz="800"/>
            <a:t> </a:t>
          </a:r>
        </a:p>
      </xdr:txBody>
    </xdr:sp>
    <xdr:clientData/>
  </xdr:oneCellAnchor>
  <xdr:twoCellAnchor>
    <xdr:from>
      <xdr:col>8</xdr:col>
      <xdr:colOff>160810</xdr:colOff>
      <xdr:row>22</xdr:row>
      <xdr:rowOff>49480</xdr:rowOff>
    </xdr:from>
    <xdr:to>
      <xdr:col>16</xdr:col>
      <xdr:colOff>12369</xdr:colOff>
      <xdr:row>35</xdr:row>
      <xdr:rowOff>24740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81005" y="4972792"/>
          <a:ext cx="5331526" cy="2387435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900"/>
        </a:p>
      </xdr:txBody>
    </xdr:sp>
    <xdr:clientData/>
  </xdr:twoCellAnchor>
  <xdr:twoCellAnchor>
    <xdr:from>
      <xdr:col>0</xdr:col>
      <xdr:colOff>309255</xdr:colOff>
      <xdr:row>36</xdr:row>
      <xdr:rowOff>74221</xdr:rowOff>
    </xdr:from>
    <xdr:to>
      <xdr:col>16</xdr:col>
      <xdr:colOff>12371</xdr:colOff>
      <xdr:row>61</xdr:row>
      <xdr:rowOff>9402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283008</xdr:colOff>
      <xdr:row>60</xdr:row>
      <xdr:rowOff>167922</xdr:rowOff>
    </xdr:from>
    <xdr:ext cx="2054473" cy="233782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83008" y="10311428"/>
          <a:ext cx="2054473" cy="233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Dados </a:t>
          </a:r>
          <a:r>
            <a:rPr lang="pt-BR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consolidados</a:t>
          </a:r>
          <a:r>
            <a:rPr lang="pt-BR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até 01/05/2022</a:t>
          </a:r>
          <a:endParaRPr lang="pt-BR" sz="800"/>
        </a:p>
      </xdr:txBody>
    </xdr:sp>
    <xdr:clientData/>
  </xdr:oneCellAnchor>
  <xdr:twoCellAnchor>
    <xdr:from>
      <xdr:col>0</xdr:col>
      <xdr:colOff>321623</xdr:colOff>
      <xdr:row>13</xdr:row>
      <xdr:rowOff>0</xdr:rowOff>
    </xdr:from>
    <xdr:to>
      <xdr:col>8</xdr:col>
      <xdr:colOff>98961</xdr:colOff>
      <xdr:row>20</xdr:row>
      <xdr:rowOff>98961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20</xdr:col>
      <xdr:colOff>226695</xdr:colOff>
      <xdr:row>1</xdr:row>
      <xdr:rowOff>261</xdr:rowOff>
    </xdr:to>
    <xdr:sp macro="" textlink="">
      <xdr:nvSpPr>
        <xdr:cNvPr id="2" name="Borda do Cabeçalho" descr="&quot;&quot;" title="Header borde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715625" y="0"/>
          <a:ext cx="2103120" cy="438411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PrintsWithSheet="0"/>
  </xdr:twoCellAnchor>
  <xdr:twoCellAnchor>
    <xdr:from>
      <xdr:col>1</xdr:col>
      <xdr:colOff>180975</xdr:colOff>
      <xdr:row>0</xdr:row>
      <xdr:rowOff>0</xdr:rowOff>
    </xdr:from>
    <xdr:to>
      <xdr:col>1</xdr:col>
      <xdr:colOff>1433517</xdr:colOff>
      <xdr:row>2</xdr:row>
      <xdr:rowOff>109537</xdr:rowOff>
    </xdr:to>
    <xdr:grpSp>
      <xdr:nvGrpSpPr>
        <xdr:cNvPr id="4" name="Grupo 3" descr="&quot;&quot;" title="Starting Balanc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308749" y="0"/>
          <a:ext cx="1252542" cy="760025"/>
          <a:chOff x="304800" y="0"/>
          <a:chExt cx="1252542" cy="757237"/>
        </a:xfrm>
      </xdr:grpSpPr>
      <xdr:sp macro="" textlink="">
        <xdr:nvSpPr>
          <xdr:cNvPr id="24" name="Pentágono 23" descr="&quot;&quot;" title="Starting Balance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 rot="5400000">
            <a:off x="552452" y="-247652"/>
            <a:ext cx="757237" cy="1252542"/>
          </a:xfrm>
          <a:prstGeom prst="homePlate">
            <a:avLst>
              <a:gd name="adj" fmla="val 21582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5" name="Grupo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pSpPr/>
        </xdr:nvGrpSpPr>
        <xdr:grpSpPr>
          <a:xfrm>
            <a:off x="380561" y="33337"/>
            <a:ext cx="1097282" cy="614363"/>
            <a:chOff x="816249" y="19050"/>
            <a:chExt cx="1130659" cy="614363"/>
          </a:xfrm>
        </xdr:grpSpPr>
        <xdr:sp macro="" textlink="">
          <xdr:nvSpPr>
            <xdr:cNvPr id="26" name="Caixa de Texto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816250" y="19050"/>
              <a:ext cx="1130658" cy="614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/>
            <a:lstStyle/>
            <a:p>
              <a:pPr algn="ctr"/>
              <a:r>
                <a:rPr lang="pt-BR" sz="1100" b="1" i="0" u="none" strike="noStrike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Produção Mensal 2022</a:t>
              </a:r>
              <a:r>
                <a:rPr lang="pt-BR" sz="900" b="1">
                  <a:solidFill>
                    <a:schemeClr val="bg1"/>
                  </a:solidFill>
                </a:rPr>
                <a:t> </a:t>
              </a:r>
              <a:endParaRPr lang="en-US" sz="900" b="1" spc="50" baseline="0">
                <a:solidFill>
                  <a:schemeClr val="bg1"/>
                </a:solidFill>
                <a:latin typeface="+mj-lt"/>
              </a:endParaRPr>
            </a:p>
          </xdr:txBody>
        </xdr:sp>
        <xdr:sp macro="" textlink="SaldoInicial">
          <xdr:nvSpPr>
            <xdr:cNvPr id="27" name="Caixa de Texto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 txBox="1"/>
          </xdr:nvSpPr>
          <xdr:spPr>
            <a:xfrm>
              <a:off x="816249" y="242888"/>
              <a:ext cx="1130657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ctr"/>
              <a:fld id="{2B216359-7D6C-4C16-9AE0-5BD22C726D6B}" type="TxLink">
                <a:rPr lang="en-US" sz="1800" b="1" i="0" u="none" strike="noStrike" spc="50" baseline="0">
                  <a:solidFill>
                    <a:schemeClr val="bg1"/>
                  </a:solidFill>
                  <a:latin typeface="+mj-lt"/>
                </a:rPr>
                <a:pPr algn="ctr"/>
                <a:t> </a:t>
              </a:fld>
              <a:endParaRPr lang="en-US" sz="1800" b="1" spc="50" baseline="0">
                <a:solidFill>
                  <a:schemeClr val="bg1"/>
                </a:solidFill>
                <a:latin typeface="+mj-lt"/>
              </a:endParaRPr>
            </a:p>
          </xdr:txBody>
        </xdr:sp>
      </xdr:grpSp>
    </xdr:grpSp>
    <xdr:clientData/>
  </xdr:twoCellAnchor>
  <xdr:twoCellAnchor>
    <xdr:from>
      <xdr:col>17</xdr:col>
      <xdr:colOff>443744</xdr:colOff>
      <xdr:row>0</xdr:row>
      <xdr:rowOff>95251</xdr:rowOff>
    </xdr:from>
    <xdr:to>
      <xdr:col>20</xdr:col>
      <xdr:colOff>77984</xdr:colOff>
      <xdr:row>0</xdr:row>
      <xdr:rowOff>333375</xdr:rowOff>
    </xdr:to>
    <xdr:sp macro="" textlink="">
      <xdr:nvSpPr>
        <xdr:cNvPr id="34" name="Voltar à Visão Geral" descr="Click to return to the Dashboard sheet" title="Voltar à Visão Geral">
          <a:hlinkClick xmlns:r="http://schemas.openxmlformats.org/officeDocument/2006/relationships" r:id="rId1" tooltip="Clique para retornar ao Painel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11206994" y="95251"/>
          <a:ext cx="1463040" cy="238124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800" b="1" spc="40" baseline="0">
              <a:solidFill>
                <a:schemeClr val="bg1"/>
              </a:solidFill>
              <a:latin typeface="+mj-lt"/>
            </a:rPr>
            <a:t>voltar à visão geral</a:t>
          </a:r>
        </a:p>
      </xdr:txBody>
    </xdr:sp>
    <xdr:clientData fPrintsWithSheet="0"/>
  </xdr:twoCellAnchor>
  <xdr:twoCellAnchor editAs="oneCell">
    <xdr:from>
      <xdr:col>17</xdr:col>
      <xdr:colOff>180975</xdr:colOff>
      <xdr:row>0</xdr:row>
      <xdr:rowOff>28575</xdr:rowOff>
    </xdr:from>
    <xdr:to>
      <xdr:col>17</xdr:col>
      <xdr:colOff>546735</xdr:colOff>
      <xdr:row>0</xdr:row>
      <xdr:rowOff>394335</xdr:rowOff>
    </xdr:to>
    <xdr:grpSp>
      <xdr:nvGrpSpPr>
        <xdr:cNvPr id="30" name="shpMedidor" descr="&quot;&quot;" title="Dashboard ic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>
          <a:grpSpLocks noChangeAspect="1"/>
        </xdr:cNvGrpSpPr>
      </xdr:nvGrpSpPr>
      <xdr:grpSpPr bwMode="auto">
        <a:xfrm>
          <a:off x="11982682" y="28575"/>
          <a:ext cx="365760" cy="365760"/>
          <a:chOff x="695" y="842"/>
          <a:chExt cx="45" cy="45"/>
        </a:xfrm>
      </xdr:grpSpPr>
      <xdr:sp macro="" textlink="">
        <xdr:nvSpPr>
          <xdr:cNvPr id="31" name="Retângulo 6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695" y="842"/>
            <a:ext cx="45" cy="45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2" name="Forma Livre 6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/>
          </xdr:cNvSpPr>
        </xdr:nvSpPr>
        <xdr:spPr bwMode="auto">
          <a:xfrm>
            <a:off x="695" y="842"/>
            <a:ext cx="44" cy="44"/>
          </a:xfrm>
          <a:custGeom>
            <a:avLst/>
            <a:gdLst>
              <a:gd name="T0" fmla="*/ 1672 w 3238"/>
              <a:gd name="T1" fmla="*/ 18 h 3203"/>
              <a:gd name="T2" fmla="*/ 2098 w 3238"/>
              <a:gd name="T3" fmla="*/ 88 h 3203"/>
              <a:gd name="T4" fmla="*/ 2165 w 3238"/>
              <a:gd name="T5" fmla="*/ 95 h 3203"/>
              <a:gd name="T6" fmla="*/ 2274 w 3238"/>
              <a:gd name="T7" fmla="*/ 416 h 3203"/>
              <a:gd name="T8" fmla="*/ 2603 w 3238"/>
              <a:gd name="T9" fmla="*/ 332 h 3203"/>
              <a:gd name="T10" fmla="*/ 2646 w 3238"/>
              <a:gd name="T11" fmla="*/ 386 h 3203"/>
              <a:gd name="T12" fmla="*/ 2936 w 3238"/>
              <a:gd name="T13" fmla="*/ 704 h 3203"/>
              <a:gd name="T14" fmla="*/ 2986 w 3238"/>
              <a:gd name="T15" fmla="*/ 751 h 3203"/>
              <a:gd name="T16" fmla="*/ 2874 w 3238"/>
              <a:gd name="T17" fmla="*/ 1064 h 3203"/>
              <a:gd name="T18" fmla="*/ 3186 w 3238"/>
              <a:gd name="T19" fmla="*/ 1201 h 3203"/>
              <a:gd name="T20" fmla="*/ 3186 w 3238"/>
              <a:gd name="T21" fmla="*/ 1269 h 3203"/>
              <a:gd name="T22" fmla="*/ 3225 w 3238"/>
              <a:gd name="T23" fmla="*/ 1696 h 3203"/>
              <a:gd name="T24" fmla="*/ 3234 w 3238"/>
              <a:gd name="T25" fmla="*/ 1765 h 3203"/>
              <a:gd name="T26" fmla="*/ 2944 w 3238"/>
              <a:gd name="T27" fmla="*/ 1940 h 3203"/>
              <a:gd name="T28" fmla="*/ 3114 w 3238"/>
              <a:gd name="T29" fmla="*/ 2241 h 3203"/>
              <a:gd name="T30" fmla="*/ 3073 w 3238"/>
              <a:gd name="T31" fmla="*/ 2295 h 3203"/>
              <a:gd name="T32" fmla="*/ 2835 w 3238"/>
              <a:gd name="T33" fmla="*/ 2661 h 3203"/>
              <a:gd name="T34" fmla="*/ 2802 w 3238"/>
              <a:gd name="T35" fmla="*/ 2722 h 3203"/>
              <a:gd name="T36" fmla="*/ 2466 w 3238"/>
              <a:gd name="T37" fmla="*/ 2690 h 3203"/>
              <a:gd name="T38" fmla="*/ 2408 w 3238"/>
              <a:gd name="T39" fmla="*/ 3020 h 3203"/>
              <a:gd name="T40" fmla="*/ 2343 w 3238"/>
              <a:gd name="T41" fmla="*/ 3037 h 3203"/>
              <a:gd name="T42" fmla="*/ 1933 w 3238"/>
              <a:gd name="T43" fmla="*/ 3176 h 3203"/>
              <a:gd name="T44" fmla="*/ 1883 w 3238"/>
              <a:gd name="T45" fmla="*/ 3203 h 3203"/>
              <a:gd name="T46" fmla="*/ 1834 w 3238"/>
              <a:gd name="T47" fmla="*/ 3190 h 3203"/>
              <a:gd name="T48" fmla="*/ 1402 w 3238"/>
              <a:gd name="T49" fmla="*/ 3192 h 3203"/>
              <a:gd name="T50" fmla="*/ 1333 w 3238"/>
              <a:gd name="T51" fmla="*/ 3197 h 3203"/>
              <a:gd name="T52" fmla="*/ 1174 w 3238"/>
              <a:gd name="T53" fmla="*/ 2900 h 3203"/>
              <a:gd name="T54" fmla="*/ 862 w 3238"/>
              <a:gd name="T55" fmla="*/ 3037 h 3203"/>
              <a:gd name="T56" fmla="*/ 812 w 3238"/>
              <a:gd name="T57" fmla="*/ 2991 h 3203"/>
              <a:gd name="T58" fmla="*/ 475 w 3238"/>
              <a:gd name="T59" fmla="*/ 2733 h 3203"/>
              <a:gd name="T60" fmla="*/ 418 w 3238"/>
              <a:gd name="T61" fmla="*/ 2694 h 3203"/>
              <a:gd name="T62" fmla="*/ 477 w 3238"/>
              <a:gd name="T63" fmla="*/ 2358 h 3203"/>
              <a:gd name="T64" fmla="*/ 140 w 3238"/>
              <a:gd name="T65" fmla="*/ 2274 h 3203"/>
              <a:gd name="T66" fmla="*/ 128 w 3238"/>
              <a:gd name="T67" fmla="*/ 2207 h 3203"/>
              <a:gd name="T68" fmla="*/ 24 w 3238"/>
              <a:gd name="T69" fmla="*/ 1794 h 3203"/>
              <a:gd name="T70" fmla="*/ 1 w 3238"/>
              <a:gd name="T71" fmla="*/ 1728 h 3203"/>
              <a:gd name="T72" fmla="*/ 257 w 3238"/>
              <a:gd name="T73" fmla="*/ 1494 h 3203"/>
              <a:gd name="T74" fmla="*/ 45 w 3238"/>
              <a:gd name="T75" fmla="*/ 1236 h 3203"/>
              <a:gd name="T76" fmla="*/ 77 w 3238"/>
              <a:gd name="T77" fmla="*/ 1175 h 3203"/>
              <a:gd name="T78" fmla="*/ 250 w 3238"/>
              <a:gd name="T79" fmla="*/ 785 h 3203"/>
              <a:gd name="T80" fmla="*/ 273 w 3238"/>
              <a:gd name="T81" fmla="*/ 721 h 3203"/>
              <a:gd name="T82" fmla="*/ 611 w 3238"/>
              <a:gd name="T83" fmla="*/ 695 h 3203"/>
              <a:gd name="T84" fmla="*/ 614 w 3238"/>
              <a:gd name="T85" fmla="*/ 354 h 3203"/>
              <a:gd name="T86" fmla="*/ 676 w 3238"/>
              <a:gd name="T87" fmla="*/ 326 h 3203"/>
              <a:gd name="T88" fmla="*/ 1050 w 3238"/>
              <a:gd name="T89" fmla="*/ 121 h 3203"/>
              <a:gd name="T90" fmla="*/ 1108 w 3238"/>
              <a:gd name="T91" fmla="*/ 83 h 3203"/>
              <a:gd name="T92" fmla="*/ 1394 w 3238"/>
              <a:gd name="T93" fmla="*/ 269 h 3203"/>
              <a:gd name="T94" fmla="*/ 1604 w 3238"/>
              <a:gd name="T95" fmla="*/ 3 h 320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238" h="3203">
                <a:moveTo>
                  <a:pt x="1623" y="0"/>
                </a:moveTo>
                <a:lnTo>
                  <a:pt x="1641" y="2"/>
                </a:lnTo>
                <a:lnTo>
                  <a:pt x="1657" y="8"/>
                </a:lnTo>
                <a:lnTo>
                  <a:pt x="1672" y="18"/>
                </a:lnTo>
                <a:lnTo>
                  <a:pt x="1684" y="32"/>
                </a:lnTo>
                <a:lnTo>
                  <a:pt x="1843" y="268"/>
                </a:lnTo>
                <a:lnTo>
                  <a:pt x="2081" y="96"/>
                </a:lnTo>
                <a:lnTo>
                  <a:pt x="2098" y="88"/>
                </a:lnTo>
                <a:lnTo>
                  <a:pt x="2115" y="84"/>
                </a:lnTo>
                <a:lnTo>
                  <a:pt x="2132" y="83"/>
                </a:lnTo>
                <a:lnTo>
                  <a:pt x="2150" y="87"/>
                </a:lnTo>
                <a:lnTo>
                  <a:pt x="2165" y="95"/>
                </a:lnTo>
                <a:lnTo>
                  <a:pt x="2179" y="106"/>
                </a:lnTo>
                <a:lnTo>
                  <a:pt x="2189" y="120"/>
                </a:lnTo>
                <a:lnTo>
                  <a:pt x="2196" y="136"/>
                </a:lnTo>
                <a:lnTo>
                  <a:pt x="2274" y="416"/>
                </a:lnTo>
                <a:lnTo>
                  <a:pt x="2551" y="329"/>
                </a:lnTo>
                <a:lnTo>
                  <a:pt x="2568" y="326"/>
                </a:lnTo>
                <a:lnTo>
                  <a:pt x="2586" y="327"/>
                </a:lnTo>
                <a:lnTo>
                  <a:pt x="2603" y="332"/>
                </a:lnTo>
                <a:lnTo>
                  <a:pt x="2618" y="342"/>
                </a:lnTo>
                <a:lnTo>
                  <a:pt x="2631" y="354"/>
                </a:lnTo>
                <a:lnTo>
                  <a:pt x="2641" y="369"/>
                </a:lnTo>
                <a:lnTo>
                  <a:pt x="2646" y="386"/>
                </a:lnTo>
                <a:lnTo>
                  <a:pt x="2647" y="404"/>
                </a:lnTo>
                <a:lnTo>
                  <a:pt x="2626" y="695"/>
                </a:lnTo>
                <a:lnTo>
                  <a:pt x="2918" y="701"/>
                </a:lnTo>
                <a:lnTo>
                  <a:pt x="2936" y="704"/>
                </a:lnTo>
                <a:lnTo>
                  <a:pt x="2952" y="711"/>
                </a:lnTo>
                <a:lnTo>
                  <a:pt x="2967" y="721"/>
                </a:lnTo>
                <a:lnTo>
                  <a:pt x="2979" y="735"/>
                </a:lnTo>
                <a:lnTo>
                  <a:pt x="2986" y="751"/>
                </a:lnTo>
                <a:lnTo>
                  <a:pt x="2990" y="768"/>
                </a:lnTo>
                <a:lnTo>
                  <a:pt x="2989" y="786"/>
                </a:lnTo>
                <a:lnTo>
                  <a:pt x="2984" y="804"/>
                </a:lnTo>
                <a:lnTo>
                  <a:pt x="2874" y="1064"/>
                </a:lnTo>
                <a:lnTo>
                  <a:pt x="3146" y="1166"/>
                </a:lnTo>
                <a:lnTo>
                  <a:pt x="3162" y="1175"/>
                </a:lnTo>
                <a:lnTo>
                  <a:pt x="3176" y="1187"/>
                </a:lnTo>
                <a:lnTo>
                  <a:pt x="3186" y="1201"/>
                </a:lnTo>
                <a:lnTo>
                  <a:pt x="3192" y="1218"/>
                </a:lnTo>
                <a:lnTo>
                  <a:pt x="3194" y="1235"/>
                </a:lnTo>
                <a:lnTo>
                  <a:pt x="3192" y="1253"/>
                </a:lnTo>
                <a:lnTo>
                  <a:pt x="3186" y="1269"/>
                </a:lnTo>
                <a:lnTo>
                  <a:pt x="3176" y="1284"/>
                </a:lnTo>
                <a:lnTo>
                  <a:pt x="2986" y="1494"/>
                </a:lnTo>
                <a:lnTo>
                  <a:pt x="3213" y="1683"/>
                </a:lnTo>
                <a:lnTo>
                  <a:pt x="3225" y="1696"/>
                </a:lnTo>
                <a:lnTo>
                  <a:pt x="3234" y="1712"/>
                </a:lnTo>
                <a:lnTo>
                  <a:pt x="3238" y="1729"/>
                </a:lnTo>
                <a:lnTo>
                  <a:pt x="3238" y="1746"/>
                </a:lnTo>
                <a:lnTo>
                  <a:pt x="3234" y="1765"/>
                </a:lnTo>
                <a:lnTo>
                  <a:pt x="3226" y="1781"/>
                </a:lnTo>
                <a:lnTo>
                  <a:pt x="3215" y="1794"/>
                </a:lnTo>
                <a:lnTo>
                  <a:pt x="3200" y="1805"/>
                </a:lnTo>
                <a:lnTo>
                  <a:pt x="2944" y="1940"/>
                </a:lnTo>
                <a:lnTo>
                  <a:pt x="3103" y="2190"/>
                </a:lnTo>
                <a:lnTo>
                  <a:pt x="3111" y="2206"/>
                </a:lnTo>
                <a:lnTo>
                  <a:pt x="3114" y="2224"/>
                </a:lnTo>
                <a:lnTo>
                  <a:pt x="3114" y="2241"/>
                </a:lnTo>
                <a:lnTo>
                  <a:pt x="3109" y="2258"/>
                </a:lnTo>
                <a:lnTo>
                  <a:pt x="3100" y="2274"/>
                </a:lnTo>
                <a:lnTo>
                  <a:pt x="3087" y="2286"/>
                </a:lnTo>
                <a:lnTo>
                  <a:pt x="3073" y="2295"/>
                </a:lnTo>
                <a:lnTo>
                  <a:pt x="3055" y="2301"/>
                </a:lnTo>
                <a:lnTo>
                  <a:pt x="2767" y="2358"/>
                </a:lnTo>
                <a:lnTo>
                  <a:pt x="2833" y="2643"/>
                </a:lnTo>
                <a:lnTo>
                  <a:pt x="2835" y="2661"/>
                </a:lnTo>
                <a:lnTo>
                  <a:pt x="2833" y="2678"/>
                </a:lnTo>
                <a:lnTo>
                  <a:pt x="2827" y="2694"/>
                </a:lnTo>
                <a:lnTo>
                  <a:pt x="2816" y="2709"/>
                </a:lnTo>
                <a:lnTo>
                  <a:pt x="2802" y="2722"/>
                </a:lnTo>
                <a:lnTo>
                  <a:pt x="2786" y="2729"/>
                </a:lnTo>
                <a:lnTo>
                  <a:pt x="2769" y="2733"/>
                </a:lnTo>
                <a:lnTo>
                  <a:pt x="2751" y="2733"/>
                </a:lnTo>
                <a:lnTo>
                  <a:pt x="2466" y="2690"/>
                </a:lnTo>
                <a:lnTo>
                  <a:pt x="2433" y="2975"/>
                </a:lnTo>
                <a:lnTo>
                  <a:pt x="2428" y="2992"/>
                </a:lnTo>
                <a:lnTo>
                  <a:pt x="2420" y="3007"/>
                </a:lnTo>
                <a:lnTo>
                  <a:pt x="2408" y="3020"/>
                </a:lnTo>
                <a:lnTo>
                  <a:pt x="2394" y="3031"/>
                </a:lnTo>
                <a:lnTo>
                  <a:pt x="2377" y="3037"/>
                </a:lnTo>
                <a:lnTo>
                  <a:pt x="2360" y="3039"/>
                </a:lnTo>
                <a:lnTo>
                  <a:pt x="2343" y="3037"/>
                </a:lnTo>
                <a:lnTo>
                  <a:pt x="2326" y="3032"/>
                </a:lnTo>
                <a:lnTo>
                  <a:pt x="2063" y="2900"/>
                </a:lnTo>
                <a:lnTo>
                  <a:pt x="1943" y="3160"/>
                </a:lnTo>
                <a:lnTo>
                  <a:pt x="1933" y="3176"/>
                </a:lnTo>
                <a:lnTo>
                  <a:pt x="1921" y="3188"/>
                </a:lnTo>
                <a:lnTo>
                  <a:pt x="1906" y="3197"/>
                </a:lnTo>
                <a:lnTo>
                  <a:pt x="1889" y="3202"/>
                </a:lnTo>
                <a:lnTo>
                  <a:pt x="1883" y="3203"/>
                </a:lnTo>
                <a:lnTo>
                  <a:pt x="1875" y="3203"/>
                </a:lnTo>
                <a:lnTo>
                  <a:pt x="1861" y="3201"/>
                </a:lnTo>
                <a:lnTo>
                  <a:pt x="1847" y="3197"/>
                </a:lnTo>
                <a:lnTo>
                  <a:pt x="1834" y="3190"/>
                </a:lnTo>
                <a:lnTo>
                  <a:pt x="1823" y="3180"/>
                </a:lnTo>
                <a:lnTo>
                  <a:pt x="1622" y="2970"/>
                </a:lnTo>
                <a:lnTo>
                  <a:pt x="1416" y="3181"/>
                </a:lnTo>
                <a:lnTo>
                  <a:pt x="1402" y="3192"/>
                </a:lnTo>
                <a:lnTo>
                  <a:pt x="1386" y="3200"/>
                </a:lnTo>
                <a:lnTo>
                  <a:pt x="1369" y="3203"/>
                </a:lnTo>
                <a:lnTo>
                  <a:pt x="1351" y="3202"/>
                </a:lnTo>
                <a:lnTo>
                  <a:pt x="1333" y="3197"/>
                </a:lnTo>
                <a:lnTo>
                  <a:pt x="1318" y="3188"/>
                </a:lnTo>
                <a:lnTo>
                  <a:pt x="1306" y="3176"/>
                </a:lnTo>
                <a:lnTo>
                  <a:pt x="1296" y="3161"/>
                </a:lnTo>
                <a:lnTo>
                  <a:pt x="1174" y="2900"/>
                </a:lnTo>
                <a:lnTo>
                  <a:pt x="915" y="3031"/>
                </a:lnTo>
                <a:lnTo>
                  <a:pt x="897" y="3037"/>
                </a:lnTo>
                <a:lnTo>
                  <a:pt x="879" y="3039"/>
                </a:lnTo>
                <a:lnTo>
                  <a:pt x="862" y="3037"/>
                </a:lnTo>
                <a:lnTo>
                  <a:pt x="846" y="3031"/>
                </a:lnTo>
                <a:lnTo>
                  <a:pt x="831" y="3020"/>
                </a:lnTo>
                <a:lnTo>
                  <a:pt x="820" y="3007"/>
                </a:lnTo>
                <a:lnTo>
                  <a:pt x="812" y="2991"/>
                </a:lnTo>
                <a:lnTo>
                  <a:pt x="808" y="2974"/>
                </a:lnTo>
                <a:lnTo>
                  <a:pt x="777" y="2690"/>
                </a:lnTo>
                <a:lnTo>
                  <a:pt x="494" y="2733"/>
                </a:lnTo>
                <a:lnTo>
                  <a:pt x="475" y="2733"/>
                </a:lnTo>
                <a:lnTo>
                  <a:pt x="458" y="2730"/>
                </a:lnTo>
                <a:lnTo>
                  <a:pt x="442" y="2722"/>
                </a:lnTo>
                <a:lnTo>
                  <a:pt x="428" y="2709"/>
                </a:lnTo>
                <a:lnTo>
                  <a:pt x="418" y="2694"/>
                </a:lnTo>
                <a:lnTo>
                  <a:pt x="411" y="2678"/>
                </a:lnTo>
                <a:lnTo>
                  <a:pt x="409" y="2661"/>
                </a:lnTo>
                <a:lnTo>
                  <a:pt x="411" y="2643"/>
                </a:lnTo>
                <a:lnTo>
                  <a:pt x="477" y="2358"/>
                </a:lnTo>
                <a:lnTo>
                  <a:pt x="184" y="2301"/>
                </a:lnTo>
                <a:lnTo>
                  <a:pt x="168" y="2295"/>
                </a:lnTo>
                <a:lnTo>
                  <a:pt x="152" y="2286"/>
                </a:lnTo>
                <a:lnTo>
                  <a:pt x="140" y="2274"/>
                </a:lnTo>
                <a:lnTo>
                  <a:pt x="131" y="2258"/>
                </a:lnTo>
                <a:lnTo>
                  <a:pt x="126" y="2241"/>
                </a:lnTo>
                <a:lnTo>
                  <a:pt x="125" y="2224"/>
                </a:lnTo>
                <a:lnTo>
                  <a:pt x="128" y="2207"/>
                </a:lnTo>
                <a:lnTo>
                  <a:pt x="136" y="2191"/>
                </a:lnTo>
                <a:lnTo>
                  <a:pt x="293" y="1940"/>
                </a:lnTo>
                <a:lnTo>
                  <a:pt x="38" y="1804"/>
                </a:lnTo>
                <a:lnTo>
                  <a:pt x="24" y="1794"/>
                </a:lnTo>
                <a:lnTo>
                  <a:pt x="12" y="1780"/>
                </a:lnTo>
                <a:lnTo>
                  <a:pt x="4" y="1765"/>
                </a:lnTo>
                <a:lnTo>
                  <a:pt x="0" y="1746"/>
                </a:lnTo>
                <a:lnTo>
                  <a:pt x="1" y="1728"/>
                </a:lnTo>
                <a:lnTo>
                  <a:pt x="6" y="1711"/>
                </a:lnTo>
                <a:lnTo>
                  <a:pt x="14" y="1696"/>
                </a:lnTo>
                <a:lnTo>
                  <a:pt x="27" y="1683"/>
                </a:lnTo>
                <a:lnTo>
                  <a:pt x="257" y="1494"/>
                </a:lnTo>
                <a:lnTo>
                  <a:pt x="65" y="1284"/>
                </a:lnTo>
                <a:lnTo>
                  <a:pt x="53" y="1270"/>
                </a:lnTo>
                <a:lnTo>
                  <a:pt x="47" y="1253"/>
                </a:lnTo>
                <a:lnTo>
                  <a:pt x="45" y="1236"/>
                </a:lnTo>
                <a:lnTo>
                  <a:pt x="47" y="1218"/>
                </a:lnTo>
                <a:lnTo>
                  <a:pt x="53" y="1202"/>
                </a:lnTo>
                <a:lnTo>
                  <a:pt x="64" y="1187"/>
                </a:lnTo>
                <a:lnTo>
                  <a:pt x="77" y="1175"/>
                </a:lnTo>
                <a:lnTo>
                  <a:pt x="93" y="1167"/>
                </a:lnTo>
                <a:lnTo>
                  <a:pt x="363" y="1064"/>
                </a:lnTo>
                <a:lnTo>
                  <a:pt x="254" y="804"/>
                </a:lnTo>
                <a:lnTo>
                  <a:pt x="250" y="785"/>
                </a:lnTo>
                <a:lnTo>
                  <a:pt x="249" y="768"/>
                </a:lnTo>
                <a:lnTo>
                  <a:pt x="253" y="751"/>
                </a:lnTo>
                <a:lnTo>
                  <a:pt x="260" y="735"/>
                </a:lnTo>
                <a:lnTo>
                  <a:pt x="273" y="721"/>
                </a:lnTo>
                <a:lnTo>
                  <a:pt x="287" y="711"/>
                </a:lnTo>
                <a:lnTo>
                  <a:pt x="304" y="704"/>
                </a:lnTo>
                <a:lnTo>
                  <a:pt x="321" y="701"/>
                </a:lnTo>
                <a:lnTo>
                  <a:pt x="611" y="695"/>
                </a:lnTo>
                <a:lnTo>
                  <a:pt x="598" y="402"/>
                </a:lnTo>
                <a:lnTo>
                  <a:pt x="600" y="385"/>
                </a:lnTo>
                <a:lnTo>
                  <a:pt x="605" y="368"/>
                </a:lnTo>
                <a:lnTo>
                  <a:pt x="614" y="354"/>
                </a:lnTo>
                <a:lnTo>
                  <a:pt x="627" y="341"/>
                </a:lnTo>
                <a:lnTo>
                  <a:pt x="642" y="332"/>
                </a:lnTo>
                <a:lnTo>
                  <a:pt x="659" y="327"/>
                </a:lnTo>
                <a:lnTo>
                  <a:pt x="676" y="326"/>
                </a:lnTo>
                <a:lnTo>
                  <a:pt x="693" y="329"/>
                </a:lnTo>
                <a:lnTo>
                  <a:pt x="970" y="416"/>
                </a:lnTo>
                <a:lnTo>
                  <a:pt x="1044" y="137"/>
                </a:lnTo>
                <a:lnTo>
                  <a:pt x="1050" y="121"/>
                </a:lnTo>
                <a:lnTo>
                  <a:pt x="1060" y="106"/>
                </a:lnTo>
                <a:lnTo>
                  <a:pt x="1074" y="95"/>
                </a:lnTo>
                <a:lnTo>
                  <a:pt x="1090" y="87"/>
                </a:lnTo>
                <a:lnTo>
                  <a:pt x="1108" y="83"/>
                </a:lnTo>
                <a:lnTo>
                  <a:pt x="1125" y="84"/>
                </a:lnTo>
                <a:lnTo>
                  <a:pt x="1143" y="88"/>
                </a:lnTo>
                <a:lnTo>
                  <a:pt x="1158" y="97"/>
                </a:lnTo>
                <a:lnTo>
                  <a:pt x="1394" y="269"/>
                </a:lnTo>
                <a:lnTo>
                  <a:pt x="1562" y="31"/>
                </a:lnTo>
                <a:lnTo>
                  <a:pt x="1574" y="18"/>
                </a:lnTo>
                <a:lnTo>
                  <a:pt x="1588" y="9"/>
                </a:lnTo>
                <a:lnTo>
                  <a:pt x="1604" y="3"/>
                </a:lnTo>
                <a:lnTo>
                  <a:pt x="1623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FFFFFF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" name="Forma Livre 6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EditPoints="1"/>
          </xdr:cNvSpPr>
        </xdr:nvSpPr>
        <xdr:spPr bwMode="auto">
          <a:xfrm>
            <a:off x="704" y="851"/>
            <a:ext cx="26" cy="26"/>
          </a:xfrm>
          <a:custGeom>
            <a:avLst/>
            <a:gdLst>
              <a:gd name="T0" fmla="*/ 866 w 1889"/>
              <a:gd name="T1" fmla="*/ 1272 h 1877"/>
              <a:gd name="T2" fmla="*/ 799 w 1889"/>
              <a:gd name="T3" fmla="*/ 1339 h 1877"/>
              <a:gd name="T4" fmla="*/ 772 w 1889"/>
              <a:gd name="T5" fmla="*/ 1435 h 1877"/>
              <a:gd name="T6" fmla="*/ 798 w 1889"/>
              <a:gd name="T7" fmla="*/ 1530 h 1877"/>
              <a:gd name="T8" fmla="*/ 866 w 1889"/>
              <a:gd name="T9" fmla="*/ 1597 h 1877"/>
              <a:gd name="T10" fmla="*/ 961 w 1889"/>
              <a:gd name="T11" fmla="*/ 1622 h 1877"/>
              <a:gd name="T12" fmla="*/ 1057 w 1889"/>
              <a:gd name="T13" fmla="*/ 1597 h 1877"/>
              <a:gd name="T14" fmla="*/ 1125 w 1889"/>
              <a:gd name="T15" fmla="*/ 1530 h 1877"/>
              <a:gd name="T16" fmla="*/ 1150 w 1889"/>
              <a:gd name="T17" fmla="*/ 1435 h 1877"/>
              <a:gd name="T18" fmla="*/ 1128 w 1889"/>
              <a:gd name="T19" fmla="*/ 1347 h 1877"/>
              <a:gd name="T20" fmla="*/ 1070 w 1889"/>
              <a:gd name="T21" fmla="*/ 1281 h 1877"/>
              <a:gd name="T22" fmla="*/ 1017 w 1889"/>
              <a:gd name="T23" fmla="*/ 722 h 1877"/>
              <a:gd name="T24" fmla="*/ 1281 w 1889"/>
              <a:gd name="T25" fmla="*/ 532 h 1877"/>
              <a:gd name="T26" fmla="*/ 1448 w 1889"/>
              <a:gd name="T27" fmla="*/ 366 h 1877"/>
              <a:gd name="T28" fmla="*/ 540 w 1889"/>
              <a:gd name="T29" fmla="*/ 616 h 1877"/>
              <a:gd name="T30" fmla="*/ 709 w 1889"/>
              <a:gd name="T31" fmla="*/ 214 h 1877"/>
              <a:gd name="T32" fmla="*/ 808 w 1889"/>
              <a:gd name="T33" fmla="*/ 426 h 1877"/>
              <a:gd name="T34" fmla="*/ 1102 w 1889"/>
              <a:gd name="T35" fmla="*/ 426 h 1877"/>
              <a:gd name="T36" fmla="*/ 1201 w 1889"/>
              <a:gd name="T37" fmla="*/ 214 h 1877"/>
              <a:gd name="T38" fmla="*/ 1020 w 1889"/>
              <a:gd name="T39" fmla="*/ 412 h 1877"/>
              <a:gd name="T40" fmla="*/ 945 w 1889"/>
              <a:gd name="T41" fmla="*/ 0 h 1877"/>
              <a:gd name="T42" fmla="*/ 1171 w 1889"/>
              <a:gd name="T43" fmla="*/ 27 h 1877"/>
              <a:gd name="T44" fmla="*/ 1379 w 1889"/>
              <a:gd name="T45" fmla="*/ 104 h 1877"/>
              <a:gd name="T46" fmla="*/ 1559 w 1889"/>
              <a:gd name="T47" fmla="*/ 226 h 1877"/>
              <a:gd name="T48" fmla="*/ 1707 w 1889"/>
              <a:gd name="T49" fmla="*/ 384 h 1877"/>
              <a:gd name="T50" fmla="*/ 1815 w 1889"/>
              <a:gd name="T51" fmla="*/ 573 h 1877"/>
              <a:gd name="T52" fmla="*/ 1877 w 1889"/>
              <a:gd name="T53" fmla="*/ 787 h 1877"/>
              <a:gd name="T54" fmla="*/ 1886 w 1889"/>
              <a:gd name="T55" fmla="*/ 1015 h 1877"/>
              <a:gd name="T56" fmla="*/ 1840 w 1889"/>
              <a:gd name="T57" fmla="*/ 1235 h 1877"/>
              <a:gd name="T58" fmla="*/ 1748 w 1889"/>
              <a:gd name="T59" fmla="*/ 1433 h 1877"/>
              <a:gd name="T60" fmla="*/ 1612 w 1889"/>
              <a:gd name="T61" fmla="*/ 1602 h 1877"/>
              <a:gd name="T62" fmla="*/ 1442 w 1889"/>
              <a:gd name="T63" fmla="*/ 1736 h 1877"/>
              <a:gd name="T64" fmla="*/ 1243 w 1889"/>
              <a:gd name="T65" fmla="*/ 1829 h 1877"/>
              <a:gd name="T66" fmla="*/ 1022 w 1889"/>
              <a:gd name="T67" fmla="*/ 1874 h 1877"/>
              <a:gd name="T68" fmla="*/ 792 w 1889"/>
              <a:gd name="T69" fmla="*/ 1865 h 1877"/>
              <a:gd name="T70" fmla="*/ 577 w 1889"/>
              <a:gd name="T71" fmla="*/ 1804 h 1877"/>
              <a:gd name="T72" fmla="*/ 387 w 1889"/>
              <a:gd name="T73" fmla="*/ 1696 h 1877"/>
              <a:gd name="T74" fmla="*/ 227 w 1889"/>
              <a:gd name="T75" fmla="*/ 1549 h 1877"/>
              <a:gd name="T76" fmla="*/ 106 w 1889"/>
              <a:gd name="T77" fmla="*/ 1369 h 1877"/>
              <a:gd name="T78" fmla="*/ 28 w 1889"/>
              <a:gd name="T79" fmla="*/ 1164 h 1877"/>
              <a:gd name="T80" fmla="*/ 0 w 1889"/>
              <a:gd name="T81" fmla="*/ 939 h 1877"/>
              <a:gd name="T82" fmla="*/ 28 w 1889"/>
              <a:gd name="T83" fmla="*/ 713 h 1877"/>
              <a:gd name="T84" fmla="*/ 106 w 1889"/>
              <a:gd name="T85" fmla="*/ 508 h 1877"/>
              <a:gd name="T86" fmla="*/ 227 w 1889"/>
              <a:gd name="T87" fmla="*/ 328 h 1877"/>
              <a:gd name="T88" fmla="*/ 387 w 1889"/>
              <a:gd name="T89" fmla="*/ 181 h 1877"/>
              <a:gd name="T90" fmla="*/ 577 w 1889"/>
              <a:gd name="T91" fmla="*/ 73 h 1877"/>
              <a:gd name="T92" fmla="*/ 792 w 1889"/>
              <a:gd name="T93" fmla="*/ 12 h 18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889" h="1877">
                <a:moveTo>
                  <a:pt x="897" y="722"/>
                </a:moveTo>
                <a:lnTo>
                  <a:pt x="897" y="1259"/>
                </a:lnTo>
                <a:lnTo>
                  <a:pt x="866" y="1272"/>
                </a:lnTo>
                <a:lnTo>
                  <a:pt x="840" y="1291"/>
                </a:lnTo>
                <a:lnTo>
                  <a:pt x="817" y="1313"/>
                </a:lnTo>
                <a:lnTo>
                  <a:pt x="799" y="1339"/>
                </a:lnTo>
                <a:lnTo>
                  <a:pt x="785" y="1369"/>
                </a:lnTo>
                <a:lnTo>
                  <a:pt x="775" y="1400"/>
                </a:lnTo>
                <a:lnTo>
                  <a:pt x="772" y="1435"/>
                </a:lnTo>
                <a:lnTo>
                  <a:pt x="775" y="1469"/>
                </a:lnTo>
                <a:lnTo>
                  <a:pt x="784" y="1500"/>
                </a:lnTo>
                <a:lnTo>
                  <a:pt x="798" y="1530"/>
                </a:lnTo>
                <a:lnTo>
                  <a:pt x="817" y="1556"/>
                </a:lnTo>
                <a:lnTo>
                  <a:pt x="839" y="1578"/>
                </a:lnTo>
                <a:lnTo>
                  <a:pt x="866" y="1597"/>
                </a:lnTo>
                <a:lnTo>
                  <a:pt x="896" y="1611"/>
                </a:lnTo>
                <a:lnTo>
                  <a:pt x="927" y="1619"/>
                </a:lnTo>
                <a:lnTo>
                  <a:pt x="961" y="1622"/>
                </a:lnTo>
                <a:lnTo>
                  <a:pt x="996" y="1619"/>
                </a:lnTo>
                <a:lnTo>
                  <a:pt x="1027" y="1611"/>
                </a:lnTo>
                <a:lnTo>
                  <a:pt x="1057" y="1597"/>
                </a:lnTo>
                <a:lnTo>
                  <a:pt x="1083" y="1578"/>
                </a:lnTo>
                <a:lnTo>
                  <a:pt x="1106" y="1556"/>
                </a:lnTo>
                <a:lnTo>
                  <a:pt x="1125" y="1530"/>
                </a:lnTo>
                <a:lnTo>
                  <a:pt x="1138" y="1500"/>
                </a:lnTo>
                <a:lnTo>
                  <a:pt x="1147" y="1469"/>
                </a:lnTo>
                <a:lnTo>
                  <a:pt x="1150" y="1435"/>
                </a:lnTo>
                <a:lnTo>
                  <a:pt x="1148" y="1403"/>
                </a:lnTo>
                <a:lnTo>
                  <a:pt x="1140" y="1374"/>
                </a:lnTo>
                <a:lnTo>
                  <a:pt x="1128" y="1347"/>
                </a:lnTo>
                <a:lnTo>
                  <a:pt x="1113" y="1322"/>
                </a:lnTo>
                <a:lnTo>
                  <a:pt x="1092" y="1300"/>
                </a:lnTo>
                <a:lnTo>
                  <a:pt x="1070" y="1281"/>
                </a:lnTo>
                <a:lnTo>
                  <a:pt x="1044" y="1266"/>
                </a:lnTo>
                <a:lnTo>
                  <a:pt x="1017" y="1255"/>
                </a:lnTo>
                <a:lnTo>
                  <a:pt x="1017" y="722"/>
                </a:lnTo>
                <a:lnTo>
                  <a:pt x="897" y="722"/>
                </a:lnTo>
                <a:close/>
                <a:moveTo>
                  <a:pt x="1448" y="366"/>
                </a:moveTo>
                <a:lnTo>
                  <a:pt x="1281" y="532"/>
                </a:lnTo>
                <a:lnTo>
                  <a:pt x="1366" y="616"/>
                </a:lnTo>
                <a:lnTo>
                  <a:pt x="1533" y="450"/>
                </a:lnTo>
                <a:lnTo>
                  <a:pt x="1448" y="366"/>
                </a:lnTo>
                <a:close/>
                <a:moveTo>
                  <a:pt x="459" y="366"/>
                </a:moveTo>
                <a:lnTo>
                  <a:pt x="374" y="450"/>
                </a:lnTo>
                <a:lnTo>
                  <a:pt x="540" y="616"/>
                </a:lnTo>
                <a:lnTo>
                  <a:pt x="625" y="532"/>
                </a:lnTo>
                <a:lnTo>
                  <a:pt x="459" y="366"/>
                </a:lnTo>
                <a:close/>
                <a:moveTo>
                  <a:pt x="709" y="214"/>
                </a:moveTo>
                <a:lnTo>
                  <a:pt x="600" y="264"/>
                </a:lnTo>
                <a:lnTo>
                  <a:pt x="699" y="477"/>
                </a:lnTo>
                <a:lnTo>
                  <a:pt x="808" y="426"/>
                </a:lnTo>
                <a:lnTo>
                  <a:pt x="709" y="214"/>
                </a:lnTo>
                <a:close/>
                <a:moveTo>
                  <a:pt x="1201" y="214"/>
                </a:moveTo>
                <a:lnTo>
                  <a:pt x="1102" y="426"/>
                </a:lnTo>
                <a:lnTo>
                  <a:pt x="1211" y="477"/>
                </a:lnTo>
                <a:lnTo>
                  <a:pt x="1310" y="264"/>
                </a:lnTo>
                <a:lnTo>
                  <a:pt x="1201" y="214"/>
                </a:lnTo>
                <a:close/>
                <a:moveTo>
                  <a:pt x="900" y="179"/>
                </a:moveTo>
                <a:lnTo>
                  <a:pt x="900" y="412"/>
                </a:lnTo>
                <a:lnTo>
                  <a:pt x="1020" y="412"/>
                </a:lnTo>
                <a:lnTo>
                  <a:pt x="1020" y="179"/>
                </a:lnTo>
                <a:lnTo>
                  <a:pt x="900" y="179"/>
                </a:lnTo>
                <a:close/>
                <a:moveTo>
                  <a:pt x="945" y="0"/>
                </a:moveTo>
                <a:lnTo>
                  <a:pt x="1022" y="3"/>
                </a:lnTo>
                <a:lnTo>
                  <a:pt x="1097" y="12"/>
                </a:lnTo>
                <a:lnTo>
                  <a:pt x="1171" y="27"/>
                </a:lnTo>
                <a:lnTo>
                  <a:pt x="1243" y="48"/>
                </a:lnTo>
                <a:lnTo>
                  <a:pt x="1312" y="73"/>
                </a:lnTo>
                <a:lnTo>
                  <a:pt x="1379" y="104"/>
                </a:lnTo>
                <a:lnTo>
                  <a:pt x="1442" y="141"/>
                </a:lnTo>
                <a:lnTo>
                  <a:pt x="1502" y="181"/>
                </a:lnTo>
                <a:lnTo>
                  <a:pt x="1559" y="226"/>
                </a:lnTo>
                <a:lnTo>
                  <a:pt x="1612" y="275"/>
                </a:lnTo>
                <a:lnTo>
                  <a:pt x="1662" y="328"/>
                </a:lnTo>
                <a:lnTo>
                  <a:pt x="1707" y="384"/>
                </a:lnTo>
                <a:lnTo>
                  <a:pt x="1748" y="444"/>
                </a:lnTo>
                <a:lnTo>
                  <a:pt x="1784" y="508"/>
                </a:lnTo>
                <a:lnTo>
                  <a:pt x="1815" y="573"/>
                </a:lnTo>
                <a:lnTo>
                  <a:pt x="1840" y="642"/>
                </a:lnTo>
                <a:lnTo>
                  <a:pt x="1862" y="713"/>
                </a:lnTo>
                <a:lnTo>
                  <a:pt x="1877" y="787"/>
                </a:lnTo>
                <a:lnTo>
                  <a:pt x="1886" y="862"/>
                </a:lnTo>
                <a:lnTo>
                  <a:pt x="1889" y="939"/>
                </a:lnTo>
                <a:lnTo>
                  <a:pt x="1886" y="1015"/>
                </a:lnTo>
                <a:lnTo>
                  <a:pt x="1877" y="1090"/>
                </a:lnTo>
                <a:lnTo>
                  <a:pt x="1862" y="1164"/>
                </a:lnTo>
                <a:lnTo>
                  <a:pt x="1840" y="1235"/>
                </a:lnTo>
                <a:lnTo>
                  <a:pt x="1815" y="1304"/>
                </a:lnTo>
                <a:lnTo>
                  <a:pt x="1784" y="1369"/>
                </a:lnTo>
                <a:lnTo>
                  <a:pt x="1748" y="1433"/>
                </a:lnTo>
                <a:lnTo>
                  <a:pt x="1707" y="1493"/>
                </a:lnTo>
                <a:lnTo>
                  <a:pt x="1662" y="1549"/>
                </a:lnTo>
                <a:lnTo>
                  <a:pt x="1612" y="1602"/>
                </a:lnTo>
                <a:lnTo>
                  <a:pt x="1559" y="1651"/>
                </a:lnTo>
                <a:lnTo>
                  <a:pt x="1502" y="1696"/>
                </a:lnTo>
                <a:lnTo>
                  <a:pt x="1442" y="1736"/>
                </a:lnTo>
                <a:lnTo>
                  <a:pt x="1379" y="1773"/>
                </a:lnTo>
                <a:lnTo>
                  <a:pt x="1312" y="1804"/>
                </a:lnTo>
                <a:lnTo>
                  <a:pt x="1243" y="1829"/>
                </a:lnTo>
                <a:lnTo>
                  <a:pt x="1171" y="1850"/>
                </a:lnTo>
                <a:lnTo>
                  <a:pt x="1097" y="1865"/>
                </a:lnTo>
                <a:lnTo>
                  <a:pt x="1022" y="1874"/>
                </a:lnTo>
                <a:lnTo>
                  <a:pt x="945" y="1877"/>
                </a:lnTo>
                <a:lnTo>
                  <a:pt x="867" y="1874"/>
                </a:lnTo>
                <a:lnTo>
                  <a:pt x="792" y="1865"/>
                </a:lnTo>
                <a:lnTo>
                  <a:pt x="718" y="1850"/>
                </a:lnTo>
                <a:lnTo>
                  <a:pt x="646" y="1829"/>
                </a:lnTo>
                <a:lnTo>
                  <a:pt x="577" y="1804"/>
                </a:lnTo>
                <a:lnTo>
                  <a:pt x="511" y="1773"/>
                </a:lnTo>
                <a:lnTo>
                  <a:pt x="447" y="1736"/>
                </a:lnTo>
                <a:lnTo>
                  <a:pt x="387" y="1696"/>
                </a:lnTo>
                <a:lnTo>
                  <a:pt x="330" y="1651"/>
                </a:lnTo>
                <a:lnTo>
                  <a:pt x="277" y="1602"/>
                </a:lnTo>
                <a:lnTo>
                  <a:pt x="227" y="1549"/>
                </a:lnTo>
                <a:lnTo>
                  <a:pt x="183" y="1493"/>
                </a:lnTo>
                <a:lnTo>
                  <a:pt x="142" y="1433"/>
                </a:lnTo>
                <a:lnTo>
                  <a:pt x="106" y="1369"/>
                </a:lnTo>
                <a:lnTo>
                  <a:pt x="75" y="1304"/>
                </a:lnTo>
                <a:lnTo>
                  <a:pt x="49" y="1235"/>
                </a:lnTo>
                <a:lnTo>
                  <a:pt x="28" y="1164"/>
                </a:lnTo>
                <a:lnTo>
                  <a:pt x="12" y="1090"/>
                </a:lnTo>
                <a:lnTo>
                  <a:pt x="3" y="1015"/>
                </a:lnTo>
                <a:lnTo>
                  <a:pt x="0" y="939"/>
                </a:lnTo>
                <a:lnTo>
                  <a:pt x="3" y="862"/>
                </a:lnTo>
                <a:lnTo>
                  <a:pt x="12" y="787"/>
                </a:lnTo>
                <a:lnTo>
                  <a:pt x="28" y="713"/>
                </a:lnTo>
                <a:lnTo>
                  <a:pt x="49" y="642"/>
                </a:lnTo>
                <a:lnTo>
                  <a:pt x="75" y="573"/>
                </a:lnTo>
                <a:lnTo>
                  <a:pt x="106" y="508"/>
                </a:lnTo>
                <a:lnTo>
                  <a:pt x="142" y="444"/>
                </a:lnTo>
                <a:lnTo>
                  <a:pt x="183" y="384"/>
                </a:lnTo>
                <a:lnTo>
                  <a:pt x="227" y="328"/>
                </a:lnTo>
                <a:lnTo>
                  <a:pt x="277" y="275"/>
                </a:lnTo>
                <a:lnTo>
                  <a:pt x="330" y="226"/>
                </a:lnTo>
                <a:lnTo>
                  <a:pt x="387" y="181"/>
                </a:lnTo>
                <a:lnTo>
                  <a:pt x="447" y="141"/>
                </a:lnTo>
                <a:lnTo>
                  <a:pt x="511" y="104"/>
                </a:lnTo>
                <a:lnTo>
                  <a:pt x="577" y="73"/>
                </a:lnTo>
                <a:lnTo>
                  <a:pt x="646" y="48"/>
                </a:lnTo>
                <a:lnTo>
                  <a:pt x="718" y="27"/>
                </a:lnTo>
                <a:lnTo>
                  <a:pt x="792" y="12"/>
                </a:lnTo>
                <a:lnTo>
                  <a:pt x="867" y="3"/>
                </a:lnTo>
                <a:lnTo>
                  <a:pt x="945" y="0"/>
                </a:lnTo>
                <a:close/>
              </a:path>
            </a:pathLst>
          </a:custGeom>
          <a:solidFill>
            <a:schemeClr val="tx2"/>
          </a:solidFill>
          <a:ln w="0">
            <a:solidFill>
              <a:schemeClr val="tx2"/>
            </a:solidFill>
            <a:prstDash val="solid"/>
            <a:round/>
            <a:headEnd/>
            <a:tailEnd/>
          </a:ln>
        </xdr:spPr>
      </xdr:sp>
    </xdr:grpSp>
    <xdr:clientData fPrintsWithSheet="0"/>
  </xdr:twoCellAnchor>
  <xdr:twoCellAnchor>
    <xdr:from>
      <xdr:col>1</xdr:col>
      <xdr:colOff>1541423</xdr:colOff>
      <xdr:row>78</xdr:row>
      <xdr:rowOff>68765</xdr:rowOff>
    </xdr:from>
    <xdr:to>
      <xdr:col>7</xdr:col>
      <xdr:colOff>630740</xdr:colOff>
      <xdr:row>91</xdr:row>
      <xdr:rowOff>93856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461012</xdr:colOff>
      <xdr:row>0</xdr:row>
      <xdr:rowOff>4762</xdr:rowOff>
    </xdr:from>
    <xdr:to>
      <xdr:col>3</xdr:col>
      <xdr:colOff>27765</xdr:colOff>
      <xdr:row>5</xdr:row>
      <xdr:rowOff>104775</xdr:rowOff>
    </xdr:to>
    <xdr:grpSp>
      <xdr:nvGrpSpPr>
        <xdr:cNvPr id="2" name="Arte final - visão geral do mês" descr="&quot;&quot;" title="Monthly Overview artwor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61012" y="4762"/>
          <a:ext cx="1963366" cy="1390497"/>
          <a:chOff x="522042" y="4762"/>
          <a:chExt cx="1411363" cy="757237"/>
        </a:xfrm>
      </xdr:grpSpPr>
      <xdr:sp macro="" textlink="">
        <xdr:nvSpPr>
          <xdr:cNvPr id="3" name="Pentágono 2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 rot="5400000">
            <a:off x="820616" y="-293812"/>
            <a:ext cx="757237" cy="1354386"/>
          </a:xfrm>
          <a:prstGeom prst="homePlate">
            <a:avLst>
              <a:gd name="adj" fmla="val 21582"/>
            </a:avLst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rIns="0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upo 2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557209" y="92247"/>
            <a:ext cx="1376196" cy="434088"/>
            <a:chOff x="709609" y="73197"/>
            <a:chExt cx="1376196" cy="434088"/>
          </a:xfrm>
        </xdr:grpSpPr>
        <xdr:sp macro="" textlink="'Dados do Gráfico'!B37">
          <xdr:nvSpPr>
            <xdr:cNvPr id="5" name="Caixa de Texto 23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709609" y="73197"/>
              <a:ext cx="1337664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ctr"/>
              <a:r>
                <a:rPr lang="en-US" sz="1500" b="1" spc="50" baseline="0">
                  <a:solidFill>
                    <a:schemeClr val="bg1"/>
                  </a:solidFill>
                  <a:latin typeface="+mj-lt"/>
                </a:rPr>
                <a:t>Setembro</a:t>
              </a:r>
            </a:p>
          </xdr:txBody>
        </xdr:sp>
        <xdr:sp macro="" textlink="">
          <xdr:nvSpPr>
            <xdr:cNvPr id="6" name="Caixa de Texto 98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48141" y="269160"/>
              <a:ext cx="1337664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b"/>
            <a:lstStyle/>
            <a:p>
              <a:pPr algn="ctr"/>
              <a:r>
                <a:rPr lang="en-US" sz="1500" b="1" spc="50" baseline="0">
                  <a:solidFill>
                    <a:schemeClr val="bg1"/>
                  </a:solidFill>
                  <a:latin typeface="+mj-lt"/>
                </a:rPr>
                <a:t>visão geral</a:t>
              </a:r>
            </a:p>
          </xdr:txBody>
        </xdr:sp>
      </xdr:grpSp>
    </xdr:grpSp>
    <xdr:clientData/>
  </xdr:twoCellAnchor>
  <xdr:twoCellAnchor>
    <xdr:from>
      <xdr:col>8</xdr:col>
      <xdr:colOff>148828</xdr:colOff>
      <xdr:row>14</xdr:row>
      <xdr:rowOff>19051</xdr:rowOff>
    </xdr:from>
    <xdr:to>
      <xdr:col>16</xdr:col>
      <xdr:colOff>28864</xdr:colOff>
      <xdr:row>25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148828</xdr:colOff>
      <xdr:row>6</xdr:row>
      <xdr:rowOff>109140</xdr:rowOff>
    </xdr:from>
    <xdr:to>
      <xdr:col>16</xdr:col>
      <xdr:colOff>28864</xdr:colOff>
      <xdr:row>13</xdr:row>
      <xdr:rowOff>148828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360794</xdr:colOff>
      <xdr:row>20</xdr:row>
      <xdr:rowOff>165590</xdr:rowOff>
    </xdr:from>
    <xdr:to>
      <xdr:col>8</xdr:col>
      <xdr:colOff>101022</xdr:colOff>
      <xdr:row>32</xdr:row>
      <xdr:rowOff>142876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148829</xdr:colOff>
      <xdr:row>26</xdr:row>
      <xdr:rowOff>29766</xdr:rowOff>
    </xdr:from>
    <xdr:to>
      <xdr:col>16</xdr:col>
      <xdr:colOff>28865</xdr:colOff>
      <xdr:row>48</xdr:row>
      <xdr:rowOff>89297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6</xdr:row>
      <xdr:rowOff>104774</xdr:rowOff>
    </xdr:from>
    <xdr:to>
      <xdr:col>8</xdr:col>
      <xdr:colOff>102675</xdr:colOff>
      <xdr:row>20</xdr:row>
      <xdr:rowOff>98549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76200</xdr:colOff>
      <xdr:row>53</xdr:row>
      <xdr:rowOff>161925</xdr:rowOff>
    </xdr:from>
    <xdr:ext cx="184731" cy="265265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857875" y="10610850"/>
          <a:ext cx="184731" cy="265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550211</xdr:colOff>
      <xdr:row>34</xdr:row>
      <xdr:rowOff>63140</xdr:rowOff>
    </xdr:from>
    <xdr:to>
      <xdr:col>7</xdr:col>
      <xdr:colOff>521925</xdr:colOff>
      <xdr:row>34</xdr:row>
      <xdr:rowOff>63140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550211" y="6975981"/>
          <a:ext cx="545580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56788</xdr:colOff>
      <xdr:row>46</xdr:row>
      <xdr:rowOff>115418</xdr:rowOff>
    </xdr:from>
    <xdr:to>
      <xdr:col>7</xdr:col>
      <xdr:colOff>691788</xdr:colOff>
      <xdr:row>46</xdr:row>
      <xdr:rowOff>115418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662924" y="9279623"/>
          <a:ext cx="551295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375227</xdr:colOff>
      <xdr:row>33</xdr:row>
      <xdr:rowOff>14432</xdr:rowOff>
    </xdr:from>
    <xdr:to>
      <xdr:col>8</xdr:col>
      <xdr:colOff>101023</xdr:colOff>
      <xdr:row>48</xdr:row>
      <xdr:rowOff>86591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75227" y="6580909"/>
          <a:ext cx="5974773" cy="30162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9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Renda" displayName="tblRenda" ref="B17:P21" headerRowCount="0" totalsRowCount="1">
  <tableColumns count="15">
    <tableColumn id="1" xr3:uid="{00000000-0010-0000-0000-000001000000}" name="Income" totalsRowLabel="Arrecadação 2021" headerRowDxfId="286" dataDxfId="285" totalsRowDxfId="284"/>
    <tableColumn id="2" xr3:uid="{00000000-0010-0000-0000-000002000000}" name="jan" totalsRowFunction="custom" headerRowDxfId="283" dataDxfId="282" totalsRowDxfId="281">
      <totalsRowFormula>SUM(tblRenda[jan])</totalsRowFormula>
    </tableColumn>
    <tableColumn id="3" xr3:uid="{00000000-0010-0000-0000-000003000000}" name="feb" totalsRowFunction="custom" headerRowDxfId="280" dataDxfId="279" totalsRowDxfId="278">
      <totalsRowFormula>SUM(tblRenda[feb])</totalsRowFormula>
    </tableColumn>
    <tableColumn id="4" xr3:uid="{00000000-0010-0000-0000-000004000000}" name="mar" totalsRowFunction="custom" headerRowDxfId="277" dataDxfId="276" totalsRowDxfId="275">
      <totalsRowFormula>SUM(tblRenda[mar])</totalsRowFormula>
    </tableColumn>
    <tableColumn id="5" xr3:uid="{00000000-0010-0000-0000-000005000000}" name="apr" totalsRowFunction="custom" headerRowDxfId="274" dataDxfId="273" totalsRowDxfId="272">
      <calculatedColumnFormula>4200*3</calculatedColumnFormula>
      <totalsRowFormula>SUM(tblRenda[apr])</totalsRowFormula>
    </tableColumn>
    <tableColumn id="6" xr3:uid="{00000000-0010-0000-0000-000006000000}" name="may" totalsRowFunction="custom" headerRowDxfId="271" dataDxfId="270" totalsRowDxfId="269">
      <calculatedColumnFormula>67125+53700+67125</calculatedColumnFormula>
      <totalsRowFormula>SUM(tblRenda[may])</totalsRowFormula>
    </tableColumn>
    <tableColumn id="7" xr3:uid="{00000000-0010-0000-0000-000007000000}" name="jun" totalsRowFunction="custom" headerRowDxfId="268" dataDxfId="267" totalsRowDxfId="266">
      <totalsRowFormula>SUM(tblRenda[jun])</totalsRowFormula>
    </tableColumn>
    <tableColumn id="8" xr3:uid="{00000000-0010-0000-0000-000008000000}" name="jul" totalsRowFunction="custom" headerRowDxfId="265" dataDxfId="264" totalsRowDxfId="263">
      <totalsRowFormula>SUM(tblRenda[jul])</totalsRowFormula>
    </tableColumn>
    <tableColumn id="9" xr3:uid="{00000000-0010-0000-0000-000009000000}" name="aug" totalsRowFunction="custom" headerRowDxfId="262" dataDxfId="261" totalsRowDxfId="260">
      <totalsRowFormula>SUM(tblRenda[aug])</totalsRowFormula>
    </tableColumn>
    <tableColumn id="10" xr3:uid="{00000000-0010-0000-0000-00000A000000}" name="sep" totalsRowFunction="custom" headerRowDxfId="259" dataDxfId="258" totalsRowDxfId="257">
      <totalsRowFormula>SUM(tblRenda[sep])</totalsRowFormula>
    </tableColumn>
    <tableColumn id="11" xr3:uid="{00000000-0010-0000-0000-00000B000000}" name="oct" totalsRowFunction="custom" headerRowDxfId="256" dataDxfId="255" totalsRowDxfId="254">
      <totalsRowFormula>SUM(tblRenda[oct])</totalsRowFormula>
    </tableColumn>
    <tableColumn id="12" xr3:uid="{00000000-0010-0000-0000-00000C000000}" name="nov" totalsRowFunction="custom" headerRowDxfId="253" dataDxfId="252" totalsRowDxfId="251">
      <totalsRowFormula>SUM(tblRenda[nov])</totalsRowFormula>
    </tableColumn>
    <tableColumn id="13" xr3:uid="{00000000-0010-0000-0000-00000D000000}" name="dec" totalsRowFunction="custom" headerRowDxfId="250" dataDxfId="249" totalsRowDxfId="248">
      <totalsRowFormula>SUM(tblRenda[dec])</totalsRowFormula>
    </tableColumn>
    <tableColumn id="14" xr3:uid="{00000000-0010-0000-0000-00000E000000}" name="year" totalsRowFunction="custom" headerRowDxfId="247" dataDxfId="246" totalsRowDxfId="245">
      <calculatedColumnFormula>SUM(tblRenda[[#This Row],[jan]:[dec]])</calculatedColumnFormula>
      <totalsRowFormula>SUM(tblRenda[year])</totalsRowFormula>
    </tableColumn>
    <tableColumn id="15" xr3:uid="{00000000-0010-0000-0000-00000F000000}" name="avg" totalsRowFunction="custom" headerRowDxfId="244" dataDxfId="243" totalsRowDxfId="242">
      <calculatedColumnFormula>AVERAGE(tblRenda[[#This Row],[jan]:[dec]])</calculatedColumnFormula>
      <totalsRowFormula>tblRenda[[#Totals],[year]]/12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Income" altTextSummary="List of monthly renda sources and amoun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CategoriaDespesa_01" displayName="tblCategoriaDespesa_01" ref="B27:P28" headerRowCount="0" totalsRowShown="0">
  <tableColumns count="15">
    <tableColumn id="1" xr3:uid="{00000000-0010-0000-0100-000001000000}" name="Home" headerRowDxfId="241" totalsRowDxfId="240"/>
    <tableColumn id="2" xr3:uid="{00000000-0010-0000-0100-000002000000}" name="jan" headerRowDxfId="239" totalsRowDxfId="238"/>
    <tableColumn id="3" xr3:uid="{00000000-0010-0000-0100-000003000000}" name="feb" headerRowDxfId="237" totalsRowDxfId="236"/>
    <tableColumn id="4" xr3:uid="{00000000-0010-0000-0100-000004000000}" name="mar" headerRowDxfId="235" totalsRowDxfId="234"/>
    <tableColumn id="5" xr3:uid="{00000000-0010-0000-0100-000005000000}" name="apr" headerRowDxfId="233" totalsRowDxfId="232"/>
    <tableColumn id="6" xr3:uid="{00000000-0010-0000-0100-000006000000}" name="may" headerRowDxfId="231" totalsRowDxfId="230"/>
    <tableColumn id="7" xr3:uid="{00000000-0010-0000-0100-000007000000}" name="jun" headerRowDxfId="229" totalsRowDxfId="228"/>
    <tableColumn id="8" xr3:uid="{00000000-0010-0000-0100-000008000000}" name="jul" headerRowDxfId="227" totalsRowDxfId="226"/>
    <tableColumn id="9" xr3:uid="{00000000-0010-0000-0100-000009000000}" name="aug" headerRowDxfId="225" totalsRowDxfId="224"/>
    <tableColumn id="10" xr3:uid="{00000000-0010-0000-0100-00000A000000}" name="sep" headerRowDxfId="223" totalsRowDxfId="222"/>
    <tableColumn id="11" xr3:uid="{00000000-0010-0000-0100-00000B000000}" name="oct" headerRowDxfId="221" totalsRowDxfId="220"/>
    <tableColumn id="12" xr3:uid="{00000000-0010-0000-0100-00000C000000}" name="nov" headerRowDxfId="219" totalsRowDxfId="218"/>
    <tableColumn id="13" xr3:uid="{00000000-0010-0000-0100-00000D000000}" name="dec" headerRowDxfId="217" totalsRowDxfId="216"/>
    <tableColumn id="14" xr3:uid="{00000000-0010-0000-0100-00000E000000}" name="year" headerRowDxfId="215" dataDxfId="214" totalsRowDxfId="213">
      <calculatedColumnFormula>SUM(tblCategoriaDespesa_01[[#This Row],[jan]:[dec]])</calculatedColumnFormula>
    </tableColumn>
    <tableColumn id="15" xr3:uid="{00000000-0010-0000-0100-00000F000000}" name="avg" headerRowDxfId="212" dataDxfId="211" totalsRowDxfId="210">
      <calculatedColumnFormula>tblCategoriaDespesa_01[[#This Row],[year]]/12</calculatedColumn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Home expenses" altTextSummary="List of home expenses by month such as, Mortgage/Rent, Electricity, Phone, etc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CategoriaDespesa_02" displayName="tblCategoriaDespesa_02" ref="B32:P33" headerRowCount="0" totalsRowShown="0">
  <tableColumns count="15">
    <tableColumn id="1" xr3:uid="{00000000-0010-0000-0200-000001000000}" name="Daily Living" headerRowDxfId="209" totalsRowDxfId="208"/>
    <tableColumn id="2" xr3:uid="{00000000-0010-0000-0200-000002000000}" name="jan" headerRowDxfId="207" totalsRowDxfId="206"/>
    <tableColumn id="3" xr3:uid="{00000000-0010-0000-0200-000003000000}" name="feb" headerRowDxfId="205" totalsRowDxfId="204"/>
    <tableColumn id="4" xr3:uid="{00000000-0010-0000-0200-000004000000}" name="mar" headerRowDxfId="203" totalsRowDxfId="202"/>
    <tableColumn id="5" xr3:uid="{00000000-0010-0000-0200-000005000000}" name="apr" headerRowDxfId="201" totalsRowDxfId="200"/>
    <tableColumn id="6" xr3:uid="{00000000-0010-0000-0200-000006000000}" name="may" headerRowDxfId="199" totalsRowDxfId="198"/>
    <tableColumn id="7" xr3:uid="{00000000-0010-0000-0200-000007000000}" name="jun" headerRowDxfId="197" totalsRowDxfId="196"/>
    <tableColumn id="8" xr3:uid="{00000000-0010-0000-0200-000008000000}" name="jul" headerRowDxfId="195" totalsRowDxfId="194"/>
    <tableColumn id="9" xr3:uid="{00000000-0010-0000-0200-000009000000}" name="aug" headerRowDxfId="193" totalsRowDxfId="192"/>
    <tableColumn id="10" xr3:uid="{00000000-0010-0000-0200-00000A000000}" name="sep" headerRowDxfId="191" totalsRowDxfId="190"/>
    <tableColumn id="11" xr3:uid="{00000000-0010-0000-0200-00000B000000}" name="oct" headerRowDxfId="189" totalsRowDxfId="188"/>
    <tableColumn id="12" xr3:uid="{00000000-0010-0000-0200-00000C000000}" name="nov" headerRowDxfId="187" totalsRowDxfId="186"/>
    <tableColumn id="13" xr3:uid="{00000000-0010-0000-0200-00000D000000}" name="dec" headerRowDxfId="185" totalsRowDxfId="184"/>
    <tableColumn id="14" xr3:uid="{00000000-0010-0000-0200-00000E000000}" name="year" headerRowDxfId="183" dataDxfId="182" totalsRowDxfId="181">
      <calculatedColumnFormula>SUM(tblCategoriaDespesa_02[[#This Row],[jan]:[dec]])</calculatedColumnFormula>
    </tableColumn>
    <tableColumn id="15" xr3:uid="{00000000-0010-0000-0200-00000F000000}" name="avg" headerRowDxfId="180" dataDxfId="179" totalsRowDxfId="178">
      <calculatedColumnFormula>tblCategoriaDespesa_02[[#This Row],[year]]/12</calculatedColumn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Daily Living expenses" altTextSummary="List of daily living expenses by month such as, Groceries, Clothing, etc. 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blCategoriaDespesa_11" displayName="tblCategoriaDespesa_11" ref="B50:P59" headerRowCount="0" totalsRowCount="1">
  <tableColumns count="15">
    <tableColumn id="1" xr3:uid="{00000000-0010-0000-0300-000001000000}" name=" " totalsRowFunction="custom" headerRowDxfId="177" dataDxfId="176" totalsRowDxfId="175">
      <totalsRowFormula>UPPER("Total " &amp; B45)</totalsRowFormula>
    </tableColumn>
    <tableColumn id="2" xr3:uid="{00000000-0010-0000-0300-000002000000}" name="jan" totalsRowFunction="custom" headerRowDxfId="174" dataDxfId="173" totalsRowDxfId="172">
      <totalsRowFormula>SUM(tblCategoriaDespesa_11[jan])</totalsRowFormula>
    </tableColumn>
    <tableColumn id="3" xr3:uid="{00000000-0010-0000-0300-000003000000}" name="feb" totalsRowFunction="custom" headerRowDxfId="171" totalsRowDxfId="170">
      <totalsRowFormula>SUM(tblCategoriaDespesa_11[feb])</totalsRowFormula>
    </tableColumn>
    <tableColumn id="4" xr3:uid="{00000000-0010-0000-0300-000004000000}" name="mar" totalsRowFunction="custom" headerRowDxfId="169" totalsRowDxfId="168">
      <totalsRowFormula>SUM(tblCategoriaDespesa_11[mar])</totalsRowFormula>
    </tableColumn>
    <tableColumn id="5" xr3:uid="{00000000-0010-0000-0300-000005000000}" name="apr" totalsRowFunction="custom" headerRowDxfId="167" totalsRowDxfId="166">
      <totalsRowFormula>SUM(tblCategoriaDespesa_11[apr])</totalsRowFormula>
    </tableColumn>
    <tableColumn id="6" xr3:uid="{00000000-0010-0000-0300-000006000000}" name="may" totalsRowFunction="custom" headerRowDxfId="165" totalsRowDxfId="164">
      <totalsRowFormula>SUM(tblCategoriaDespesa_11[may])</totalsRowFormula>
    </tableColumn>
    <tableColumn id="7" xr3:uid="{00000000-0010-0000-0300-000007000000}" name="jun" totalsRowFunction="custom" headerRowDxfId="163" totalsRowDxfId="162">
      <totalsRowFormula>SUM(tblCategoriaDespesa_11[jun])</totalsRowFormula>
    </tableColumn>
    <tableColumn id="8" xr3:uid="{00000000-0010-0000-0300-000008000000}" name="jul" totalsRowFunction="custom" headerRowDxfId="161" totalsRowDxfId="160">
      <totalsRowFormula>SUM(tblCategoriaDespesa_11[jul])</totalsRowFormula>
    </tableColumn>
    <tableColumn id="9" xr3:uid="{00000000-0010-0000-0300-000009000000}" name="aug" totalsRowFunction="custom" headerRowDxfId="159" totalsRowDxfId="158">
      <totalsRowFormula>SUM(tblCategoriaDespesa_11[aug])</totalsRowFormula>
    </tableColumn>
    <tableColumn id="10" xr3:uid="{00000000-0010-0000-0300-00000A000000}" name="sep" totalsRowFunction="custom" headerRowDxfId="157" totalsRowDxfId="156">
      <totalsRowFormula>SUM(tblCategoriaDespesa_11[sep])</totalsRowFormula>
    </tableColumn>
    <tableColumn id="11" xr3:uid="{00000000-0010-0000-0300-00000B000000}" name="oct" totalsRowFunction="custom" headerRowDxfId="155" totalsRowDxfId="154">
      <totalsRowFormula>SUM(tblCategoriaDespesa_11[oct])</totalsRowFormula>
    </tableColumn>
    <tableColumn id="12" xr3:uid="{00000000-0010-0000-0300-00000C000000}" name="nov" totalsRowFunction="custom" headerRowDxfId="153" totalsRowDxfId="152">
      <totalsRowFormula>SUM(tblCategoriaDespesa_11[nov])</totalsRowFormula>
    </tableColumn>
    <tableColumn id="13" xr3:uid="{00000000-0010-0000-0300-00000D000000}" name="dec" totalsRowFunction="custom" headerRowDxfId="151" totalsRowDxfId="150">
      <totalsRowFormula>SUM(tblCategoriaDespesa_11[dec])</totalsRowFormula>
    </tableColumn>
    <tableColumn id="14" xr3:uid="{00000000-0010-0000-0300-00000E000000}" name="year" totalsRowFunction="custom" headerRowDxfId="149" dataDxfId="148" totalsRowDxfId="147">
      <calculatedColumnFormula>SUM(tblCategoriaDespesa_11[[#This Row],[jan]:[dec]])</calculatedColumnFormula>
      <totalsRowFormula>SUM(tblCategoriaDespesa_11[year])</totalsRowFormula>
    </tableColumn>
    <tableColumn id="15" xr3:uid="{00000000-0010-0000-0300-00000F000000}" name="avg" totalsRowFunction="custom" headerRowDxfId="146" dataDxfId="145" totalsRowDxfId="144">
      <calculatedColumnFormula>tblCategoriaDespesa_11[[#This Row],[year]]/12</calculatedColumnFormula>
      <totalsRowFormula>tblCategoriaDespesa_11[[#Totals],[year]]/12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Empty Expense table" altTextSummary="Expense table you can customize for your needs for monthly expenses that do not fit in the expense categories provided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blCategoriaDespesa_12" displayName="tblCategoriaDespesa_12" ref="B63:P69" headerRowCount="0" totalsRowCount="1">
  <tableColumns count="15">
    <tableColumn id="1" xr3:uid="{00000000-0010-0000-0400-000001000000}" name=" " totalsRowFunction="custom" headerRowDxfId="143" totalsRowDxfId="142">
      <totalsRowFormula>("Total Prometido")</totalsRowFormula>
    </tableColumn>
    <tableColumn id="2" xr3:uid="{00000000-0010-0000-0400-000002000000}" name="jan" totalsRowFunction="custom" headerRowDxfId="141" totalsRowDxfId="140">
      <totalsRowFormula>SUM(tblCategoriaDespesa_12[jan])</totalsRowFormula>
    </tableColumn>
    <tableColumn id="3" xr3:uid="{00000000-0010-0000-0400-000003000000}" name="feb" totalsRowFunction="custom" headerRowDxfId="139" totalsRowDxfId="138">
      <totalsRowFormula>SUM(tblCategoriaDespesa_12[feb])</totalsRowFormula>
    </tableColumn>
    <tableColumn id="4" xr3:uid="{00000000-0010-0000-0400-000004000000}" name="mar" totalsRowFunction="custom" headerRowDxfId="137" totalsRowDxfId="136">
      <totalsRowFormula>SUM(tblCategoriaDespesa_12[mar])</totalsRowFormula>
    </tableColumn>
    <tableColumn id="5" xr3:uid="{00000000-0010-0000-0400-000005000000}" name="apr" totalsRowFunction="custom" headerRowDxfId="135" totalsRowDxfId="134">
      <totalsRowFormula>SUM(tblCategoriaDespesa_12[apr])</totalsRowFormula>
    </tableColumn>
    <tableColumn id="6" xr3:uid="{00000000-0010-0000-0400-000006000000}" name="may" totalsRowFunction="custom" headerRowDxfId="133" totalsRowDxfId="132">
      <totalsRowFormula>SUM(tblCategoriaDespesa_12[may])</totalsRowFormula>
    </tableColumn>
    <tableColumn id="7" xr3:uid="{00000000-0010-0000-0400-000007000000}" name="jun" totalsRowFunction="custom" headerRowDxfId="131" totalsRowDxfId="130">
      <totalsRowFormula>SUM(tblCategoriaDespesa_12[jun])</totalsRowFormula>
    </tableColumn>
    <tableColumn id="8" xr3:uid="{00000000-0010-0000-0400-000008000000}" name="jul" totalsRowFunction="custom" headerRowDxfId="129" totalsRowDxfId="128">
      <totalsRowFormula>SUM(tblCategoriaDespesa_12[jul])</totalsRowFormula>
    </tableColumn>
    <tableColumn id="9" xr3:uid="{00000000-0010-0000-0400-000009000000}" name="aug" totalsRowFunction="custom" headerRowDxfId="127" totalsRowDxfId="126">
      <totalsRowFormula>SUM(tblCategoriaDespesa_12[aug])</totalsRowFormula>
    </tableColumn>
    <tableColumn id="10" xr3:uid="{00000000-0010-0000-0400-00000A000000}" name="sep" totalsRowFunction="custom" headerRowDxfId="125" totalsRowDxfId="124">
      <totalsRowFormula>SUM(tblCategoriaDespesa_12[sep])</totalsRowFormula>
    </tableColumn>
    <tableColumn id="11" xr3:uid="{00000000-0010-0000-0400-00000B000000}" name="oct" totalsRowFunction="custom" headerRowDxfId="123" totalsRowDxfId="122">
      <totalsRowFormula>SUM(tblCategoriaDespesa_12[oct])</totalsRowFormula>
    </tableColumn>
    <tableColumn id="12" xr3:uid="{00000000-0010-0000-0400-00000C000000}" name="nov" totalsRowFunction="custom" headerRowDxfId="121" totalsRowDxfId="120">
      <totalsRowFormula>SUM(tblCategoriaDespesa_12[nov])</totalsRowFormula>
    </tableColumn>
    <tableColumn id="13" xr3:uid="{00000000-0010-0000-0400-00000D000000}" name="dec" totalsRowFunction="custom" headerRowDxfId="119" totalsRowDxfId="118">
      <totalsRowFormula>SUM(tblCategoriaDespesa_12[dec])</totalsRowFormula>
    </tableColumn>
    <tableColumn id="14" xr3:uid="{00000000-0010-0000-0400-00000E000000}" name="year" totalsRowFunction="custom" headerRowDxfId="117" dataDxfId="116" totalsRowDxfId="115">
      <calculatedColumnFormula>SUM(tblCategoriaDespesa_12[[#This Row],[jan]:[dec]])</calculatedColumnFormula>
      <totalsRowFormula>SUM(tblCategoriaDespesa_12[year])</totalsRowFormula>
    </tableColumn>
    <tableColumn id="15" xr3:uid="{00000000-0010-0000-0400-00000F000000}" name="avg" totalsRowFunction="custom" headerRowDxfId="114" dataDxfId="113" totalsRowDxfId="112">
      <calculatedColumnFormula>tblCategoriaDespesa_12[[#This Row],[year]]/12</calculatedColumnFormula>
      <totalsRowFormula>tblCategoriaDespesa_12[[#Totals],[year]]/12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Empty Expense table" altTextSummary="Expense table you can customize for your needs for monthly expenses that do not fit in the expense categories provided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tblCategoriaDespesa_15" displayName="tblCategoriaDespesa_15" ref="B74:P77" headerRowCount="0" totalsRowCount="1">
  <tableColumns count="15">
    <tableColumn id="1" xr3:uid="{00000000-0010-0000-0500-000001000000}" name=" " totalsRowFunction="custom" headerRowDxfId="111" totalsRowDxfId="110">
      <totalsRowFormula>UPPER("Total " &amp; B73)</totalsRowFormula>
    </tableColumn>
    <tableColumn id="2" xr3:uid="{00000000-0010-0000-0500-000002000000}" name="jan" totalsRowFunction="custom" headerRowDxfId="109" totalsRowDxfId="108">
      <totalsRowFormula>SUM(tblCategoriaDespesa_15[jan])</totalsRowFormula>
    </tableColumn>
    <tableColumn id="3" xr3:uid="{00000000-0010-0000-0500-000003000000}" name="feb" totalsRowFunction="custom" headerRowDxfId="107" totalsRowDxfId="106">
      <totalsRowFormula>SUM(tblCategoriaDespesa_15[feb])</totalsRowFormula>
    </tableColumn>
    <tableColumn id="4" xr3:uid="{00000000-0010-0000-0500-000004000000}" name="mar" totalsRowFunction="custom" headerRowDxfId="105" totalsRowDxfId="104">
      <totalsRowFormula>SUM(tblCategoriaDespesa_15[mar])</totalsRowFormula>
    </tableColumn>
    <tableColumn id="5" xr3:uid="{00000000-0010-0000-0500-000005000000}" name="apr" totalsRowFunction="custom" headerRowDxfId="103" totalsRowDxfId="102">
      <totalsRowFormula>SUM(tblCategoriaDespesa_15[apr])</totalsRowFormula>
    </tableColumn>
    <tableColumn id="6" xr3:uid="{00000000-0010-0000-0500-000006000000}" name="may" totalsRowFunction="custom" headerRowDxfId="101" totalsRowDxfId="100">
      <totalsRowFormula>SUM(tblCategoriaDespesa_15[may])</totalsRowFormula>
    </tableColumn>
    <tableColumn id="7" xr3:uid="{00000000-0010-0000-0500-000007000000}" name="jun" totalsRowFunction="custom" headerRowDxfId="99" totalsRowDxfId="98">
      <totalsRowFormula>SUM(tblCategoriaDespesa_15[jun])</totalsRowFormula>
    </tableColumn>
    <tableColumn id="8" xr3:uid="{00000000-0010-0000-0500-000008000000}" name="jul" totalsRowFunction="custom" headerRowDxfId="97" totalsRowDxfId="96">
      <totalsRowFormula>SUM(tblCategoriaDespesa_15[jul])</totalsRowFormula>
    </tableColumn>
    <tableColumn id="9" xr3:uid="{00000000-0010-0000-0500-000009000000}" name="aug" totalsRowFunction="custom" headerRowDxfId="95" totalsRowDxfId="94">
      <totalsRowFormula>SUM(tblCategoriaDespesa_15[aug])</totalsRowFormula>
    </tableColumn>
    <tableColumn id="10" xr3:uid="{00000000-0010-0000-0500-00000A000000}" name="sep" totalsRowFunction="custom" headerRowDxfId="93" totalsRowDxfId="92">
      <totalsRowFormula>SUM(tblCategoriaDespesa_15[sep])</totalsRowFormula>
    </tableColumn>
    <tableColumn id="11" xr3:uid="{00000000-0010-0000-0500-00000B000000}" name="oct" totalsRowFunction="custom" headerRowDxfId="91" totalsRowDxfId="90">
      <totalsRowFormula>SUM(tblCategoriaDespesa_15[oct])</totalsRowFormula>
    </tableColumn>
    <tableColumn id="12" xr3:uid="{00000000-0010-0000-0500-00000C000000}" name="nov" totalsRowFunction="custom" headerRowDxfId="89" totalsRowDxfId="88">
      <totalsRowFormula>SUM(tblCategoriaDespesa_15[nov])</totalsRowFormula>
    </tableColumn>
    <tableColumn id="13" xr3:uid="{00000000-0010-0000-0500-00000D000000}" name="dec" totalsRowFunction="custom" headerRowDxfId="87" totalsRowDxfId="86">
      <totalsRowFormula>SUM(tblCategoriaDespesa_15[dec])</totalsRowFormula>
    </tableColumn>
    <tableColumn id="14" xr3:uid="{00000000-0010-0000-0500-00000E000000}" name="year" totalsRowFunction="custom" headerRowDxfId="85" dataDxfId="84" totalsRowDxfId="83">
      <calculatedColumnFormula>SUM(tblCategoriaDespesa_15[[#This Row],[jan]:[dec]])</calculatedColumnFormula>
      <totalsRowFormula>SUM(tblCategoriaDespesa_15[year])</totalsRowFormula>
    </tableColumn>
    <tableColumn id="15" xr3:uid="{00000000-0010-0000-0500-00000F000000}" name="avg" totalsRowFunction="custom" headerRowDxfId="82" dataDxfId="81" totalsRowDxfId="80">
      <calculatedColumnFormula>tblCategoriaDespesa_15[[#This Row],[year]]/12</calculatedColumnFormula>
      <totalsRowFormula>tblCategoriaDespesa_15[[#Totals],[year]]/12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Empty Expense table" altTextSummary="Expense table you can customize for your needs for monthly expenses that do not fit in the expense categories provided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6000000}" name="tblFluxoCaixa" displayName="tblFluxoCaixa" ref="B5:P11" headerRowCount="0" totalsRowShown="0">
  <tableColumns count="15">
    <tableColumn id="1" xr3:uid="{00000000-0010-0000-0600-000001000000}" name="Income"/>
    <tableColumn id="2" xr3:uid="{00000000-0010-0000-0600-000002000000}" name="Jan" headerRowDxfId="79"/>
    <tableColumn id="3" xr3:uid="{00000000-0010-0000-0600-000003000000}" name="Feb" headerRowDxfId="78"/>
    <tableColumn id="4" xr3:uid="{00000000-0010-0000-0600-000004000000}" name="Mar" headerRowDxfId="77"/>
    <tableColumn id="5" xr3:uid="{00000000-0010-0000-0600-000005000000}" name="Apr" headerRowDxfId="76"/>
    <tableColumn id="6" xr3:uid="{00000000-0010-0000-0600-000006000000}" name="May" headerRowDxfId="75"/>
    <tableColumn id="7" xr3:uid="{00000000-0010-0000-0600-000007000000}" name="Jun" headerRowDxfId="74"/>
    <tableColumn id="8" xr3:uid="{00000000-0010-0000-0600-000008000000}" name="Jul" headerRowDxfId="73"/>
    <tableColumn id="9" xr3:uid="{00000000-0010-0000-0600-000009000000}" name="Aug" headerRowDxfId="72"/>
    <tableColumn id="10" xr3:uid="{00000000-0010-0000-0600-00000A000000}" name="Sep" headerRowDxfId="71"/>
    <tableColumn id="11" xr3:uid="{00000000-0010-0000-0600-00000B000000}" name="Oct" headerRowDxfId="70"/>
    <tableColumn id="12" xr3:uid="{00000000-0010-0000-0600-00000C000000}" name="Nov" headerRowDxfId="69"/>
    <tableColumn id="13" xr3:uid="{00000000-0010-0000-0600-00000D000000}" name="Dec" headerRowDxfId="68"/>
    <tableColumn id="14" xr3:uid="{00000000-0010-0000-0600-00000E000000}" name="Year" headerRowDxfId="67" dataDxfId="66"/>
    <tableColumn id="15" xr3:uid="{00000000-0010-0000-0600-00000F000000}" name="Avg" headerRowDxfId="65" dataDxfId="64"/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Cash Flow" altTextSummary="List of monthly Total Income, Total Expenses, and Net Income along with monthly Total Cash Flow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blCategoriaDespesa_04" displayName="tblCategoriaDespesa_04" ref="B41:P43" headerRowCount="0" totalsRowCount="1">
  <tableColumns count="15">
    <tableColumn id="1" xr3:uid="{00000000-0010-0000-0700-000001000000}" name="Transportation" totalsRowFunction="custom" headerRowDxfId="63" totalsRowDxfId="62">
      <totalsRowFormula>UPPER("Total " &amp; B40)</totalsRowFormula>
    </tableColumn>
    <tableColumn id="2" xr3:uid="{00000000-0010-0000-0700-000002000000}" name="jan" totalsRowFunction="custom" headerRowDxfId="61" totalsRowDxfId="60">
      <totalsRowFormula>SUM(tblCategoriaDespesa_04[jan])</totalsRowFormula>
    </tableColumn>
    <tableColumn id="3" xr3:uid="{00000000-0010-0000-0700-000003000000}" name="feb" totalsRowFunction="custom" headerRowDxfId="59" totalsRowDxfId="58">
      <totalsRowFormula>SUM(tblCategoriaDespesa_04[feb])</totalsRowFormula>
    </tableColumn>
    <tableColumn id="4" xr3:uid="{00000000-0010-0000-0700-000004000000}" name="mar" totalsRowFunction="custom" headerRowDxfId="57" totalsRowDxfId="56">
      <totalsRowFormula>SUM(tblCategoriaDespesa_04[mar])</totalsRowFormula>
    </tableColumn>
    <tableColumn id="5" xr3:uid="{00000000-0010-0000-0700-000005000000}" name="apr" totalsRowFunction="custom" headerRowDxfId="55" totalsRowDxfId="54">
      <totalsRowFormula>SUM(tblCategoriaDespesa_04[apr])</totalsRowFormula>
    </tableColumn>
    <tableColumn id="6" xr3:uid="{00000000-0010-0000-0700-000006000000}" name="may" totalsRowFunction="custom" headerRowDxfId="53" totalsRowDxfId="52">
      <totalsRowFormula>SUM(tblCategoriaDespesa_04[may])</totalsRowFormula>
    </tableColumn>
    <tableColumn id="7" xr3:uid="{00000000-0010-0000-0700-000007000000}" name="jun" totalsRowFunction="custom" headerRowDxfId="51" totalsRowDxfId="50">
      <totalsRowFormula>SUM(tblCategoriaDespesa_04[jun])</totalsRowFormula>
    </tableColumn>
    <tableColumn id="8" xr3:uid="{00000000-0010-0000-0700-000008000000}" name="jul" totalsRowFunction="custom" headerRowDxfId="49" totalsRowDxfId="48">
      <totalsRowFormula>SUM(tblCategoriaDespesa_04[jul])</totalsRowFormula>
    </tableColumn>
    <tableColumn id="9" xr3:uid="{00000000-0010-0000-0700-000009000000}" name="aug" totalsRowFunction="custom" headerRowDxfId="47" totalsRowDxfId="46">
      <totalsRowFormula>SUM(tblCategoriaDespesa_04[aug])</totalsRowFormula>
    </tableColumn>
    <tableColumn id="10" xr3:uid="{00000000-0010-0000-0700-00000A000000}" name="sep" totalsRowFunction="custom" headerRowDxfId="45" totalsRowDxfId="44">
      <totalsRowFormula>SUM(tblCategoriaDespesa_04[sep])</totalsRowFormula>
    </tableColumn>
    <tableColumn id="11" xr3:uid="{00000000-0010-0000-0700-00000B000000}" name="oct" totalsRowFunction="custom" headerRowDxfId="43" totalsRowDxfId="42">
      <totalsRowFormula>SUM(tblCategoriaDespesa_04[oct])</totalsRowFormula>
    </tableColumn>
    <tableColumn id="12" xr3:uid="{00000000-0010-0000-0700-00000C000000}" name="nov" totalsRowFunction="custom" headerRowDxfId="41" totalsRowDxfId="40">
      <totalsRowFormula>SUM(tblCategoriaDespesa_04[nov])</totalsRowFormula>
    </tableColumn>
    <tableColumn id="13" xr3:uid="{00000000-0010-0000-0700-00000D000000}" name="dec" totalsRowFunction="custom" headerRowDxfId="39" totalsRowDxfId="38">
      <totalsRowFormula>SUM(tblCategoriaDespesa_04[dec])</totalsRowFormula>
    </tableColumn>
    <tableColumn id="14" xr3:uid="{00000000-0010-0000-0700-00000E000000}" name="year" totalsRowFunction="custom" headerRowDxfId="37" dataDxfId="36" totalsRowDxfId="35">
      <calculatedColumnFormula>SUM(tblCategoriaDespesa_04[[#This Row],[jan]:[dec]])</calculatedColumnFormula>
      <totalsRowFormula>SUM(tblCategoriaDespesa_04[year])</totalsRowFormula>
    </tableColumn>
    <tableColumn id="15" xr3:uid="{00000000-0010-0000-0700-00000F000000}" name="avg" totalsRowFunction="custom" headerRowDxfId="34" dataDxfId="33" totalsRowDxfId="32">
      <calculatedColumnFormula>tblCategoriaDespesa_04[[#This Row],[year]]/12</calculatedColumnFormula>
      <totalsRowFormula>tblCategoriaDespesa_04[[#Totals],[year]]/12</totalsRow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Transportation expenses" altTextSummary="List of transportation expenses by month such as Vehicle Payments, Fuel, Repairs, etc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blCategoriaDespesa_03" displayName="tblCategoriaDespesa_03" ref="B36:P37" headerRowCount="0" totalsRowShown="0">
  <tableColumns count="15">
    <tableColumn id="1" xr3:uid="{00000000-0010-0000-0800-000001000000}" name="Children" headerRowDxfId="31" totalsRowDxfId="30"/>
    <tableColumn id="2" xr3:uid="{00000000-0010-0000-0800-000002000000}" name="jan" headerRowDxfId="29" totalsRowDxfId="28"/>
    <tableColumn id="3" xr3:uid="{00000000-0010-0000-0800-000003000000}" name="feb" headerRowDxfId="27" totalsRowDxfId="26"/>
    <tableColumn id="4" xr3:uid="{00000000-0010-0000-0800-000004000000}" name="mar" headerRowDxfId="25" totalsRowDxfId="24"/>
    <tableColumn id="5" xr3:uid="{00000000-0010-0000-0800-000005000000}" name="apr" headerRowDxfId="23" totalsRowDxfId="22"/>
    <tableColumn id="6" xr3:uid="{00000000-0010-0000-0800-000006000000}" name="may" headerRowDxfId="21" totalsRowDxfId="20"/>
    <tableColumn id="7" xr3:uid="{00000000-0010-0000-0800-000007000000}" name="jun" headerRowDxfId="19" totalsRowDxfId="18"/>
    <tableColumn id="8" xr3:uid="{00000000-0010-0000-0800-000008000000}" name="jul" headerRowDxfId="17" totalsRowDxfId="16"/>
    <tableColumn id="9" xr3:uid="{00000000-0010-0000-0800-000009000000}" name="aug" headerRowDxfId="15" totalsRowDxfId="14"/>
    <tableColumn id="10" xr3:uid="{00000000-0010-0000-0800-00000A000000}" name="sep" headerRowDxfId="13" totalsRowDxfId="12"/>
    <tableColumn id="11" xr3:uid="{00000000-0010-0000-0800-00000B000000}" name="oct" headerRowDxfId="11" totalsRowDxfId="10"/>
    <tableColumn id="12" xr3:uid="{00000000-0010-0000-0800-00000C000000}" name="nov" headerRowDxfId="9" totalsRowDxfId="8"/>
    <tableColumn id="13" xr3:uid="{00000000-0010-0000-0800-00000D000000}" name="dec" headerRowDxfId="7" totalsRowDxfId="6"/>
    <tableColumn id="14" xr3:uid="{00000000-0010-0000-0800-00000E000000}" name="year" headerRowDxfId="5" dataDxfId="4" totalsRowDxfId="3">
      <calculatedColumnFormula>SUM(tblCategoriaDespesa_03[[#This Row],[jan]:[dec]])</calculatedColumnFormula>
    </tableColumn>
    <tableColumn id="15" xr3:uid="{00000000-0010-0000-0800-00000F000000}" name="avg" headerRowDxfId="2" dataDxfId="1" totalsRowDxfId="0">
      <calculatedColumnFormula>tblCategoriaDespesa_03[[#This Row],[year]]/12</calculatedColumnFormula>
    </tableColumn>
  </tableColumns>
  <tableStyleInfo name="Budget Tables" showFirstColumn="1" showLastColumn="0" showRowStripes="1" showColumnStripes="0"/>
  <extLst>
    <ext xmlns:x14="http://schemas.microsoft.com/office/spreadsheetml/2009/9/main" uri="{504A1905-F514-4f6f-8877-14C23A59335A}">
      <x14:table altText="Children expenses" altTextSummary="List of your children's expenses by month such as School Supplies, Clothing, School Lunch, etc."/>
    </ext>
  </extLst>
</table>
</file>

<file path=xl/theme/theme1.xml><?xml version="1.0" encoding="utf-8"?>
<a:theme xmlns:a="http://schemas.openxmlformats.org/drawingml/2006/main" name="Office Theme">
  <a:themeElements>
    <a:clrScheme name="Generic Family Budget">
      <a:dk1>
        <a:sysClr val="windowText" lastClr="000000"/>
      </a:dk1>
      <a:lt1>
        <a:sysClr val="window" lastClr="FFFFFF"/>
      </a:lt1>
      <a:dk2>
        <a:srgbClr val="584232"/>
      </a:dk2>
      <a:lt2>
        <a:srgbClr val="E7EBEC"/>
      </a:lt2>
      <a:accent1>
        <a:srgbClr val="8A9FA1"/>
      </a:accent1>
      <a:accent2>
        <a:srgbClr val="FF3939"/>
      </a:accent2>
      <a:accent3>
        <a:srgbClr val="93A251"/>
      </a:accent3>
      <a:accent4>
        <a:srgbClr val="70607F"/>
      </a:accent4>
      <a:accent5>
        <a:srgbClr val="D9BD32"/>
      </a:accent5>
      <a:accent6>
        <a:srgbClr val="5679A2"/>
      </a:accent6>
      <a:hlink>
        <a:srgbClr val="5679A2"/>
      </a:hlink>
      <a:folHlink>
        <a:srgbClr val="70607F"/>
      </a:folHlink>
    </a:clrScheme>
    <a:fontScheme name="Generic Family Budget">
      <a:majorFont>
        <a:latin typeface="Euphem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/>
        </a:solidFill>
        <a:ln>
          <a:noFill/>
        </a:ln>
      </a:spPr>
      <a:bodyPr vertOverflow="clip" horzOverflow="clip" rtlCol="0" anchor="ctr"/>
      <a:lstStyle>
        <a:defPPr algn="l">
          <a:defRPr sz="9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rofile/Wilson-Fusco/publication/351109230_Migracao_trabalho_e_genero_textos_selecionados/links/6087f05b2fb9097c0c0fdc3a/Migracao-trabalho-e-genero-textos-selecionados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jornalspnorte.com.br/preco-alto-do-aluguel-deixa-milhoes-de-brasileiros-sem-moradia/" TargetMode="External"/><Relationship Id="rId7" Type="http://schemas.openxmlformats.org/officeDocument/2006/relationships/hyperlink" Target="https://www.cedeplar.ufmg.br/publicacoes/colecao-populacao-economia/1285-economia-da-ciencia-tecnologia-e-inovacao-fundamentos-teoricos-e-a-economia-global-colecao-populacao-e-economia-da-ciencia-tecnologia-teoricos-fundamentos-economia-da-ciencia-tecnologia-e-inovacao-fundamentos-teoricos-e-a-economia-global" TargetMode="External"/><Relationship Id="rId12" Type="http://schemas.openxmlformats.org/officeDocument/2006/relationships/hyperlink" Target="https://www.youtube.com/watch?v=KS8LV59hc38" TargetMode="External"/><Relationship Id="rId2" Type="http://schemas.openxmlformats.org/officeDocument/2006/relationships/hyperlink" Target="https://g1.globo.com/mg/zona-da-mata/noticia/2021/08/15/quase-metade-dos-municipios-da-regiao-de-barbacena-nao-contam-com-esgoto-tratado-mostra-levantamento-da-fundacao-joao-pinheiro.ghtml" TargetMode="External"/><Relationship Id="rId1" Type="http://schemas.openxmlformats.org/officeDocument/2006/relationships/hyperlink" Target="https://g1.globo.com/mg/zona-da-mata/noticia/2021/07/30/dados-referentes-a-aspectos-sociais-economicos-e-de-saneamento-sao-analisados-em-municipios-da-regiao-geografica-de-juiz-de-fora.ghtml" TargetMode="External"/><Relationship Id="rId6" Type="http://schemas.openxmlformats.org/officeDocument/2006/relationships/hyperlink" Target="http://www4.unifsa.com.br/revista/index.php/fsa/article/view/2245" TargetMode="External"/><Relationship Id="rId11" Type="http://schemas.openxmlformats.org/officeDocument/2006/relationships/hyperlink" Target="https://www.youtube.com/watch?v=4yStvFScRbQ" TargetMode="External"/><Relationship Id="rId5" Type="http://schemas.openxmlformats.org/officeDocument/2006/relationships/hyperlink" Target="https://brazil.unfpa.org/sites/default/files/pub-pdf/e-book_populacao_e_desenvolvimento_em_debate_unfpa_e_abep_2021.pdf" TargetMode="External"/><Relationship Id="rId10" Type="http://schemas.openxmlformats.org/officeDocument/2006/relationships/hyperlink" Target="http://www.uel.br/revistas/uel/index.php/ecoreg/article/view/39665" TargetMode="External"/><Relationship Id="rId4" Type="http://schemas.openxmlformats.org/officeDocument/2006/relationships/hyperlink" Target="https://www.otempo.com.br/cidades/com-cerca-de-500-mil-familias-sem-casa-mg-e-o-2-com-maior-deficit-no-brasil-1.2516703" TargetMode="External"/><Relationship Id="rId9" Type="http://schemas.openxmlformats.org/officeDocument/2006/relationships/hyperlink" Target="https://periodicos.uff.br/pca/article/view/48955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2" Type="http://schemas.openxmlformats.org/officeDocument/2006/relationships/hyperlink" Target="https://www.youtube.com/watch?v=KS8LV59hc38" TargetMode="External"/><Relationship Id="rId1" Type="http://schemas.openxmlformats.org/officeDocument/2006/relationships/hyperlink" Target="https://www.youtube.com/watch?v=4yStvFScRbQ" TargetMode="Externa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image" Target="../media/image2.png"/><Relationship Id="rId10" Type="http://schemas.openxmlformats.org/officeDocument/2006/relationships/table" Target="../tables/table5.xml"/><Relationship Id="rId4" Type="http://schemas.openxmlformats.org/officeDocument/2006/relationships/drawing" Target="../drawings/drawing2.xml"/><Relationship Id="rId9" Type="http://schemas.openxmlformats.org/officeDocument/2006/relationships/table" Target="../tables/table4.xml"/><Relationship Id="rId1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mmentpicker.com/youtube-channel-id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4"/>
  <sheetViews>
    <sheetView tabSelected="1" zoomScale="77" zoomScaleNormal="77" workbookViewId="0">
      <selection activeCell="D4" sqref="D4:F6"/>
    </sheetView>
  </sheetViews>
  <sheetFormatPr defaultRowHeight="14.25" x14ac:dyDescent="0.3"/>
  <cols>
    <col min="1" max="4" width="9.140625" style="5"/>
    <col min="5" max="5" width="11" style="5" bestFit="1" customWidth="1"/>
    <col min="6" max="6" width="9.140625" style="5"/>
    <col min="7" max="7" width="11.28515625" style="5" bestFit="1" customWidth="1"/>
    <col min="8" max="8" width="10.5703125" style="5" bestFit="1" customWidth="1"/>
    <col min="9" max="9" width="4.7109375" style="5" customWidth="1"/>
    <col min="10" max="10" width="13.5703125" style="5" bestFit="1" customWidth="1"/>
    <col min="11" max="11" width="12.7109375" style="5" bestFit="1" customWidth="1"/>
    <col min="12" max="12" width="10.85546875" style="5" customWidth="1"/>
    <col min="13" max="13" width="9.140625" style="5"/>
    <col min="14" max="14" width="8" style="5" customWidth="1"/>
    <col min="15" max="15" width="11.140625" style="5" customWidth="1"/>
    <col min="16" max="16" width="12" style="5" customWidth="1"/>
    <col min="17" max="17" width="11.42578125" style="5" customWidth="1"/>
    <col min="18" max="18" width="13.140625" style="5" customWidth="1"/>
    <col min="19" max="19" width="9.5703125" style="5" bestFit="1" customWidth="1"/>
    <col min="20" max="16384" width="9.140625" style="5"/>
  </cols>
  <sheetData>
    <row r="1" spans="1:27" ht="37.5" customHeight="1" x14ac:dyDescent="0.3">
      <c r="A1" s="25"/>
      <c r="B1" s="25"/>
      <c r="C1" s="25"/>
      <c r="D1" s="89" t="s">
        <v>89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38"/>
      <c r="R1" s="38"/>
      <c r="S1" s="38"/>
      <c r="T1" s="38"/>
    </row>
    <row r="2" spans="1:27" x14ac:dyDescent="0.3">
      <c r="Q2" s="38" t="s">
        <v>79</v>
      </c>
      <c r="R2" s="39">
        <f>D4</f>
        <v>782538</v>
      </c>
      <c r="S2" s="39">
        <f>R2/$R$2</f>
        <v>1</v>
      </c>
      <c r="T2" s="38"/>
    </row>
    <row r="3" spans="1:27" ht="29.25" customHeight="1" x14ac:dyDescent="0.3">
      <c r="D3" s="97" t="s">
        <v>90</v>
      </c>
      <c r="E3" s="97"/>
      <c r="F3" s="98"/>
      <c r="G3" s="90" t="s">
        <v>81</v>
      </c>
      <c r="H3" s="90"/>
      <c r="I3" s="90"/>
      <c r="J3" s="91"/>
      <c r="K3" s="102" t="s">
        <v>82</v>
      </c>
      <c r="L3" s="103"/>
      <c r="M3" s="104"/>
      <c r="N3" s="99" t="s">
        <v>32</v>
      </c>
      <c r="O3" s="100"/>
      <c r="P3" s="101"/>
      <c r="Q3" s="38" t="s">
        <v>78</v>
      </c>
      <c r="R3" s="39"/>
      <c r="S3" s="40">
        <f>R3/$R$2</f>
        <v>0</v>
      </c>
      <c r="T3" s="38"/>
    </row>
    <row r="4" spans="1:27" ht="14.25" customHeight="1" x14ac:dyDescent="0.3">
      <c r="D4" s="87">
        <v>782538</v>
      </c>
      <c r="E4" s="87"/>
      <c r="F4" s="88"/>
      <c r="G4" s="95">
        <f>Dados!O5</f>
        <v>159932.4</v>
      </c>
      <c r="H4" s="95"/>
      <c r="I4" s="95"/>
      <c r="J4" s="96"/>
      <c r="K4" s="92">
        <f>Dados!P5</f>
        <v>39983.1</v>
      </c>
      <c r="L4" s="93"/>
      <c r="M4" s="94"/>
      <c r="N4" s="92">
        <v>648758.34</v>
      </c>
      <c r="O4" s="93"/>
      <c r="P4" s="94"/>
      <c r="Q4" s="38" t="s">
        <v>81</v>
      </c>
      <c r="R4" s="39">
        <f>G4</f>
        <v>159932.4</v>
      </c>
      <c r="S4" s="40">
        <f>R4/$R$2</f>
        <v>0.20437652867975739</v>
      </c>
      <c r="T4" s="38"/>
    </row>
    <row r="5" spans="1:27" ht="14.25" customHeight="1" x14ac:dyDescent="0.3">
      <c r="D5" s="87"/>
      <c r="E5" s="87"/>
      <c r="F5" s="88"/>
      <c r="G5" s="95"/>
      <c r="H5" s="95"/>
      <c r="I5" s="95"/>
      <c r="J5" s="96"/>
      <c r="K5" s="92"/>
      <c r="L5" s="93"/>
      <c r="M5" s="94"/>
      <c r="N5" s="92"/>
      <c r="O5" s="93"/>
      <c r="P5" s="94"/>
      <c r="Q5" s="38" t="s">
        <v>80</v>
      </c>
      <c r="R5" s="38"/>
      <c r="S5" s="38"/>
      <c r="T5" s="38"/>
    </row>
    <row r="6" spans="1:27" ht="14.25" customHeight="1" x14ac:dyDescent="0.3">
      <c r="D6" s="87"/>
      <c r="E6" s="87"/>
      <c r="F6" s="88"/>
      <c r="G6" s="95"/>
      <c r="H6" s="95"/>
      <c r="I6" s="95"/>
      <c r="J6" s="96"/>
      <c r="K6" s="92"/>
      <c r="L6" s="93"/>
      <c r="M6" s="94"/>
      <c r="N6" s="92"/>
      <c r="O6" s="93"/>
      <c r="P6" s="94"/>
      <c r="Q6" s="38"/>
      <c r="R6" s="38"/>
      <c r="S6" s="38"/>
      <c r="T6" s="38"/>
    </row>
    <row r="7" spans="1:27" x14ac:dyDescent="0.3">
      <c r="J7" s="51"/>
      <c r="K7" s="51"/>
      <c r="L7" s="51"/>
      <c r="M7" s="51"/>
      <c r="N7" s="51"/>
      <c r="O7" s="51"/>
      <c r="P7" s="52"/>
      <c r="Q7" s="38"/>
      <c r="R7" s="38"/>
      <c r="S7" s="38"/>
      <c r="T7" s="38"/>
    </row>
    <row r="8" spans="1:27" x14ac:dyDescent="0.3">
      <c r="J8" s="69"/>
      <c r="K8" s="69"/>
      <c r="L8" s="69"/>
      <c r="M8" s="69"/>
      <c r="N8" s="69"/>
      <c r="O8" s="69"/>
      <c r="P8" s="70"/>
      <c r="Q8" s="38"/>
      <c r="R8" s="38"/>
      <c r="S8" s="38"/>
      <c r="T8" s="38"/>
    </row>
    <row r="9" spans="1:27" ht="42.75" customHeight="1" x14ac:dyDescent="0.3">
      <c r="J9" s="69"/>
      <c r="K9" s="69"/>
      <c r="L9" s="69"/>
      <c r="M9" s="69"/>
      <c r="N9" s="69"/>
      <c r="O9" s="69"/>
      <c r="P9" s="70"/>
      <c r="Q9" s="38"/>
      <c r="R9" s="38"/>
      <c r="S9" s="38"/>
      <c r="T9" s="38"/>
    </row>
    <row r="10" spans="1:27" ht="14.25" customHeight="1" x14ac:dyDescent="0.3">
      <c r="J10" s="68"/>
      <c r="K10" s="66"/>
      <c r="L10" s="66"/>
      <c r="M10" s="65"/>
      <c r="N10" s="65"/>
      <c r="O10" s="66"/>
      <c r="P10" s="67"/>
      <c r="AA10" s="59"/>
    </row>
    <row r="11" spans="1:27" ht="14.25" customHeight="1" x14ac:dyDescent="0.3">
      <c r="J11" s="68"/>
      <c r="K11" s="65"/>
      <c r="L11" s="65"/>
      <c r="M11" s="65"/>
      <c r="N11" s="65"/>
      <c r="O11" s="65"/>
      <c r="P11" s="67"/>
      <c r="AA11" s="59"/>
    </row>
    <row r="12" spans="1:27" ht="14.25" customHeight="1" x14ac:dyDescent="0.3">
      <c r="J12" s="68"/>
      <c r="K12" s="66"/>
      <c r="L12" s="66"/>
      <c r="M12" s="65"/>
      <c r="N12" s="66"/>
      <c r="O12" s="65"/>
      <c r="P12" s="67"/>
      <c r="AA12" s="59"/>
    </row>
    <row r="13" spans="1:27" ht="14.25" customHeight="1" x14ac:dyDescent="0.3">
      <c r="J13" s="68"/>
      <c r="K13" s="65"/>
      <c r="L13" s="65"/>
      <c r="M13" s="65"/>
      <c r="N13" s="65"/>
      <c r="O13" s="65"/>
      <c r="P13" s="67"/>
    </row>
    <row r="14" spans="1:27" ht="14.25" customHeight="1" x14ac:dyDescent="0.3">
      <c r="J14" s="68"/>
      <c r="K14" s="66"/>
      <c r="L14" s="66"/>
      <c r="M14" s="65"/>
      <c r="N14" s="66"/>
      <c r="O14" s="66"/>
      <c r="P14" s="67"/>
      <c r="AA14" s="59"/>
    </row>
    <row r="15" spans="1:27" ht="14.25" customHeight="1" x14ac:dyDescent="0.3">
      <c r="J15" s="68"/>
      <c r="K15" s="65"/>
      <c r="L15" s="65"/>
      <c r="M15" s="65"/>
      <c r="N15" s="65"/>
      <c r="O15" s="65"/>
      <c r="P15" s="67"/>
    </row>
    <row r="16" spans="1:27" ht="14.25" customHeight="1" x14ac:dyDescent="0.3">
      <c r="J16" s="68"/>
      <c r="K16" s="66"/>
      <c r="L16" s="65"/>
      <c r="M16" s="66"/>
      <c r="N16" s="65"/>
      <c r="O16" s="66"/>
      <c r="P16" s="67"/>
      <c r="Q16" s="45"/>
      <c r="R16" s="45"/>
      <c r="AA16" s="59"/>
    </row>
    <row r="17" spans="6:21" ht="14.25" customHeight="1" x14ac:dyDescent="0.3">
      <c r="J17" s="68"/>
      <c r="K17" s="65"/>
      <c r="L17" s="65"/>
      <c r="M17" s="65"/>
      <c r="N17" s="65"/>
      <c r="O17" s="65"/>
      <c r="P17" s="67"/>
      <c r="Q17" s="60"/>
      <c r="R17" s="45"/>
    </row>
    <row r="18" spans="6:21" ht="14.25" customHeight="1" x14ac:dyDescent="0.3">
      <c r="J18" s="68"/>
      <c r="K18" s="66"/>
      <c r="L18" s="65"/>
      <c r="M18" s="65"/>
      <c r="N18" s="65"/>
      <c r="O18" s="65"/>
      <c r="P18" s="67"/>
    </row>
    <row r="19" spans="6:21" ht="14.25" customHeight="1" x14ac:dyDescent="0.3">
      <c r="J19" s="68"/>
      <c r="K19" s="65"/>
      <c r="L19" s="65"/>
      <c r="M19" s="65"/>
      <c r="N19" s="65"/>
      <c r="O19" s="65"/>
      <c r="P19" s="67"/>
    </row>
    <row r="20" spans="6:21" ht="14.25" customHeight="1" x14ac:dyDescent="0.3">
      <c r="J20" s="68"/>
      <c r="K20" s="66"/>
      <c r="L20" s="65"/>
      <c r="M20" s="65"/>
      <c r="N20" s="65"/>
      <c r="O20" s="66"/>
      <c r="P20" s="67"/>
    </row>
    <row r="21" spans="6:21" ht="14.25" customHeight="1" x14ac:dyDescent="0.3">
      <c r="J21" s="68"/>
      <c r="K21" s="65"/>
      <c r="L21" s="65"/>
      <c r="M21" s="65"/>
      <c r="N21" s="65"/>
      <c r="O21" s="65"/>
      <c r="P21" s="67"/>
    </row>
    <row r="22" spans="6:21" x14ac:dyDescent="0.3">
      <c r="J22" s="82"/>
      <c r="K22" s="82"/>
      <c r="L22" s="82"/>
      <c r="M22" s="82"/>
      <c r="N22" s="82"/>
      <c r="O22" s="82"/>
      <c r="P22" s="82"/>
    </row>
    <row r="23" spans="6:21" x14ac:dyDescent="0.3">
      <c r="J23" s="82"/>
      <c r="K23" s="82"/>
      <c r="L23" s="82"/>
      <c r="M23" s="82"/>
      <c r="N23" s="82"/>
      <c r="O23" s="82"/>
      <c r="P23" s="82"/>
    </row>
    <row r="24" spans="6:21" ht="15" thickBot="1" x14ac:dyDescent="0.35">
      <c r="J24" s="72" t="s">
        <v>92</v>
      </c>
      <c r="K24" s="72"/>
      <c r="L24" s="72"/>
      <c r="M24" s="72"/>
      <c r="N24" s="72"/>
      <c r="O24" s="72" t="s">
        <v>93</v>
      </c>
      <c r="P24" s="71"/>
    </row>
    <row r="25" spans="6:21" x14ac:dyDescent="0.3">
      <c r="F25" s="35" t="s">
        <v>88</v>
      </c>
      <c r="G25" s="36">
        <f>Dados!P15</f>
        <v>39983.1</v>
      </c>
      <c r="J25" s="5" t="s">
        <v>99</v>
      </c>
      <c r="O25" s="73">
        <f>Dados!C46</f>
        <v>118</v>
      </c>
      <c r="R25" s="48"/>
    </row>
    <row r="26" spans="6:21" x14ac:dyDescent="0.3">
      <c r="F26" s="35" t="s">
        <v>41</v>
      </c>
      <c r="G26" s="36">
        <f>Dados!P16</f>
        <v>29233.786666666663</v>
      </c>
      <c r="J26" s="2" t="s">
        <v>100</v>
      </c>
      <c r="O26" s="73">
        <f>Dados!C47</f>
        <v>93</v>
      </c>
    </row>
    <row r="27" spans="6:21" x14ac:dyDescent="0.3">
      <c r="J27" s="5" t="s">
        <v>94</v>
      </c>
      <c r="O27" s="73">
        <f>Dados!C48</f>
        <v>155</v>
      </c>
    </row>
    <row r="28" spans="6:21" x14ac:dyDescent="0.3">
      <c r="J28" s="5" t="s">
        <v>91</v>
      </c>
      <c r="O28" s="73">
        <f>Dados!C49</f>
        <v>108</v>
      </c>
      <c r="U28" s="57"/>
    </row>
    <row r="29" spans="6:21" x14ac:dyDescent="0.3">
      <c r="J29" s="5" t="s">
        <v>101</v>
      </c>
      <c r="O29" s="73">
        <f>Dados!C50</f>
        <v>150</v>
      </c>
    </row>
    <row r="30" spans="6:21" x14ac:dyDescent="0.3">
      <c r="J30" s="5" t="s">
        <v>97</v>
      </c>
      <c r="O30" s="73">
        <f>Dados!C51</f>
        <v>100</v>
      </c>
    </row>
    <row r="31" spans="6:21" x14ac:dyDescent="0.3">
      <c r="J31" s="5" t="s">
        <v>98</v>
      </c>
      <c r="O31" s="73">
        <f>Dados!C52</f>
        <v>111</v>
      </c>
    </row>
    <row r="32" spans="6:21" x14ac:dyDescent="0.3">
      <c r="L32" s="31"/>
    </row>
    <row r="36" spans="1:16" x14ac:dyDescent="0.3">
      <c r="F36" s="58" t="s">
        <v>77</v>
      </c>
    </row>
    <row r="43" spans="1:16" ht="18" hidden="1" x14ac:dyDescent="0.3">
      <c r="A43" s="47" t="s">
        <v>60</v>
      </c>
      <c r="B43" s="86" t="s">
        <v>53</v>
      </c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</row>
    <row r="44" spans="1:16" ht="41.25" hidden="1" customHeight="1" x14ac:dyDescent="0.3">
      <c r="A44" s="47" t="s">
        <v>60</v>
      </c>
      <c r="B44" s="85" t="s">
        <v>54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</row>
    <row r="45" spans="1:16" ht="18" hidden="1" x14ac:dyDescent="0.3">
      <c r="A45" s="47" t="s">
        <v>60</v>
      </c>
      <c r="B45" s="86" t="s">
        <v>55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</row>
    <row r="46" spans="1:16" ht="18" hidden="1" x14ac:dyDescent="0.3">
      <c r="A46" s="47" t="s">
        <v>60</v>
      </c>
      <c r="B46" s="86" t="s">
        <v>58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</row>
    <row r="47" spans="1:16" ht="39.75" hidden="1" customHeight="1" x14ac:dyDescent="0.3">
      <c r="A47" s="47" t="s">
        <v>60</v>
      </c>
      <c r="B47" s="85" t="s">
        <v>59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</row>
    <row r="48" spans="1:16" ht="18" hidden="1" x14ac:dyDescent="0.3">
      <c r="A48" s="47" t="s">
        <v>60</v>
      </c>
      <c r="B48" s="86" t="s">
        <v>56</v>
      </c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</row>
    <row r="49" spans="1:19" ht="18" hidden="1" x14ac:dyDescent="0.3">
      <c r="A49" s="47" t="s">
        <v>60</v>
      </c>
      <c r="B49" s="86" t="s">
        <v>57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</row>
    <row r="50" spans="1:19" ht="18" hidden="1" x14ac:dyDescent="0.3">
      <c r="A50" s="47" t="s">
        <v>60</v>
      </c>
      <c r="B50" s="46" t="s">
        <v>61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S50" s="44"/>
    </row>
    <row r="51" spans="1:19" ht="18" hidden="1" x14ac:dyDescent="0.3">
      <c r="A51" s="47" t="s">
        <v>60</v>
      </c>
      <c r="B51" s="46" t="s">
        <v>62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</row>
    <row r="52" spans="1:19" ht="18" hidden="1" x14ac:dyDescent="0.3">
      <c r="A52" s="47" t="s">
        <v>60</v>
      </c>
      <c r="B52" s="46" t="s">
        <v>63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9" x14ac:dyDescent="0.3">
      <c r="A53" s="4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9" x14ac:dyDescent="0.3"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 spans="1:19" ht="16.5" customHeight="1" x14ac:dyDescent="0.3"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19" x14ac:dyDescent="0.3">
      <c r="A56" s="43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19" x14ac:dyDescent="0.3">
      <c r="A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 spans="1:19" x14ac:dyDescent="0.3">
      <c r="A58" s="43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</row>
    <row r="59" spans="1:19" x14ac:dyDescent="0.3">
      <c r="A59" s="43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</row>
    <row r="60" spans="1:19" x14ac:dyDescent="0.3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9" x14ac:dyDescent="0.3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 spans="1:19" x14ac:dyDescent="0.3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</row>
    <row r="63" spans="1:19" x14ac:dyDescent="0.3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</row>
    <row r="64" spans="1:19" x14ac:dyDescent="0.3">
      <c r="K64"/>
    </row>
  </sheetData>
  <mergeCells count="16">
    <mergeCell ref="D4:F6"/>
    <mergeCell ref="D1:P1"/>
    <mergeCell ref="G3:J3"/>
    <mergeCell ref="N4:P6"/>
    <mergeCell ref="K4:M6"/>
    <mergeCell ref="G4:J6"/>
    <mergeCell ref="D3:F3"/>
    <mergeCell ref="N3:P3"/>
    <mergeCell ref="K3:M3"/>
    <mergeCell ref="B47:P47"/>
    <mergeCell ref="B48:P48"/>
    <mergeCell ref="B49:P49"/>
    <mergeCell ref="B43:P43"/>
    <mergeCell ref="B44:P44"/>
    <mergeCell ref="B45:P45"/>
    <mergeCell ref="B46:P46"/>
  </mergeCells>
  <dataValidations count="1">
    <dataValidation type="list" allowBlank="1" sqref="J27:J31" xr:uid="{00000000-0002-0000-0000-000000000000}">
      <formula1>lista_de_categorias_de_despesas_11</formula1>
    </dataValidation>
  </dataValidations>
  <hyperlinks>
    <hyperlink ref="B43" r:id="rId1" xr:uid="{00000000-0004-0000-0000-000000000000}"/>
    <hyperlink ref="B44:P44" r:id="rId2" display="Direi: Quase metade dos municípios da região de Barbacena não contam com esgoto tratado, mostra levantamento da Fundação João Pinheiro" xr:uid="{00000000-0004-0000-0000-000001000000}"/>
    <hyperlink ref="B45:P45" r:id="rId3" location=":~:text=Segundo%20dados%20divulgados%20pela%20Ag%C3%AAncia,at%C3%A9%20o%20final%20deste%20ano." display="Direi: Preço alto do aluguel deixa milhões de brasileiros sem moradia" xr:uid="{00000000-0004-0000-0000-000002000000}"/>
    <hyperlink ref="B46:P46" r:id="rId4" display="Frederico: Com cerca de 500 mil famílias sem-casa, MG é o 2° com maior déficit no Brasil" xr:uid="{00000000-0004-0000-0000-000003000000}"/>
    <hyperlink ref="B47:P47" r:id="rId5" display="Denise e Olinto: Investigação dos óbitos no Brasil no contexto da pandemia de Covid-19: um estudo exploratório" xr:uid="{00000000-0004-0000-0000-000004000000}"/>
    <hyperlink ref="B48:P48" r:id="rId6" display="Daniele: A Participação do BNDES no Mercado de Crédito Brasileiro" xr:uid="{00000000-0004-0000-0000-000005000000}"/>
    <hyperlink ref="B49:P49" r:id="rId7" display="Ester: Transferência internacional de tecnologia" xr:uid="{00000000-0004-0000-0000-000006000000}"/>
    <hyperlink ref="B50" r:id="rId8" location="page=207" display="DIVISÃO SEXUAL DO TRABALHO E AUTONOMIA ECONÔMICA DAS MULHERES NO ESTADO DE MINAS GERAIS E NO BRASIL" xr:uid="{00000000-0004-0000-0000-000007000000}"/>
    <hyperlink ref="B51" r:id="rId9" xr:uid="{00000000-0004-0000-0000-000008000000}"/>
    <hyperlink ref="B52" r:id="rId10" xr:uid="{00000000-0004-0000-0000-000009000000}"/>
    <hyperlink ref="J28" r:id="rId11" tooltip="Índice Déficit do Saneamento Básico em Minas Gerais" display="https://www.youtube.com/watch?v=4yStvFScRbQ" xr:uid="{00000000-0004-0000-0000-00000A000000}"/>
    <hyperlink ref="J27" r:id="rId12" tooltip="Índice Mineiro de Responsabilidade Social 2018 - Porte Populacional" display="https://www.youtube.com/watch?v=KS8LV59hc38" xr:uid="{00000000-0004-0000-0000-00000B000000}"/>
  </hyperlinks>
  <pageMargins left="0.4" right="0.14000000000000001" top="0.33" bottom="0.12" header="0.31496062000000002" footer="0.09"/>
  <pageSetup paperSize="9" scale="83" orientation="landscape" horizontalDpi="4294967293" verticalDpi="4294967293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/>
    <pageSetUpPr autoPageBreaks="0" fitToPage="1"/>
  </sheetPr>
  <dimension ref="A1:P77"/>
  <sheetViews>
    <sheetView showGridLines="0" zoomScale="82" zoomScaleNormal="82" workbookViewId="0">
      <pane ySplit="3" topLeftCell="A4" activePane="bottomLeft" state="frozen"/>
      <selection activeCell="G4" sqref="G4:J6"/>
      <selection pane="bottomLeft" activeCell="C70" sqref="C70:N70"/>
    </sheetView>
  </sheetViews>
  <sheetFormatPr defaultRowHeight="16.5" customHeight="1" x14ac:dyDescent="0.3"/>
  <cols>
    <col min="1" max="1" width="1.85546875" customWidth="1"/>
    <col min="2" max="2" width="28" customWidth="1"/>
    <col min="3" max="3" width="13.7109375" bestFit="1" customWidth="1"/>
    <col min="4" max="6" width="9.85546875" bestFit="1" customWidth="1"/>
    <col min="7" max="7" width="10.5703125" bestFit="1" customWidth="1"/>
    <col min="8" max="8" width="9.85546875" bestFit="1" customWidth="1"/>
    <col min="9" max="9" width="10.5703125" bestFit="1" customWidth="1"/>
    <col min="10" max="10" width="9.85546875" bestFit="1" customWidth="1"/>
    <col min="11" max="11" width="10.28515625" bestFit="1" customWidth="1"/>
    <col min="12" max="14" width="9.85546875" bestFit="1" customWidth="1"/>
    <col min="15" max="15" width="11" style="17" bestFit="1" customWidth="1"/>
    <col min="16" max="16" width="10.5703125" style="17" bestFit="1" customWidth="1"/>
    <col min="17" max="17" width="0.7109375" customWidth="1"/>
  </cols>
  <sheetData>
    <row r="1" spans="1:16" ht="34.5" customHeight="1" x14ac:dyDescent="0.3">
      <c r="A1" s="4"/>
      <c r="B1" s="4"/>
      <c r="C1" s="7" t="s">
        <v>1</v>
      </c>
      <c r="D1" s="7" t="s">
        <v>6</v>
      </c>
      <c r="E1" s="7" t="s">
        <v>2</v>
      </c>
      <c r="F1" s="7" t="s">
        <v>7</v>
      </c>
      <c r="G1" s="7" t="s">
        <v>8</v>
      </c>
      <c r="H1" s="7" t="s">
        <v>3</v>
      </c>
      <c r="I1" s="7" t="s">
        <v>4</v>
      </c>
      <c r="J1" s="7" t="s">
        <v>9</v>
      </c>
      <c r="K1" s="7" t="s">
        <v>10</v>
      </c>
      <c r="L1" s="7" t="s">
        <v>11</v>
      </c>
      <c r="M1" s="7" t="s">
        <v>5</v>
      </c>
      <c r="N1" s="7" t="s">
        <v>12</v>
      </c>
      <c r="O1" s="6" t="s">
        <v>13</v>
      </c>
      <c r="P1" s="6" t="s">
        <v>14</v>
      </c>
    </row>
    <row r="2" spans="1:16" ht="16.5" customHeight="1" x14ac:dyDescent="0.3">
      <c r="O2" s="16"/>
      <c r="P2" s="16"/>
    </row>
    <row r="5" spans="1:16" ht="16.5" customHeight="1" x14ac:dyDescent="0.3">
      <c r="B5" s="14" t="s">
        <v>87</v>
      </c>
      <c r="C5" s="15">
        <f>C15</f>
        <v>27269.009999999991</v>
      </c>
      <c r="D5" s="15">
        <f t="shared" ref="D5:N5" si="0">D15</f>
        <v>34293.839999999989</v>
      </c>
      <c r="E5" s="15">
        <f t="shared" si="0"/>
        <v>45803.040000000001</v>
      </c>
      <c r="F5" s="15">
        <f t="shared" si="0"/>
        <v>52566.51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8">
        <f>SUM(tblFluxoCaixa[[#This Row],[Jan]:[Dec]])</f>
        <v>159932.4</v>
      </c>
      <c r="P5" s="18">
        <f>tblFluxoCaixa[[#This Row],[Year]]/4</f>
        <v>39983.1</v>
      </c>
    </row>
    <row r="6" spans="1:16" ht="16.5" customHeight="1" x14ac:dyDescent="0.3">
      <c r="B6" s="14" t="s">
        <v>23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8"/>
      <c r="P6" s="18">
        <f>O6/12</f>
        <v>0</v>
      </c>
    </row>
    <row r="7" spans="1:16" ht="16.5" customHeight="1" x14ac:dyDescent="0.3">
      <c r="B7" s="24" t="s">
        <v>24</v>
      </c>
      <c r="C7" s="15">
        <f>C5-C6</f>
        <v>27269.009999999991</v>
      </c>
      <c r="D7" s="15">
        <f t="shared" ref="D7:N7" si="1">D5-D6</f>
        <v>34293.839999999989</v>
      </c>
      <c r="E7" s="15">
        <f t="shared" si="1"/>
        <v>45803.040000000001</v>
      </c>
      <c r="F7" s="15">
        <f t="shared" si="1"/>
        <v>52566.51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8"/>
      <c r="P7" s="18">
        <f>O7/12</f>
        <v>0</v>
      </c>
    </row>
    <row r="8" spans="1:16" s="2" customFormat="1" ht="16.5" customHeight="1" x14ac:dyDescent="0.3">
      <c r="B8" s="24" t="s">
        <v>35</v>
      </c>
      <c r="C8" s="15">
        <f t="shared" ref="C8:N8" si="2">C28+C33+C37</f>
        <v>21</v>
      </c>
      <c r="D8" s="15">
        <f t="shared" si="2"/>
        <v>40</v>
      </c>
      <c r="E8" s="15">
        <f t="shared" si="2"/>
        <v>30</v>
      </c>
      <c r="F8" s="15">
        <f t="shared" si="2"/>
        <v>43</v>
      </c>
      <c r="G8" s="15">
        <f t="shared" si="2"/>
        <v>41</v>
      </c>
      <c r="H8" s="15">
        <f t="shared" si="2"/>
        <v>33</v>
      </c>
      <c r="I8" s="15">
        <f t="shared" si="2"/>
        <v>31</v>
      </c>
      <c r="J8" s="15">
        <f t="shared" si="2"/>
        <v>34</v>
      </c>
      <c r="K8" s="15">
        <f t="shared" si="2"/>
        <v>27</v>
      </c>
      <c r="L8" s="15">
        <f t="shared" si="2"/>
        <v>23</v>
      </c>
      <c r="M8" s="15">
        <f t="shared" si="2"/>
        <v>51</v>
      </c>
      <c r="N8" s="15">
        <f t="shared" si="2"/>
        <v>30</v>
      </c>
      <c r="O8" s="18">
        <f>SUM(tblFluxoCaixa[[#This Row],[Jan]:[Sep]])</f>
        <v>300</v>
      </c>
      <c r="P8" s="18">
        <f>tblFluxoCaixa[[#This Row],[Year]]/12</f>
        <v>25</v>
      </c>
    </row>
    <row r="9" spans="1:16" s="2" customFormat="1" ht="16.5" customHeight="1" x14ac:dyDescent="0.3">
      <c r="B9" s="24" t="s">
        <v>36</v>
      </c>
      <c r="C9" s="15">
        <f t="shared" ref="C9:N9" si="3">C27+C32+C36</f>
        <v>77</v>
      </c>
      <c r="D9" s="15">
        <f t="shared" si="3"/>
        <v>48</v>
      </c>
      <c r="E9" s="15">
        <f t="shared" si="3"/>
        <v>53</v>
      </c>
      <c r="F9" s="15">
        <f t="shared" si="3"/>
        <v>41</v>
      </c>
      <c r="G9" s="15">
        <f t="shared" si="3"/>
        <v>37</v>
      </c>
      <c r="H9" s="15">
        <f t="shared" si="3"/>
        <v>51</v>
      </c>
      <c r="I9" s="15">
        <f t="shared" si="3"/>
        <v>38</v>
      </c>
      <c r="J9" s="15">
        <f t="shared" si="3"/>
        <v>37</v>
      </c>
      <c r="K9" s="15">
        <f t="shared" si="3"/>
        <v>32</v>
      </c>
      <c r="L9" s="15">
        <f>L27+L32+L36</f>
        <v>36</v>
      </c>
      <c r="M9" s="15">
        <f t="shared" si="3"/>
        <v>45</v>
      </c>
      <c r="N9" s="15">
        <f t="shared" si="3"/>
        <v>46</v>
      </c>
      <c r="O9" s="18">
        <f>SUM(tblFluxoCaixa[[#This Row],[Jan]:[Sep]])</f>
        <v>414</v>
      </c>
      <c r="P9" s="18">
        <f>tblFluxoCaixa[[#This Row],[Year]]/12</f>
        <v>34.5</v>
      </c>
    </row>
    <row r="10" spans="1:16" s="2" customFormat="1" ht="16.5" customHeight="1" x14ac:dyDescent="0.3">
      <c r="B10" s="24" t="s">
        <v>86</v>
      </c>
      <c r="C10" s="15">
        <f>C26+C31</f>
        <v>54</v>
      </c>
      <c r="D10" s="15">
        <f t="shared" ref="D10:N10" si="4">D26+D31</f>
        <v>23</v>
      </c>
      <c r="E10" s="15">
        <f t="shared" si="4"/>
        <v>54</v>
      </c>
      <c r="F10" s="15">
        <f t="shared" si="4"/>
        <v>31</v>
      </c>
      <c r="G10" s="15">
        <f t="shared" si="4"/>
        <v>0</v>
      </c>
      <c r="H10" s="15">
        <f t="shared" si="4"/>
        <v>0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8">
        <f>SUM(tblFluxoCaixa[[#This Row],[Jan]:[Sep]])</f>
        <v>162</v>
      </c>
      <c r="P10" s="18"/>
    </row>
    <row r="11" spans="1:16" ht="16.5" customHeight="1" x14ac:dyDescent="0.3">
      <c r="B11" s="14" t="s">
        <v>25</v>
      </c>
      <c r="C11" s="15">
        <f>C5</f>
        <v>27269.009999999991</v>
      </c>
      <c r="D11" s="15">
        <f t="shared" ref="D11:N11" si="5">D5</f>
        <v>34293.839999999989</v>
      </c>
      <c r="E11" s="15">
        <f t="shared" si="5"/>
        <v>45803.040000000001</v>
      </c>
      <c r="F11" s="15">
        <f t="shared" si="5"/>
        <v>52566.51</v>
      </c>
      <c r="G11" s="15">
        <f t="shared" si="5"/>
        <v>0</v>
      </c>
      <c r="H11" s="15">
        <f t="shared" si="5"/>
        <v>0</v>
      </c>
      <c r="I11" s="15">
        <f>I5</f>
        <v>0</v>
      </c>
      <c r="J11" s="15">
        <f t="shared" si="5"/>
        <v>0</v>
      </c>
      <c r="K11" s="15">
        <f t="shared" si="5"/>
        <v>0</v>
      </c>
      <c r="L11" s="15">
        <f t="shared" si="5"/>
        <v>0</v>
      </c>
      <c r="M11" s="15">
        <f t="shared" si="5"/>
        <v>0</v>
      </c>
      <c r="N11" s="15">
        <f t="shared" si="5"/>
        <v>0</v>
      </c>
      <c r="O11" s="18"/>
      <c r="P11" s="18"/>
    </row>
    <row r="12" spans="1:16" ht="16.5" customHeight="1" x14ac:dyDescent="0.3">
      <c r="B12" s="8"/>
      <c r="C12" s="9"/>
      <c r="D12" s="9"/>
      <c r="E12" s="9"/>
      <c r="F12" s="9"/>
      <c r="G12" s="9"/>
      <c r="I12" s="9"/>
      <c r="J12" s="9"/>
      <c r="K12" s="9"/>
      <c r="L12" s="9"/>
      <c r="M12" s="9"/>
      <c r="N12" s="9"/>
      <c r="O12" s="19"/>
      <c r="P12" s="19"/>
    </row>
    <row r="13" spans="1:16" ht="16.5" customHeight="1" thickBot="1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9"/>
      <c r="P13" s="19"/>
    </row>
    <row r="14" spans="1:16" ht="16.5" customHeight="1" thickTop="1" x14ac:dyDescent="0.3">
      <c r="B14" s="13" t="s">
        <v>26</v>
      </c>
      <c r="C14" s="7" t="s">
        <v>1</v>
      </c>
      <c r="D14" s="7" t="s">
        <v>6</v>
      </c>
      <c r="E14" s="7" t="s">
        <v>2</v>
      </c>
      <c r="F14" s="7" t="s">
        <v>7</v>
      </c>
      <c r="G14" s="7" t="s">
        <v>8</v>
      </c>
      <c r="H14" s="7" t="s">
        <v>3</v>
      </c>
      <c r="I14" s="7" t="s">
        <v>4</v>
      </c>
      <c r="J14" s="7" t="s">
        <v>9</v>
      </c>
      <c r="K14" s="7" t="s">
        <v>10</v>
      </c>
      <c r="L14" s="7" t="s">
        <v>11</v>
      </c>
      <c r="M14" s="7" t="s">
        <v>5</v>
      </c>
      <c r="N14" s="7" t="s">
        <v>12</v>
      </c>
      <c r="O14" s="20"/>
      <c r="P14" s="20"/>
    </row>
    <row r="15" spans="1:16" ht="16.5" customHeight="1" x14ac:dyDescent="0.3">
      <c r="B15" s="33" t="s">
        <v>83</v>
      </c>
      <c r="C15" s="63">
        <v>27269.009999999991</v>
      </c>
      <c r="D15" s="63">
        <v>34293.839999999989</v>
      </c>
      <c r="E15" s="63">
        <v>45803.040000000001</v>
      </c>
      <c r="F15" s="63">
        <v>52566.51</v>
      </c>
      <c r="G15" s="63"/>
      <c r="H15" s="63"/>
      <c r="I15" s="64"/>
      <c r="J15" s="63"/>
      <c r="K15" s="63"/>
      <c r="L15" s="63"/>
      <c r="M15" s="63"/>
      <c r="N15" s="63"/>
      <c r="O15" s="28">
        <f>SUM(C15:N15)</f>
        <v>159932.4</v>
      </c>
      <c r="P15" s="28">
        <f>AVERAGE(C15:F15)</f>
        <v>39983.1</v>
      </c>
    </row>
    <row r="16" spans="1:16" s="2" customFormat="1" ht="16.5" customHeight="1" x14ac:dyDescent="0.3">
      <c r="B16" s="33" t="s">
        <v>44</v>
      </c>
      <c r="C16" s="29">
        <v>17872.610000000004</v>
      </c>
      <c r="D16" s="29">
        <v>25817.629999999994</v>
      </c>
      <c r="E16" s="29">
        <v>35296.55999999999</v>
      </c>
      <c r="F16" s="29">
        <v>24702.939999999995</v>
      </c>
      <c r="G16" s="29">
        <v>28383.69999999999</v>
      </c>
      <c r="H16" s="29">
        <v>24508.439999999995</v>
      </c>
      <c r="I16" s="29">
        <v>32401.149999999983</v>
      </c>
      <c r="J16" s="29">
        <v>25623.129999999994</v>
      </c>
      <c r="K16" s="29">
        <v>45721.54000000003</v>
      </c>
      <c r="L16" s="29">
        <v>22668.059999999998</v>
      </c>
      <c r="M16" s="29">
        <v>35745.219999999994</v>
      </c>
      <c r="N16" s="29">
        <v>32064.459999999985</v>
      </c>
      <c r="O16" s="28">
        <f>SUM(C16:N16)</f>
        <v>350805.43999999994</v>
      </c>
      <c r="P16" s="28">
        <f>AVERAGE(C16:N16)</f>
        <v>29233.786666666663</v>
      </c>
    </row>
    <row r="17" spans="2:16" ht="16.5" customHeight="1" x14ac:dyDescent="0.3">
      <c r="B17" s="14" t="s">
        <v>43</v>
      </c>
      <c r="C17" s="29">
        <v>25934.87</v>
      </c>
      <c r="D17" s="29">
        <v>30448.61</v>
      </c>
      <c r="E17" s="29">
        <v>55821.06</v>
      </c>
      <c r="F17" s="29">
        <v>24702.94</v>
      </c>
      <c r="G17" s="29">
        <v>37633.97</v>
      </c>
      <c r="H17" s="29">
        <v>38943.86</v>
      </c>
      <c r="I17" s="29">
        <v>50393.2</v>
      </c>
      <c r="J17" s="29">
        <v>43705.01</v>
      </c>
      <c r="K17" s="29">
        <v>127172.42</v>
      </c>
      <c r="L17" s="29">
        <v>29993.74</v>
      </c>
      <c r="M17" s="29">
        <v>51351</v>
      </c>
      <c r="N17" s="29">
        <v>64814.46</v>
      </c>
      <c r="O17" s="28">
        <f>SUM(tblRenda[[#This Row],[jan]:[dec]])</f>
        <v>580915.14</v>
      </c>
      <c r="P17" s="28">
        <f>AVERAGE(tblRenda[[#This Row],[jan]:[dec]])</f>
        <v>48409.595000000001</v>
      </c>
    </row>
    <row r="18" spans="2:16" s="2" customFormat="1" ht="16.5" customHeight="1" x14ac:dyDescent="0.3">
      <c r="B18" s="14" t="s">
        <v>108</v>
      </c>
      <c r="C18" s="27"/>
      <c r="D18" s="27"/>
      <c r="E18" s="27">
        <v>4200</v>
      </c>
      <c r="F18" s="27">
        <v>8400</v>
      </c>
      <c r="G18" s="27"/>
      <c r="H18" s="27"/>
      <c r="I18" s="27"/>
      <c r="J18" s="27"/>
      <c r="K18" s="27"/>
      <c r="L18" s="55"/>
      <c r="M18" s="55"/>
      <c r="N18" s="55"/>
      <c r="O18" s="28">
        <f>SUM(tblRenda[[#This Row],[jan]:[dec]])</f>
        <v>12600</v>
      </c>
      <c r="P18" s="28">
        <f>AVERAGE(tblRenda[[#This Row],[jan]:[dec]])</f>
        <v>6300</v>
      </c>
    </row>
    <row r="19" spans="2:16" s="2" customFormat="1" ht="16.5" customHeight="1" x14ac:dyDescent="0.3">
      <c r="B19" s="14" t="s">
        <v>29</v>
      </c>
      <c r="C19" s="27">
        <v>0</v>
      </c>
      <c r="D19" s="27">
        <v>310.52999999999997</v>
      </c>
      <c r="E19" s="27">
        <v>0</v>
      </c>
      <c r="F19" s="27">
        <v>0</v>
      </c>
      <c r="G19" s="27">
        <v>0</v>
      </c>
      <c r="H19" s="27">
        <v>0</v>
      </c>
      <c r="I19" s="27"/>
      <c r="J19" s="27"/>
      <c r="K19" s="27"/>
      <c r="L19" s="27"/>
      <c r="M19" s="27"/>
      <c r="N19" s="27"/>
      <c r="O19" s="28">
        <f>SUM(tblRenda[[#This Row],[jan]:[dec]])</f>
        <v>310.52999999999997</v>
      </c>
      <c r="P19" s="28">
        <f>AVERAGE(tblRenda[[#This Row],[jan]:[dec]])</f>
        <v>51.754999999999995</v>
      </c>
    </row>
    <row r="20" spans="2:16" s="2" customFormat="1" ht="16.5" customHeight="1" x14ac:dyDescent="0.3">
      <c r="B20" s="14" t="s">
        <v>30</v>
      </c>
      <c r="C20" s="27"/>
      <c r="D20" s="27"/>
      <c r="E20" s="27"/>
      <c r="F20" s="27"/>
      <c r="G20" s="27">
        <f>67125+53700+67125</f>
        <v>187950</v>
      </c>
      <c r="H20" s="27"/>
      <c r="I20" s="27"/>
      <c r="J20" s="27"/>
      <c r="K20" s="27"/>
      <c r="L20" s="27"/>
      <c r="M20" s="27"/>
      <c r="N20" s="27"/>
      <c r="O20" s="28">
        <f>SUM(tblRenda[[#This Row],[jan]:[dec]])</f>
        <v>187950</v>
      </c>
      <c r="P20" s="28">
        <f>AVERAGE(tblRenda[[#This Row],[jan]:[dec]])</f>
        <v>187950</v>
      </c>
    </row>
    <row r="21" spans="2:16" ht="16.5" customHeight="1" x14ac:dyDescent="0.3">
      <c r="B21" s="14" t="s">
        <v>32</v>
      </c>
      <c r="C21" s="27">
        <f>SUM(tblRenda[jan])</f>
        <v>25934.87</v>
      </c>
      <c r="D21" s="27">
        <f>SUM(tblRenda[feb])</f>
        <v>30759.14</v>
      </c>
      <c r="E21" s="27">
        <f>SUM(tblRenda[mar])</f>
        <v>60021.06</v>
      </c>
      <c r="F21" s="27">
        <f>SUM(tblRenda[apr])</f>
        <v>33102.94</v>
      </c>
      <c r="G21" s="27">
        <f>SUM(tblRenda[may])</f>
        <v>225583.97</v>
      </c>
      <c r="H21" s="27">
        <f>SUM(tblRenda[jun])</f>
        <v>38943.86</v>
      </c>
      <c r="I21" s="27">
        <f>SUM(tblRenda[jul])</f>
        <v>50393.2</v>
      </c>
      <c r="J21" s="27">
        <f>SUM(tblRenda[aug])</f>
        <v>43705.01</v>
      </c>
      <c r="K21" s="27">
        <f>SUM(tblRenda[sep])</f>
        <v>127172.42</v>
      </c>
      <c r="L21" s="27">
        <f>SUM(tblRenda[oct])</f>
        <v>29993.74</v>
      </c>
      <c r="M21" s="27">
        <f>SUM(tblRenda[nov])</f>
        <v>51351</v>
      </c>
      <c r="N21" s="27">
        <f>SUM(tblRenda[dec])</f>
        <v>64814.46</v>
      </c>
      <c r="O21" s="28">
        <f>SUM(tblRenda[year])</f>
        <v>781775.67</v>
      </c>
      <c r="P21" s="28">
        <f>tblRenda[[#Totals],[year]]/12</f>
        <v>65147.972500000003</v>
      </c>
    </row>
    <row r="22" spans="2:16" s="2" customFormat="1" ht="16.5" customHeight="1" x14ac:dyDescent="0.3">
      <c r="B22" s="33" t="s">
        <v>76</v>
      </c>
      <c r="C22" s="27">
        <f>tblRenda[[#Totals],[jan]]</f>
        <v>25934.87</v>
      </c>
      <c r="D22" s="27">
        <f>tblRenda[[#Totals],[feb]]</f>
        <v>30759.14</v>
      </c>
      <c r="E22" s="27">
        <f>tblRenda[[#Totals],[mar]]</f>
        <v>60021.06</v>
      </c>
      <c r="F22" s="27">
        <f>tblRenda[[#Totals],[apr]]</f>
        <v>33102.94</v>
      </c>
      <c r="G22" s="27">
        <f>tblRenda[[#Totals],[may]]-187950</f>
        <v>37633.97</v>
      </c>
      <c r="H22" s="27">
        <f>tblRenda[[#Totals],[jun]]</f>
        <v>38943.86</v>
      </c>
      <c r="I22" s="27">
        <f>tblRenda[[#Totals],[jul]]</f>
        <v>50393.2</v>
      </c>
      <c r="J22" s="27"/>
      <c r="K22" s="27"/>
      <c r="L22" s="27"/>
      <c r="M22" s="27"/>
      <c r="N22" s="27"/>
      <c r="O22" s="28"/>
      <c r="P22" s="28"/>
    </row>
    <row r="23" spans="2:16" ht="16.5" customHeight="1" x14ac:dyDescent="0.3">
      <c r="B23" s="26" t="s">
        <v>33</v>
      </c>
      <c r="C23" s="29">
        <v>25934.87</v>
      </c>
      <c r="D23" s="29">
        <v>30448.61</v>
      </c>
      <c r="E23" s="29">
        <v>55821.06</v>
      </c>
      <c r="F23" s="29">
        <v>24702.94</v>
      </c>
      <c r="G23" s="29">
        <v>37633.97</v>
      </c>
      <c r="H23" s="29">
        <v>38943.86</v>
      </c>
      <c r="I23" s="29">
        <v>50393.2</v>
      </c>
      <c r="J23" s="29">
        <v>43705.01</v>
      </c>
      <c r="K23" s="29">
        <v>127172.42</v>
      </c>
      <c r="L23" s="29">
        <v>29993.74</v>
      </c>
      <c r="M23" s="29">
        <v>51351</v>
      </c>
      <c r="N23" s="29">
        <v>64814.46</v>
      </c>
      <c r="O23" s="30">
        <f>SUM(C23:N23)</f>
        <v>580915.14</v>
      </c>
      <c r="P23" s="30">
        <f>O23/12</f>
        <v>48409.595000000001</v>
      </c>
    </row>
    <row r="24" spans="2:16" ht="16.5" customHeight="1" thickBot="1" x14ac:dyDescent="0.35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9"/>
      <c r="P24" s="19"/>
    </row>
    <row r="25" spans="2:16" ht="16.5" customHeight="1" thickTop="1" x14ac:dyDescent="0.3">
      <c r="B25" s="13" t="s">
        <v>20</v>
      </c>
      <c r="C25" s="7" t="s">
        <v>1</v>
      </c>
      <c r="D25" s="7" t="s">
        <v>6</v>
      </c>
      <c r="E25" s="7" t="s">
        <v>2</v>
      </c>
      <c r="F25" s="7" t="s">
        <v>7</v>
      </c>
      <c r="G25" s="7" t="s">
        <v>8</v>
      </c>
      <c r="H25" s="7" t="s">
        <v>3</v>
      </c>
      <c r="I25" s="7" t="s">
        <v>4</v>
      </c>
      <c r="J25" s="7" t="s">
        <v>9</v>
      </c>
      <c r="K25" s="7" t="s">
        <v>10</v>
      </c>
      <c r="L25" s="7" t="s">
        <v>11</v>
      </c>
      <c r="M25" s="7" t="s">
        <v>5</v>
      </c>
      <c r="N25" s="7" t="s">
        <v>12</v>
      </c>
      <c r="O25" s="20"/>
      <c r="P25" s="20"/>
    </row>
    <row r="26" spans="2:16" s="2" customFormat="1" ht="16.5" customHeight="1" x14ac:dyDescent="0.3">
      <c r="B26" s="33" t="s">
        <v>84</v>
      </c>
      <c r="C26" s="62">
        <v>31</v>
      </c>
      <c r="D26" s="62">
        <v>10</v>
      </c>
      <c r="E26" s="62">
        <v>33</v>
      </c>
      <c r="F26" s="62">
        <v>20</v>
      </c>
      <c r="G26" s="62"/>
      <c r="H26" s="62"/>
      <c r="I26" s="62"/>
      <c r="J26" s="62"/>
      <c r="K26" s="62"/>
      <c r="L26" s="62"/>
      <c r="M26" s="62"/>
      <c r="N26" s="62"/>
      <c r="O26" s="61"/>
      <c r="P26" s="61"/>
    </row>
    <row r="27" spans="2:16" ht="16.5" customHeight="1" x14ac:dyDescent="0.3">
      <c r="B27" s="14" t="s">
        <v>39</v>
      </c>
      <c r="C27" s="15">
        <v>17</v>
      </c>
      <c r="D27" s="15">
        <v>30</v>
      </c>
      <c r="E27" s="15">
        <v>38</v>
      </c>
      <c r="F27" s="15">
        <v>38</v>
      </c>
      <c r="G27" s="15">
        <v>27</v>
      </c>
      <c r="H27" s="15">
        <v>31</v>
      </c>
      <c r="I27" s="15">
        <v>9</v>
      </c>
      <c r="J27" s="15">
        <v>36</v>
      </c>
      <c r="K27" s="15">
        <v>23</v>
      </c>
      <c r="L27" s="56">
        <v>21</v>
      </c>
      <c r="M27" s="56">
        <v>36</v>
      </c>
      <c r="N27" s="56">
        <v>27</v>
      </c>
      <c r="O27" s="30">
        <f>SUM(tblCategoriaDespesa_01[[#This Row],[jan]:[dec]])</f>
        <v>333</v>
      </c>
      <c r="P27" s="18">
        <f>tblCategoriaDespesa_01[[#This Row],[year]]/12</f>
        <v>27.75</v>
      </c>
    </row>
    <row r="28" spans="2:16" s="2" customFormat="1" ht="16.5" customHeight="1" x14ac:dyDescent="0.3">
      <c r="B28" s="14" t="s">
        <v>40</v>
      </c>
      <c r="C28" s="15">
        <v>4</v>
      </c>
      <c r="D28" s="15">
        <v>13</v>
      </c>
      <c r="E28" s="15">
        <v>12</v>
      </c>
      <c r="F28" s="15">
        <v>19</v>
      </c>
      <c r="G28" s="15">
        <v>11</v>
      </c>
      <c r="H28" s="15">
        <v>16</v>
      </c>
      <c r="I28" s="15">
        <v>15</v>
      </c>
      <c r="J28" s="15">
        <v>10</v>
      </c>
      <c r="K28" s="15">
        <v>17</v>
      </c>
      <c r="L28" s="15">
        <v>22</v>
      </c>
      <c r="M28" s="15">
        <v>32</v>
      </c>
      <c r="N28" s="15">
        <v>15</v>
      </c>
      <c r="O28" s="30">
        <f>SUM(tblCategoriaDespesa_01[[#This Row],[jan]:[dec]])</f>
        <v>186</v>
      </c>
      <c r="P28" s="18">
        <f>tblCategoriaDespesa_01[[#This Row],[year]]/12</f>
        <v>15.5</v>
      </c>
    </row>
    <row r="29" spans="2:16" ht="16.5" customHeight="1" thickBot="1" x14ac:dyDescent="0.35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9"/>
      <c r="P29" s="19"/>
    </row>
    <row r="30" spans="2:16" ht="16.5" customHeight="1" thickTop="1" x14ac:dyDescent="0.3">
      <c r="B30" s="13" t="s">
        <v>21</v>
      </c>
      <c r="C30" s="7" t="s">
        <v>1</v>
      </c>
      <c r="D30" s="7" t="s">
        <v>6</v>
      </c>
      <c r="E30" s="7" t="s">
        <v>2</v>
      </c>
      <c r="F30" s="7" t="s">
        <v>7</v>
      </c>
      <c r="G30" s="7" t="s">
        <v>8</v>
      </c>
      <c r="H30" s="7" t="s">
        <v>3</v>
      </c>
      <c r="I30" s="7" t="s">
        <v>4</v>
      </c>
      <c r="J30" s="7" t="s">
        <v>9</v>
      </c>
      <c r="K30" s="7" t="s">
        <v>10</v>
      </c>
      <c r="L30" s="7" t="s">
        <v>11</v>
      </c>
      <c r="M30" s="7" t="s">
        <v>5</v>
      </c>
      <c r="N30" s="7" t="s">
        <v>12</v>
      </c>
      <c r="O30" s="20"/>
      <c r="P30" s="20"/>
    </row>
    <row r="31" spans="2:16" s="2" customFormat="1" ht="16.5" customHeight="1" x14ac:dyDescent="0.3">
      <c r="B31" s="33" t="s">
        <v>85</v>
      </c>
      <c r="C31" s="62">
        <v>23</v>
      </c>
      <c r="D31" s="62">
        <v>13</v>
      </c>
      <c r="E31" s="62">
        <v>21</v>
      </c>
      <c r="F31" s="62">
        <v>11</v>
      </c>
      <c r="G31" s="62"/>
      <c r="H31" s="62"/>
      <c r="I31" s="62"/>
      <c r="J31" s="62"/>
      <c r="K31" s="62"/>
      <c r="L31" s="62"/>
      <c r="M31" s="62"/>
      <c r="N31" s="62"/>
      <c r="O31" s="61"/>
      <c r="P31" s="61"/>
    </row>
    <row r="32" spans="2:16" ht="16.5" customHeight="1" x14ac:dyDescent="0.3">
      <c r="B32" s="14" t="s">
        <v>37</v>
      </c>
      <c r="C32" s="15">
        <v>60</v>
      </c>
      <c r="D32" s="15">
        <v>18</v>
      </c>
      <c r="E32" s="15">
        <v>15</v>
      </c>
      <c r="F32" s="15">
        <v>3</v>
      </c>
      <c r="G32" s="15">
        <v>10</v>
      </c>
      <c r="H32" s="15">
        <v>20</v>
      </c>
      <c r="I32" s="15">
        <v>29</v>
      </c>
      <c r="J32" s="15">
        <v>1</v>
      </c>
      <c r="K32" s="15">
        <v>9</v>
      </c>
      <c r="L32" s="56">
        <v>15</v>
      </c>
      <c r="M32" s="56">
        <v>9</v>
      </c>
      <c r="N32" s="56">
        <v>19</v>
      </c>
      <c r="O32" s="18">
        <f>SUM(tblCategoriaDespesa_02[[#This Row],[jan]:[dec]])</f>
        <v>208</v>
      </c>
      <c r="P32" s="18">
        <f>tblCategoriaDespesa_02[[#This Row],[year]]/12</f>
        <v>17.333333333333332</v>
      </c>
    </row>
    <row r="33" spans="2:16" s="2" customFormat="1" ht="16.5" customHeight="1" x14ac:dyDescent="0.3">
      <c r="B33" s="14" t="s">
        <v>38</v>
      </c>
      <c r="C33" s="15">
        <v>11</v>
      </c>
      <c r="D33" s="15">
        <v>27</v>
      </c>
      <c r="E33" s="15">
        <v>9</v>
      </c>
      <c r="F33" s="15">
        <v>13</v>
      </c>
      <c r="G33" s="15">
        <v>22</v>
      </c>
      <c r="H33" s="15">
        <v>17</v>
      </c>
      <c r="I33" s="15">
        <v>16</v>
      </c>
      <c r="J33" s="15">
        <v>24</v>
      </c>
      <c r="K33" s="15">
        <v>10</v>
      </c>
      <c r="L33" s="15">
        <v>0</v>
      </c>
      <c r="M33" s="15">
        <v>19</v>
      </c>
      <c r="N33" s="15">
        <v>15</v>
      </c>
      <c r="O33" s="18">
        <f>SUM(tblCategoriaDespesa_02[[#This Row],[jan]:[dec]])</f>
        <v>183</v>
      </c>
      <c r="P33" s="18">
        <f>tblCategoriaDespesa_02[[#This Row],[year]]/12</f>
        <v>15.25</v>
      </c>
    </row>
    <row r="34" spans="2:16" ht="16.5" customHeight="1" thickBot="1" x14ac:dyDescent="0.3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9"/>
      <c r="P34" s="19"/>
    </row>
    <row r="35" spans="2:16" ht="16.5" customHeight="1" thickTop="1" x14ac:dyDescent="0.3">
      <c r="B35" s="13" t="s">
        <v>22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20"/>
      <c r="P35" s="20"/>
    </row>
    <row r="36" spans="2:16" ht="16.5" customHeight="1" x14ac:dyDescent="0.3">
      <c r="B36" s="14" t="s">
        <v>27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/>
      <c r="I36" s="15"/>
      <c r="J36" s="15"/>
      <c r="K36" s="15"/>
      <c r="L36" s="15"/>
      <c r="M36" s="15"/>
      <c r="N36" s="15"/>
      <c r="O36" s="18">
        <f>SUM(tblCategoriaDespesa_03[[#This Row],[jan]:[dec]])</f>
        <v>0</v>
      </c>
      <c r="P36" s="18">
        <f>tblCategoriaDespesa_03[[#This Row],[year]]/12</f>
        <v>0</v>
      </c>
    </row>
    <row r="37" spans="2:16" s="2" customFormat="1" ht="16.5" customHeight="1" x14ac:dyDescent="0.3">
      <c r="B37" s="14" t="s">
        <v>28</v>
      </c>
      <c r="C37" s="15">
        <v>6</v>
      </c>
      <c r="D37" s="15">
        <v>0</v>
      </c>
      <c r="E37" s="15">
        <v>9</v>
      </c>
      <c r="F37" s="15">
        <v>11</v>
      </c>
      <c r="G37" s="15">
        <v>8</v>
      </c>
      <c r="H37" s="15">
        <v>0</v>
      </c>
      <c r="I37" s="15">
        <v>0</v>
      </c>
      <c r="J37" s="15">
        <v>0</v>
      </c>
      <c r="K37" s="15">
        <v>0</v>
      </c>
      <c r="L37" s="15">
        <v>1</v>
      </c>
      <c r="M37" s="15">
        <v>0</v>
      </c>
      <c r="N37" s="15">
        <v>0</v>
      </c>
      <c r="O37" s="18">
        <f>SUM(tblCategoriaDespesa_03[[#This Row],[jan]:[dec]])</f>
        <v>35</v>
      </c>
      <c r="P37" s="18">
        <f>tblCategoriaDespesa_03[[#This Row],[year]]/12</f>
        <v>2.9166666666666665</v>
      </c>
    </row>
    <row r="38" spans="2:16" ht="16.5" customHeight="1" x14ac:dyDescent="0.3"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21"/>
      <c r="P38" s="21"/>
    </row>
    <row r="39" spans="2:16" ht="16.5" customHeight="1" thickBot="1" x14ac:dyDescent="0.35">
      <c r="B39" s="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1"/>
      <c r="P39" s="21"/>
    </row>
    <row r="40" spans="2:16" ht="16.5" customHeight="1" thickTop="1" x14ac:dyDescent="0.3">
      <c r="B40" s="13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2"/>
      <c r="P40" s="22"/>
    </row>
    <row r="41" spans="2:16" ht="16.5" customHeight="1" x14ac:dyDescent="0.3">
      <c r="B41" s="14" t="s">
        <v>27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8">
        <f>SUM(tblCategoriaDespesa_04[[#This Row],[jan]:[dec]])</f>
        <v>0</v>
      </c>
      <c r="P41" s="18">
        <f>tblCategoriaDespesa_04[[#This Row],[year]]/12</f>
        <v>0</v>
      </c>
    </row>
    <row r="42" spans="2:16" s="2" customFormat="1" ht="16.5" customHeight="1" x14ac:dyDescent="0.3">
      <c r="B42" s="14" t="s">
        <v>28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8">
        <f>SUM(tblCategoriaDespesa_04[[#This Row],[jan]:[dec]])</f>
        <v>0</v>
      </c>
      <c r="P42" s="18">
        <f>tblCategoriaDespesa_04[[#This Row],[year]]/12</f>
        <v>0</v>
      </c>
    </row>
    <row r="43" spans="2:16" ht="16.5" customHeight="1" x14ac:dyDescent="0.3">
      <c r="B43" s="14" t="str">
        <f>UPPER("Total " &amp; B40)</f>
        <v xml:space="preserve">TOTAL </v>
      </c>
      <c r="C43" s="15">
        <f>SUM(tblCategoriaDespesa_04[jan])</f>
        <v>0</v>
      </c>
      <c r="D43" s="15">
        <f>SUM(tblCategoriaDespesa_04[feb])</f>
        <v>0</v>
      </c>
      <c r="E43" s="15">
        <f>SUM(tblCategoriaDespesa_04[mar])</f>
        <v>0</v>
      </c>
      <c r="F43" s="15">
        <f>SUM(tblCategoriaDespesa_04[apr])</f>
        <v>0</v>
      </c>
      <c r="G43" s="15">
        <f>SUM(tblCategoriaDespesa_04[may])</f>
        <v>0</v>
      </c>
      <c r="H43" s="15">
        <f>SUM(tblCategoriaDespesa_04[jun])</f>
        <v>0</v>
      </c>
      <c r="I43" s="15">
        <f>SUM(tblCategoriaDespesa_04[jul])</f>
        <v>0</v>
      </c>
      <c r="J43" s="15">
        <f>SUM(tblCategoriaDespesa_04[aug])</f>
        <v>0</v>
      </c>
      <c r="K43" s="15">
        <f>SUM(tblCategoriaDespesa_04[sep])</f>
        <v>0</v>
      </c>
      <c r="L43" s="15">
        <f>SUM(tblCategoriaDespesa_04[oct])</f>
        <v>0</v>
      </c>
      <c r="M43" s="15">
        <f>SUM(tblCategoriaDespesa_04[nov])</f>
        <v>0</v>
      </c>
      <c r="N43" s="15">
        <f>SUM(tblCategoriaDespesa_04[dec])</f>
        <v>0</v>
      </c>
      <c r="O43" s="18">
        <f>SUM(tblCategoriaDespesa_04[year])</f>
        <v>0</v>
      </c>
      <c r="P43" s="18">
        <f>tblCategoriaDespesa_04[[#Totals],[year]]/12</f>
        <v>0</v>
      </c>
    </row>
    <row r="44" spans="2:16" ht="16.5" customHeight="1" thickBot="1" x14ac:dyDescent="0.35"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21"/>
      <c r="P44" s="21"/>
    </row>
    <row r="45" spans="2:16" ht="16.5" customHeight="1" thickTop="1" x14ac:dyDescent="0.3">
      <c r="B45" s="13" t="s">
        <v>96</v>
      </c>
      <c r="C45" s="34" t="s">
        <v>45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22"/>
      <c r="P45" s="22"/>
    </row>
    <row r="46" spans="2:16" s="2" customFormat="1" ht="16.5" customHeight="1" x14ac:dyDescent="0.3">
      <c r="B46" s="2" t="s">
        <v>99</v>
      </c>
      <c r="C46" s="2">
        <v>118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2"/>
      <c r="P46" s="32"/>
    </row>
    <row r="47" spans="2:16" s="2" customFormat="1" ht="16.5" customHeight="1" x14ac:dyDescent="0.3">
      <c r="B47" s="2" t="s">
        <v>100</v>
      </c>
      <c r="C47" s="15">
        <v>93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32"/>
      <c r="P47" s="32"/>
    </row>
    <row r="48" spans="2:16" s="2" customFormat="1" ht="16.5" customHeight="1" x14ac:dyDescent="0.3">
      <c r="B48" s="5" t="s">
        <v>94</v>
      </c>
      <c r="C48" s="15">
        <v>155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2"/>
      <c r="P48" s="32"/>
    </row>
    <row r="49" spans="2:16" s="2" customFormat="1" ht="16.5" customHeight="1" x14ac:dyDescent="0.3">
      <c r="B49" s="5" t="s">
        <v>91</v>
      </c>
      <c r="C49" s="15">
        <v>108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2"/>
      <c r="P49" s="32"/>
    </row>
    <row r="50" spans="2:16" ht="16.5" customHeight="1" x14ac:dyDescent="0.3">
      <c r="B50" s="5" t="s">
        <v>101</v>
      </c>
      <c r="C50" s="15">
        <v>150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8">
        <f>SUM(tblCategoriaDespesa_11[[#This Row],[jan]:[dec]])</f>
        <v>150</v>
      </c>
      <c r="P50" s="18">
        <f>tblCategoriaDespesa_11[[#This Row],[year]]/12</f>
        <v>12.5</v>
      </c>
    </row>
    <row r="51" spans="2:16" ht="16.5" customHeight="1" x14ac:dyDescent="0.3">
      <c r="B51" s="5" t="s">
        <v>97</v>
      </c>
      <c r="C51" s="15">
        <v>100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8">
        <f>SUM(tblCategoriaDespesa_11[[#This Row],[jan]:[dec]])</f>
        <v>100</v>
      </c>
      <c r="P51" s="18">
        <f>tblCategoriaDespesa_11[[#This Row],[year]]/12</f>
        <v>8.3333333333333339</v>
      </c>
    </row>
    <row r="52" spans="2:16" s="2" customFormat="1" ht="16.5" customHeight="1" x14ac:dyDescent="0.3">
      <c r="B52" s="5" t="s">
        <v>98</v>
      </c>
      <c r="C52" s="15">
        <v>111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8">
        <f>SUM(tblCategoriaDespesa_11[[#This Row],[jan]:[dec]])</f>
        <v>111</v>
      </c>
      <c r="P52" s="18">
        <f>tblCategoriaDespesa_11[[#This Row],[year]]/12</f>
        <v>9.25</v>
      </c>
    </row>
    <row r="53" spans="2:16" s="2" customFormat="1" ht="16.5" customHeight="1" x14ac:dyDescent="0.3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8">
        <f>SUM(tblCategoriaDespesa_11[[#This Row],[jan]:[dec]])</f>
        <v>0</v>
      </c>
      <c r="P53" s="18">
        <f>tblCategoriaDespesa_11[[#This Row],[year]]/12</f>
        <v>0</v>
      </c>
    </row>
    <row r="54" spans="2:16" ht="16.5" customHeight="1" x14ac:dyDescent="0.3"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8">
        <f>SUM(tblCategoriaDespesa_11[[#This Row],[jan]:[dec]])</f>
        <v>0</v>
      </c>
      <c r="P54" s="18">
        <f>tblCategoriaDespesa_11[[#This Row],[year]]/12</f>
        <v>0</v>
      </c>
    </row>
    <row r="55" spans="2:16" ht="16.5" customHeight="1" x14ac:dyDescent="0.3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8">
        <f>SUM(tblCategoriaDespesa_11[[#This Row],[jan]:[dec]])</f>
        <v>0</v>
      </c>
      <c r="P55" s="18">
        <f>tblCategoriaDespesa_11[[#This Row],[year]]/12</f>
        <v>0</v>
      </c>
    </row>
    <row r="56" spans="2:16" ht="16.5" customHeight="1" x14ac:dyDescent="0.3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8">
        <f>SUM(tblCategoriaDespesa_11[[#This Row],[jan]:[dec]])</f>
        <v>0</v>
      </c>
      <c r="P56" s="18">
        <f>tblCategoriaDespesa_11[[#This Row],[year]]/12</f>
        <v>0</v>
      </c>
    </row>
    <row r="57" spans="2:16" ht="16.5" customHeight="1" x14ac:dyDescent="0.3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8">
        <f>SUM(tblCategoriaDespesa_11[[#This Row],[jan]:[dec]])</f>
        <v>0</v>
      </c>
      <c r="P57" s="18">
        <f>tblCategoriaDespesa_11[[#This Row],[year]]/12</f>
        <v>0</v>
      </c>
    </row>
    <row r="58" spans="2:16" ht="16.5" customHeight="1" x14ac:dyDescent="0.3"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8">
        <f>SUM(tblCategoriaDespesa_11[[#This Row],[jan]:[dec]])</f>
        <v>0</v>
      </c>
      <c r="P58" s="18">
        <f>tblCategoriaDespesa_11[[#This Row],[year]]/12</f>
        <v>0</v>
      </c>
    </row>
    <row r="59" spans="2:16" ht="16.5" customHeight="1" x14ac:dyDescent="0.3">
      <c r="B59" s="74" t="str">
        <f>UPPER("Total " &amp; B45)</f>
        <v>TOTAL WEBINÁRIOS 2022</v>
      </c>
      <c r="C59" s="75">
        <f>SUM(tblCategoriaDespesa_11[jan])</f>
        <v>361</v>
      </c>
      <c r="D59" s="75">
        <f>SUM(tblCategoriaDespesa_11[feb])</f>
        <v>0</v>
      </c>
      <c r="E59" s="75">
        <f>SUM(tblCategoriaDespesa_11[mar])</f>
        <v>0</v>
      </c>
      <c r="F59" s="75">
        <f>SUM(tblCategoriaDespesa_11[apr])</f>
        <v>0</v>
      </c>
      <c r="G59" s="75">
        <f>SUM(tblCategoriaDespesa_11[may])</f>
        <v>0</v>
      </c>
      <c r="H59" s="75">
        <f>SUM(tblCategoriaDespesa_11[jun])</f>
        <v>0</v>
      </c>
      <c r="I59" s="75">
        <f>SUM(tblCategoriaDespesa_11[jul])</f>
        <v>0</v>
      </c>
      <c r="J59" s="75">
        <f>SUM(tblCategoriaDespesa_11[aug])</f>
        <v>0</v>
      </c>
      <c r="K59" s="75">
        <f>SUM(tblCategoriaDespesa_11[sep])</f>
        <v>0</v>
      </c>
      <c r="L59" s="75">
        <f>SUM(tblCategoriaDespesa_11[oct])</f>
        <v>0</v>
      </c>
      <c r="M59" s="75">
        <f>SUM(tblCategoriaDespesa_11[nov])</f>
        <v>0</v>
      </c>
      <c r="N59" s="75">
        <f>SUM(tblCategoriaDespesa_11[dec])</f>
        <v>0</v>
      </c>
      <c r="O59" s="76">
        <f>SUM(tblCategoriaDespesa_11[year])</f>
        <v>361</v>
      </c>
      <c r="P59" s="76">
        <f>tblCategoriaDespesa_11[[#Totals],[year]]/12</f>
        <v>30.083333333333332</v>
      </c>
    </row>
    <row r="60" spans="2:16" ht="16.5" customHeight="1" x14ac:dyDescent="0.3"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21"/>
      <c r="P60" s="21"/>
    </row>
    <row r="61" spans="2:16" ht="16.5" customHeight="1" thickBot="1" x14ac:dyDescent="0.35">
      <c r="B61" s="8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21"/>
      <c r="P61" s="21"/>
    </row>
    <row r="62" spans="2:16" ht="16.5" customHeight="1" thickTop="1" x14ac:dyDescent="0.3">
      <c r="B62" s="13" t="s">
        <v>95</v>
      </c>
      <c r="C62" s="7" t="s">
        <v>1</v>
      </c>
      <c r="D62" s="7" t="s">
        <v>6</v>
      </c>
      <c r="E62" s="7" t="s">
        <v>2</v>
      </c>
      <c r="F62" s="7" t="s">
        <v>7</v>
      </c>
      <c r="G62" s="7" t="s">
        <v>8</v>
      </c>
      <c r="H62" s="7" t="s">
        <v>3</v>
      </c>
      <c r="I62" s="7" t="s">
        <v>4</v>
      </c>
      <c r="J62" s="7" t="s">
        <v>9</v>
      </c>
      <c r="K62" s="7" t="s">
        <v>10</v>
      </c>
      <c r="L62" s="7" t="s">
        <v>11</v>
      </c>
      <c r="M62" s="7" t="s">
        <v>5</v>
      </c>
      <c r="N62" s="7" t="s">
        <v>12</v>
      </c>
      <c r="O62" s="22"/>
      <c r="P62" s="22"/>
    </row>
    <row r="63" spans="2:16" ht="16.5" customHeight="1" x14ac:dyDescent="0.3">
      <c r="B63" s="77" t="s">
        <v>102</v>
      </c>
      <c r="C63" s="15">
        <v>1</v>
      </c>
      <c r="D63" s="15"/>
      <c r="E63" s="15"/>
      <c r="F63" s="15"/>
      <c r="G63" s="15">
        <v>1</v>
      </c>
      <c r="H63" s="15">
        <v>1</v>
      </c>
      <c r="I63" s="15"/>
      <c r="J63" s="15"/>
      <c r="K63" s="15">
        <v>1</v>
      </c>
      <c r="L63" s="15"/>
      <c r="M63" s="15">
        <v>1</v>
      </c>
      <c r="N63" s="15">
        <v>1</v>
      </c>
      <c r="O63" s="18">
        <f>SUM(tblCategoriaDespesa_12[[#This Row],[jan]:[dec]])</f>
        <v>6</v>
      </c>
      <c r="P63" s="18">
        <f>tblCategoriaDespesa_12[[#This Row],[year]]/12</f>
        <v>0.5</v>
      </c>
    </row>
    <row r="64" spans="2:16" ht="16.5" customHeight="1" x14ac:dyDescent="0.3">
      <c r="B64" s="77" t="s">
        <v>103</v>
      </c>
      <c r="C64" s="15"/>
      <c r="D64" s="15"/>
      <c r="E64" s="15">
        <v>1</v>
      </c>
      <c r="F64" s="15"/>
      <c r="G64" s="15"/>
      <c r="H64" s="15">
        <v>1</v>
      </c>
      <c r="I64" s="15"/>
      <c r="J64" s="15"/>
      <c r="K64" s="15">
        <v>1</v>
      </c>
      <c r="L64" s="15"/>
      <c r="M64" s="15"/>
      <c r="N64" s="15">
        <v>1</v>
      </c>
      <c r="O64" s="18">
        <f>SUM(tblCategoriaDespesa_12[[#This Row],[jan]:[dec]])</f>
        <v>4</v>
      </c>
      <c r="P64" s="18">
        <f>tblCategoriaDespesa_12[[#This Row],[year]]/12</f>
        <v>0.33333333333333331</v>
      </c>
    </row>
    <row r="65" spans="2:16" s="2" customFormat="1" ht="16.5" customHeight="1" x14ac:dyDescent="0.3">
      <c r="B65" s="77" t="s">
        <v>104</v>
      </c>
      <c r="C65" s="15"/>
      <c r="D65" s="15"/>
      <c r="E65" s="15"/>
      <c r="F65" s="15"/>
      <c r="G65" s="15"/>
      <c r="H65" s="15"/>
      <c r="I65" s="15"/>
      <c r="J65" s="15">
        <v>2</v>
      </c>
      <c r="K65" s="15"/>
      <c r="L65" s="15"/>
      <c r="M65" s="15"/>
      <c r="N65" s="15"/>
      <c r="O65" s="18">
        <f>SUM(tblCategoriaDespesa_12[[#This Row],[jan]:[dec]])</f>
        <v>2</v>
      </c>
      <c r="P65" s="18">
        <f>tblCategoriaDespesa_12[[#This Row],[year]]/12</f>
        <v>0.16666666666666666</v>
      </c>
    </row>
    <row r="66" spans="2:16" s="2" customFormat="1" ht="16.5" customHeight="1" x14ac:dyDescent="0.3">
      <c r="B66" s="77" t="s">
        <v>107</v>
      </c>
      <c r="C66" s="15">
        <v>1</v>
      </c>
      <c r="D66" s="15">
        <v>1</v>
      </c>
      <c r="E66" s="15">
        <v>1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5">
        <v>1</v>
      </c>
      <c r="O66" s="18">
        <f>SUM(tblCategoriaDespesa_12[[#This Row],[jan]:[dec]])</f>
        <v>12</v>
      </c>
      <c r="P66" s="18">
        <f>tblCategoriaDespesa_12[[#This Row],[year]]/12</f>
        <v>1</v>
      </c>
    </row>
    <row r="67" spans="2:16" s="2" customFormat="1" ht="16.5" customHeight="1" x14ac:dyDescent="0.3">
      <c r="B67" s="77" t="s">
        <v>105</v>
      </c>
      <c r="C67" s="15"/>
      <c r="D67" s="15"/>
      <c r="E67" s="15">
        <v>1</v>
      </c>
      <c r="F67" s="15"/>
      <c r="G67" s="15">
        <v>1</v>
      </c>
      <c r="H67" s="15"/>
      <c r="I67" s="15"/>
      <c r="J67" s="15">
        <v>1</v>
      </c>
      <c r="K67" s="15">
        <v>1</v>
      </c>
      <c r="L67" s="15"/>
      <c r="M67" s="15">
        <v>1</v>
      </c>
      <c r="N67" s="15"/>
      <c r="O67" s="18">
        <f>SUM(tblCategoriaDespesa_12[[#This Row],[jan]:[dec]])</f>
        <v>5</v>
      </c>
      <c r="P67" s="18">
        <f>tblCategoriaDespesa_12[[#This Row],[year]]/12</f>
        <v>0.41666666666666669</v>
      </c>
    </row>
    <row r="68" spans="2:16" s="2" customFormat="1" ht="16.5" customHeight="1" x14ac:dyDescent="0.3">
      <c r="B68" s="77" t="s">
        <v>106</v>
      </c>
      <c r="C68" s="15"/>
      <c r="D68" s="15"/>
      <c r="E68" s="15"/>
      <c r="F68" s="15"/>
      <c r="G68" s="15"/>
      <c r="H68" s="15">
        <v>1</v>
      </c>
      <c r="I68" s="15"/>
      <c r="J68" s="15"/>
      <c r="K68" s="15"/>
      <c r="L68" s="15"/>
      <c r="M68" s="15"/>
      <c r="N68" s="15">
        <v>2</v>
      </c>
      <c r="O68" s="18">
        <f>SUM(tblCategoriaDespesa_12[[#This Row],[jan]:[dec]])</f>
        <v>3</v>
      </c>
      <c r="P68" s="18">
        <f>tblCategoriaDespesa_12[[#This Row],[year]]/12</f>
        <v>0.25</v>
      </c>
    </row>
    <row r="69" spans="2:16" ht="16.5" customHeight="1" x14ac:dyDescent="0.3">
      <c r="B69" s="78" t="str">
        <f>("Total Prometido")</f>
        <v>Total Prometido</v>
      </c>
      <c r="C69" s="80">
        <f>SUM(tblCategoriaDespesa_12[jan])</f>
        <v>2</v>
      </c>
      <c r="D69" s="80">
        <f>SUM(tblCategoriaDespesa_12[feb])</f>
        <v>1</v>
      </c>
      <c r="E69" s="80">
        <f>SUM(tblCategoriaDespesa_12[mar])</f>
        <v>3</v>
      </c>
      <c r="F69" s="80">
        <f>SUM(tblCategoriaDespesa_12[apr])</f>
        <v>1</v>
      </c>
      <c r="G69" s="80">
        <f>SUM(tblCategoriaDespesa_12[may])</f>
        <v>3</v>
      </c>
      <c r="H69" s="80">
        <f>SUM(tblCategoriaDespesa_12[jun])</f>
        <v>4</v>
      </c>
      <c r="I69" s="80">
        <f>SUM(tblCategoriaDespesa_12[jul])</f>
        <v>1</v>
      </c>
      <c r="J69" s="80">
        <f>SUM(tblCategoriaDespesa_12[aug])</f>
        <v>4</v>
      </c>
      <c r="K69" s="80">
        <f>SUM(tblCategoriaDespesa_12[sep])</f>
        <v>4</v>
      </c>
      <c r="L69" s="80">
        <f>SUM(tblCategoriaDespesa_12[oct])</f>
        <v>1</v>
      </c>
      <c r="M69" s="80">
        <f>SUM(tblCategoriaDespesa_12[nov])</f>
        <v>3</v>
      </c>
      <c r="N69" s="80">
        <f>SUM(tblCategoriaDespesa_12[dec])</f>
        <v>5</v>
      </c>
      <c r="O69" s="76">
        <f>SUM(tblCategoriaDespesa_12[year])</f>
        <v>32</v>
      </c>
      <c r="P69" s="76">
        <f>tblCategoriaDespesa_12[[#Totals],[year]]/12</f>
        <v>2.6666666666666665</v>
      </c>
    </row>
    <row r="70" spans="2:16" ht="16.5" customHeight="1" x14ac:dyDescent="0.3">
      <c r="B70" s="79" t="str">
        <f>("Total Publicado")</f>
        <v>Total Publicado</v>
      </c>
      <c r="C70" s="81">
        <v>2</v>
      </c>
      <c r="D70" s="81">
        <v>1</v>
      </c>
      <c r="E70" s="81">
        <v>3</v>
      </c>
      <c r="F70" s="81">
        <v>1</v>
      </c>
      <c r="G70" s="81"/>
      <c r="H70" s="81"/>
      <c r="I70" s="81"/>
      <c r="J70" s="81"/>
      <c r="K70" s="81"/>
      <c r="L70" s="81"/>
      <c r="M70" s="81"/>
      <c r="N70" s="81"/>
      <c r="O70" s="21"/>
      <c r="P70" s="21"/>
    </row>
    <row r="71" spans="2:16" ht="16.5" customHeight="1" x14ac:dyDescent="0.3"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21"/>
      <c r="P71" s="21"/>
    </row>
    <row r="72" spans="2:16" ht="16.5" customHeight="1" thickBot="1" x14ac:dyDescent="0.35">
      <c r="B72" s="8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21"/>
      <c r="P72" s="21"/>
    </row>
    <row r="73" spans="2:16" ht="16.5" customHeight="1" thickTop="1" x14ac:dyDescent="0.3">
      <c r="B73" s="13" t="s">
        <v>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2"/>
      <c r="P73" s="22"/>
    </row>
    <row r="74" spans="2:16" ht="16.5" customHeight="1" x14ac:dyDescent="0.3"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8">
        <f>SUM(tblCategoriaDespesa_15[[#This Row],[jan]:[dec]])</f>
        <v>0</v>
      </c>
      <c r="P74" s="18">
        <f>tblCategoriaDespesa_15[[#This Row],[year]]/12</f>
        <v>0</v>
      </c>
    </row>
    <row r="75" spans="2:16" ht="16.5" customHeight="1" x14ac:dyDescent="0.3"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8">
        <f>SUM(tblCategoriaDespesa_15[[#This Row],[jan]:[dec]])</f>
        <v>0</v>
      </c>
      <c r="P75" s="18">
        <f>tblCategoriaDespesa_15[[#This Row],[year]]/12</f>
        <v>0</v>
      </c>
    </row>
    <row r="76" spans="2:16" ht="16.5" customHeight="1" x14ac:dyDescent="0.3"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8">
        <f>SUM(tblCategoriaDespesa_15[[#This Row],[jan]:[dec]])</f>
        <v>0</v>
      </c>
      <c r="P76" s="18">
        <f>tblCategoriaDespesa_15[[#This Row],[year]]/12</f>
        <v>0</v>
      </c>
    </row>
    <row r="77" spans="2:16" ht="16.5" customHeight="1" x14ac:dyDescent="0.3">
      <c r="B77" s="14" t="str">
        <f>UPPER("Total " &amp; B73)</f>
        <v xml:space="preserve">TOTAL  </v>
      </c>
      <c r="C77" s="15">
        <f>SUM(tblCategoriaDespesa_15[jan])</f>
        <v>0</v>
      </c>
      <c r="D77" s="15">
        <f>SUM(tblCategoriaDespesa_15[feb])</f>
        <v>0</v>
      </c>
      <c r="E77" s="15">
        <f>SUM(tblCategoriaDespesa_15[mar])</f>
        <v>0</v>
      </c>
      <c r="F77" s="15">
        <f>SUM(tblCategoriaDespesa_15[apr])</f>
        <v>0</v>
      </c>
      <c r="G77" s="15">
        <f>SUM(tblCategoriaDespesa_15[may])</f>
        <v>0</v>
      </c>
      <c r="H77" s="15">
        <f>SUM(tblCategoriaDespesa_15[jun])</f>
        <v>0</v>
      </c>
      <c r="I77" s="15">
        <f>SUM(tblCategoriaDespesa_15[jul])</f>
        <v>0</v>
      </c>
      <c r="J77" s="15">
        <f>SUM(tblCategoriaDespesa_15[aug])</f>
        <v>0</v>
      </c>
      <c r="K77" s="15">
        <f>SUM(tblCategoriaDespesa_15[sep])</f>
        <v>0</v>
      </c>
      <c r="L77" s="15">
        <f>SUM(tblCategoriaDespesa_15[oct])</f>
        <v>0</v>
      </c>
      <c r="M77" s="15">
        <f>SUM(tblCategoriaDespesa_15[nov])</f>
        <v>0</v>
      </c>
      <c r="N77" s="15">
        <f>SUM(tblCategoriaDespesa_15[dec])</f>
        <v>0</v>
      </c>
      <c r="O77" s="18">
        <f>SUM(tblCategoriaDespesa_15[year])</f>
        <v>0</v>
      </c>
      <c r="P77" s="18">
        <f>tblCategoriaDespesa_15[[#Totals],[year]]/12</f>
        <v>0</v>
      </c>
    </row>
  </sheetData>
  <mergeCells count="4">
    <mergeCell ref="B44:N44"/>
    <mergeCell ref="B38:N38"/>
    <mergeCell ref="B71:N71"/>
    <mergeCell ref="B60:N60"/>
  </mergeCells>
  <dataValidations count="9">
    <dataValidation type="list" allowBlank="1" sqref="B45 B25 B35 B40 B73 B62 B30" xr:uid="{00000000-0002-0000-0200-000000000000}">
      <formula1>categorias_despesas</formula1>
    </dataValidation>
    <dataValidation type="list" allowBlank="1" sqref="B26:B28" xr:uid="{00000000-0002-0000-0200-000001000000}">
      <formula1>lista_de_categorias_de_despesas_01</formula1>
    </dataValidation>
    <dataValidation type="list" allowBlank="1" sqref="B31:B33" xr:uid="{00000000-0002-0000-0200-000002000000}">
      <formula1>lista_de_categorias_de_despesas_02</formula1>
    </dataValidation>
    <dataValidation type="list" allowBlank="1" sqref="B36:B37" xr:uid="{00000000-0002-0000-0200-000003000000}">
      <formula1>lista_de_categorias_de_despesas_03</formula1>
    </dataValidation>
    <dataValidation type="list" allowBlank="1" sqref="B41:B42" xr:uid="{00000000-0002-0000-0200-000004000000}">
      <formula1>lista_de_categorias_de_despesas_04</formula1>
    </dataValidation>
    <dataValidation type="list" allowBlank="1" sqref="B74:B76" xr:uid="{00000000-0002-0000-0200-000005000000}">
      <formula1>lista_de_categorias_de_despesas_15</formula1>
    </dataValidation>
    <dataValidation type="list" allowBlank="1" sqref="B48:B58" xr:uid="{00000000-0002-0000-0200-000006000000}">
      <formula1>lista_de_categorias_de_despesas_11</formula1>
    </dataValidation>
    <dataValidation type="list" allowBlank="1" sqref="B15:B20" xr:uid="{00000000-0002-0000-0200-000007000000}">
      <formula1>renda</formula1>
    </dataValidation>
    <dataValidation type="list" allowBlank="1" sqref="B63:B68" xr:uid="{00000000-0002-0000-0200-000008000000}">
      <formula1>lista_de_categorias_de_despesas_12</formula1>
    </dataValidation>
  </dataValidations>
  <hyperlinks>
    <hyperlink ref="B49" r:id="rId1" tooltip="Índice Déficit do Saneamento Básico em Minas Gerais" display="https://www.youtube.com/watch?v=4yStvFScRbQ" xr:uid="{00000000-0004-0000-0200-000000000000}"/>
    <hyperlink ref="B48" r:id="rId2" tooltip="Índice Mineiro de Responsabilidade Social 2018 - Porte Populacional" display="https://www.youtube.com/watch?v=KS8LV59hc38" xr:uid="{00000000-0004-0000-0200-000001000000}"/>
  </hyperlinks>
  <pageMargins left="0.7" right="0.7" top="0.75" bottom="0.75" header="0.3" footer="0.3"/>
  <pageSetup paperSize="9" fitToHeight="0" orientation="landscape" r:id="rId3"/>
  <colBreaks count="1" manualBreakCount="1">
    <brk id="16" max="1048575" man="1"/>
  </colBreaks>
  <drawing r:id="rId4"/>
  <picture r:id="rId5"/>
  <tableParts count="9"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3299-7571-45D7-97AF-0656A2C9E84C}">
  <dimension ref="A1:V37"/>
  <sheetViews>
    <sheetView zoomScale="145" zoomScaleNormal="145" workbookViewId="0">
      <selection activeCell="A2" sqref="A2:A11"/>
    </sheetView>
  </sheetViews>
  <sheetFormatPr defaultRowHeight="14.25" x14ac:dyDescent="0.3"/>
  <cols>
    <col min="3" max="3" width="18.7109375" bestFit="1" customWidth="1"/>
    <col min="4" max="4" width="9.140625" style="2"/>
    <col min="5" max="5" width="25.42578125" customWidth="1"/>
    <col min="7" max="7" width="10" bestFit="1" customWidth="1"/>
  </cols>
  <sheetData>
    <row r="1" spans="1:22" x14ac:dyDescent="0.3">
      <c r="A1" t="s">
        <v>13</v>
      </c>
      <c r="B1" t="s">
        <v>138</v>
      </c>
      <c r="C1" t="s">
        <v>109</v>
      </c>
      <c r="D1" s="2" t="s">
        <v>139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146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</row>
    <row r="2" spans="1:22" x14ac:dyDescent="0.3">
      <c r="A2">
        <v>2020</v>
      </c>
      <c r="B2">
        <v>1</v>
      </c>
      <c r="C2">
        <v>25934.87</v>
      </c>
      <c r="D2">
        <v>0</v>
      </c>
      <c r="E2">
        <f>C2-D2</f>
        <v>25934.87</v>
      </c>
      <c r="F2">
        <v>21</v>
      </c>
      <c r="G2">
        <v>25934.87</v>
      </c>
      <c r="H2">
        <v>0</v>
      </c>
      <c r="I2">
        <v>0</v>
      </c>
      <c r="J2">
        <v>0</v>
      </c>
      <c r="K2">
        <v>0</v>
      </c>
      <c r="L2">
        <v>4</v>
      </c>
      <c r="M2">
        <v>11</v>
      </c>
      <c r="N2">
        <v>6</v>
      </c>
      <c r="O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>
        <v>0</v>
      </c>
    </row>
    <row r="3" spans="1:22" x14ac:dyDescent="0.3">
      <c r="A3">
        <v>2020</v>
      </c>
      <c r="B3">
        <v>2</v>
      </c>
      <c r="C3">
        <v>30448.61</v>
      </c>
      <c r="D3">
        <v>0</v>
      </c>
      <c r="E3">
        <f t="shared" ref="E3:E25" si="0">C3-D3</f>
        <v>30448.61</v>
      </c>
      <c r="F3">
        <v>40</v>
      </c>
      <c r="G3">
        <v>30448.61</v>
      </c>
      <c r="H3">
        <v>0</v>
      </c>
      <c r="I3">
        <v>0</v>
      </c>
      <c r="J3">
        <v>0</v>
      </c>
      <c r="K3">
        <v>0</v>
      </c>
      <c r="L3">
        <v>13</v>
      </c>
      <c r="M3">
        <v>27</v>
      </c>
      <c r="N3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2" x14ac:dyDescent="0.3">
      <c r="A4">
        <v>2020</v>
      </c>
      <c r="B4">
        <v>3</v>
      </c>
      <c r="C4">
        <v>55821.06</v>
      </c>
      <c r="D4">
        <v>0</v>
      </c>
      <c r="E4">
        <f t="shared" si="0"/>
        <v>55821.06</v>
      </c>
      <c r="F4">
        <v>30</v>
      </c>
      <c r="G4">
        <v>55821.06</v>
      </c>
      <c r="H4">
        <v>0</v>
      </c>
      <c r="I4">
        <v>0</v>
      </c>
      <c r="J4">
        <v>0</v>
      </c>
      <c r="K4">
        <v>0</v>
      </c>
      <c r="L4">
        <v>12</v>
      </c>
      <c r="M4">
        <v>9</v>
      </c>
      <c r="N4">
        <v>9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2" x14ac:dyDescent="0.3">
      <c r="A5">
        <v>2020</v>
      </c>
      <c r="B5">
        <v>4</v>
      </c>
      <c r="C5">
        <v>24702.94</v>
      </c>
      <c r="D5">
        <v>0</v>
      </c>
      <c r="E5">
        <f t="shared" si="0"/>
        <v>24702.94</v>
      </c>
      <c r="F5">
        <v>43</v>
      </c>
      <c r="G5">
        <v>24702.94</v>
      </c>
      <c r="H5">
        <v>0</v>
      </c>
      <c r="I5">
        <v>0</v>
      </c>
      <c r="J5">
        <v>0</v>
      </c>
      <c r="K5">
        <v>0</v>
      </c>
      <c r="L5">
        <v>19</v>
      </c>
      <c r="M5">
        <v>13</v>
      </c>
      <c r="N5">
        <v>11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2" x14ac:dyDescent="0.3">
      <c r="A6">
        <v>2020</v>
      </c>
      <c r="B6">
        <v>5</v>
      </c>
      <c r="C6">
        <v>37633.97</v>
      </c>
      <c r="D6">
        <v>0</v>
      </c>
      <c r="E6">
        <f t="shared" si="0"/>
        <v>37633.97</v>
      </c>
      <c r="F6">
        <v>41</v>
      </c>
      <c r="G6">
        <v>37633.97</v>
      </c>
      <c r="H6">
        <v>0</v>
      </c>
      <c r="I6">
        <v>0</v>
      </c>
      <c r="J6">
        <v>0</v>
      </c>
      <c r="K6">
        <v>0</v>
      </c>
      <c r="L6">
        <v>11</v>
      </c>
      <c r="M6">
        <v>22</v>
      </c>
      <c r="N6">
        <v>8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2" x14ac:dyDescent="0.3">
      <c r="A7">
        <v>2020</v>
      </c>
      <c r="B7">
        <v>6</v>
      </c>
      <c r="C7">
        <v>38943.86</v>
      </c>
      <c r="D7">
        <v>0</v>
      </c>
      <c r="E7">
        <f t="shared" si="0"/>
        <v>38943.86</v>
      </c>
      <c r="F7">
        <v>33</v>
      </c>
      <c r="G7">
        <v>38943.86</v>
      </c>
      <c r="H7">
        <v>0</v>
      </c>
      <c r="I7">
        <v>0</v>
      </c>
      <c r="J7">
        <v>0</v>
      </c>
      <c r="K7">
        <v>0</v>
      </c>
      <c r="L7">
        <v>16</v>
      </c>
      <c r="M7">
        <v>17</v>
      </c>
      <c r="N7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2" x14ac:dyDescent="0.3">
      <c r="A8">
        <v>2020</v>
      </c>
      <c r="B8">
        <v>7</v>
      </c>
      <c r="C8">
        <v>50393.2</v>
      </c>
      <c r="D8">
        <v>0</v>
      </c>
      <c r="E8">
        <f t="shared" si="0"/>
        <v>50393.2</v>
      </c>
      <c r="F8">
        <v>31</v>
      </c>
      <c r="G8">
        <v>50393.2</v>
      </c>
      <c r="H8">
        <v>0</v>
      </c>
      <c r="I8">
        <v>0</v>
      </c>
      <c r="J8">
        <v>0</v>
      </c>
      <c r="K8">
        <v>0</v>
      </c>
      <c r="L8">
        <v>15</v>
      </c>
      <c r="M8">
        <v>16</v>
      </c>
      <c r="N8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2" x14ac:dyDescent="0.3">
      <c r="A9">
        <v>2020</v>
      </c>
      <c r="B9">
        <v>8</v>
      </c>
      <c r="C9">
        <v>43705.01</v>
      </c>
      <c r="D9">
        <v>0</v>
      </c>
      <c r="E9">
        <f t="shared" si="0"/>
        <v>43705.01</v>
      </c>
      <c r="F9">
        <v>34</v>
      </c>
      <c r="G9">
        <v>43705.01</v>
      </c>
      <c r="H9">
        <v>0</v>
      </c>
      <c r="I9">
        <v>0</v>
      </c>
      <c r="J9">
        <v>0</v>
      </c>
      <c r="K9">
        <v>0</v>
      </c>
      <c r="L9">
        <v>10</v>
      </c>
      <c r="M9">
        <v>24</v>
      </c>
      <c r="N9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2" x14ac:dyDescent="0.3">
      <c r="A10">
        <v>2020</v>
      </c>
      <c r="B10">
        <v>9</v>
      </c>
      <c r="C10">
        <v>127172.42</v>
      </c>
      <c r="D10">
        <v>0</v>
      </c>
      <c r="E10">
        <f t="shared" si="0"/>
        <v>127172.42</v>
      </c>
      <c r="F10">
        <v>27</v>
      </c>
      <c r="G10">
        <v>127172.42</v>
      </c>
      <c r="H10">
        <v>0</v>
      </c>
      <c r="I10">
        <v>0</v>
      </c>
      <c r="J10">
        <v>0</v>
      </c>
      <c r="K10">
        <v>0</v>
      </c>
      <c r="L10">
        <v>17</v>
      </c>
      <c r="M10">
        <v>10</v>
      </c>
      <c r="N10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2" x14ac:dyDescent="0.3">
      <c r="A11">
        <v>2020</v>
      </c>
      <c r="B11">
        <v>10</v>
      </c>
      <c r="C11">
        <v>29993.74</v>
      </c>
      <c r="D11">
        <v>0</v>
      </c>
      <c r="E11">
        <f t="shared" si="0"/>
        <v>29993.74</v>
      </c>
      <c r="F11">
        <v>23</v>
      </c>
      <c r="G11">
        <v>29993.74</v>
      </c>
      <c r="H11">
        <v>0</v>
      </c>
      <c r="I11">
        <v>0</v>
      </c>
      <c r="J11">
        <v>0</v>
      </c>
      <c r="K11">
        <v>0</v>
      </c>
      <c r="L11">
        <v>22</v>
      </c>
      <c r="M11">
        <v>0</v>
      </c>
      <c r="N11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2" x14ac:dyDescent="0.3">
      <c r="A12">
        <v>2020</v>
      </c>
      <c r="B12">
        <v>11</v>
      </c>
      <c r="C12">
        <v>51351</v>
      </c>
      <c r="D12">
        <v>0</v>
      </c>
      <c r="E12">
        <f t="shared" si="0"/>
        <v>51351</v>
      </c>
      <c r="F12">
        <v>51</v>
      </c>
      <c r="G12">
        <v>51351</v>
      </c>
      <c r="H12">
        <v>0</v>
      </c>
      <c r="I12">
        <v>0</v>
      </c>
      <c r="J12">
        <v>0</v>
      </c>
      <c r="K12">
        <v>0</v>
      </c>
      <c r="L12">
        <v>32</v>
      </c>
      <c r="M12">
        <v>19</v>
      </c>
      <c r="N1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2" x14ac:dyDescent="0.3">
      <c r="A13">
        <v>2020</v>
      </c>
      <c r="B13">
        <v>12</v>
      </c>
      <c r="C13">
        <v>64814.46</v>
      </c>
      <c r="D13">
        <v>0</v>
      </c>
      <c r="E13">
        <f t="shared" si="0"/>
        <v>64814.46</v>
      </c>
      <c r="F13">
        <v>30</v>
      </c>
      <c r="G13">
        <v>64814.46</v>
      </c>
      <c r="H13">
        <v>0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2" x14ac:dyDescent="0.3">
      <c r="A14">
        <v>2021</v>
      </c>
      <c r="B14">
        <v>1</v>
      </c>
      <c r="C14">
        <f>SUM(tblRenda[jan])</f>
        <v>25934.87</v>
      </c>
      <c r="D14">
        <v>0</v>
      </c>
      <c r="E14">
        <f t="shared" si="0"/>
        <v>25934.87</v>
      </c>
      <c r="F14">
        <v>77</v>
      </c>
      <c r="G14">
        <v>17872.610000000004</v>
      </c>
      <c r="H14">
        <v>0</v>
      </c>
      <c r="I14">
        <v>0</v>
      </c>
      <c r="J14">
        <v>0</v>
      </c>
      <c r="K14">
        <f>tblRenda[[#Totals],[jan]]</f>
        <v>25934.87</v>
      </c>
      <c r="L14">
        <v>17</v>
      </c>
      <c r="M14">
        <v>60</v>
      </c>
      <c r="N14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2" x14ac:dyDescent="0.3">
      <c r="A15">
        <v>2021</v>
      </c>
      <c r="B15">
        <v>2</v>
      </c>
      <c r="C15">
        <f>SUM(tblRenda[feb])</f>
        <v>30759.14</v>
      </c>
      <c r="D15">
        <v>0</v>
      </c>
      <c r="E15">
        <f t="shared" si="0"/>
        <v>30759.14</v>
      </c>
      <c r="F15">
        <v>48</v>
      </c>
      <c r="G15">
        <v>25817.629999999994</v>
      </c>
      <c r="H15">
        <v>0</v>
      </c>
      <c r="I15">
        <v>0</v>
      </c>
      <c r="J15">
        <v>0</v>
      </c>
      <c r="K15">
        <f>tblRenda[[#Totals],[feb]]</f>
        <v>30759.14</v>
      </c>
      <c r="L15">
        <v>30</v>
      </c>
      <c r="M15">
        <v>18</v>
      </c>
      <c r="N15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2" x14ac:dyDescent="0.3">
      <c r="A16">
        <v>2021</v>
      </c>
      <c r="B16">
        <v>3</v>
      </c>
      <c r="C16">
        <f>SUM(tblRenda[mar])</f>
        <v>60021.06</v>
      </c>
      <c r="D16">
        <v>0</v>
      </c>
      <c r="E16">
        <f t="shared" si="0"/>
        <v>60021.06</v>
      </c>
      <c r="F16">
        <v>53</v>
      </c>
      <c r="G16">
        <v>35296.55999999999</v>
      </c>
      <c r="H16">
        <v>0</v>
      </c>
      <c r="I16">
        <v>0</v>
      </c>
      <c r="J16">
        <v>0</v>
      </c>
      <c r="K16">
        <f>tblRenda[[#Totals],[mar]]</f>
        <v>60021.06</v>
      </c>
      <c r="L16">
        <v>38</v>
      </c>
      <c r="M16">
        <v>15</v>
      </c>
      <c r="N16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/>
    </row>
    <row r="17" spans="1:21" x14ac:dyDescent="0.3">
      <c r="A17">
        <v>2021</v>
      </c>
      <c r="B17">
        <v>4</v>
      </c>
      <c r="C17">
        <f>SUM(tblRenda[apr])</f>
        <v>33102.94</v>
      </c>
      <c r="D17">
        <v>0</v>
      </c>
      <c r="E17">
        <f t="shared" si="0"/>
        <v>33102.94</v>
      </c>
      <c r="F17">
        <v>41</v>
      </c>
      <c r="G17">
        <v>24702.939999999995</v>
      </c>
      <c r="H17">
        <v>0</v>
      </c>
      <c r="I17">
        <v>0</v>
      </c>
      <c r="J17">
        <v>0</v>
      </c>
      <c r="K17">
        <f>tblRenda[[#Totals],[apr]]</f>
        <v>33102.94</v>
      </c>
      <c r="L17">
        <v>38</v>
      </c>
      <c r="M17">
        <v>3</v>
      </c>
      <c r="N17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3">
      <c r="A18">
        <v>2021</v>
      </c>
      <c r="B18">
        <v>5</v>
      </c>
      <c r="C18">
        <f>SUM(tblRenda[may])</f>
        <v>225583.97</v>
      </c>
      <c r="D18">
        <v>0</v>
      </c>
      <c r="E18">
        <f t="shared" si="0"/>
        <v>225583.97</v>
      </c>
      <c r="F18">
        <v>37</v>
      </c>
      <c r="G18">
        <v>28383.69999999999</v>
      </c>
      <c r="H18">
        <v>0</v>
      </c>
      <c r="I18">
        <v>0</v>
      </c>
      <c r="J18">
        <v>0</v>
      </c>
      <c r="K18">
        <f>tblRenda[[#Totals],[may]]-187950</f>
        <v>37633.97</v>
      </c>
      <c r="L18">
        <v>27</v>
      </c>
      <c r="M18">
        <v>10</v>
      </c>
      <c r="N18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3">
      <c r="A19">
        <v>2021</v>
      </c>
      <c r="B19">
        <v>6</v>
      </c>
      <c r="C19">
        <f>SUM(tblRenda[jun])</f>
        <v>38943.86</v>
      </c>
      <c r="D19">
        <v>0</v>
      </c>
      <c r="E19">
        <f t="shared" si="0"/>
        <v>38943.86</v>
      </c>
      <c r="F19">
        <v>51</v>
      </c>
      <c r="G19">
        <v>24508.439999999995</v>
      </c>
      <c r="H19">
        <v>0</v>
      </c>
      <c r="I19">
        <v>0</v>
      </c>
      <c r="J19">
        <v>0</v>
      </c>
      <c r="K19">
        <f>tblRenda[[#Totals],[jun]]</f>
        <v>38943.86</v>
      </c>
      <c r="L19">
        <v>31</v>
      </c>
      <c r="M19">
        <v>20</v>
      </c>
      <c r="N19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3">
      <c r="A20">
        <v>2021</v>
      </c>
      <c r="B20">
        <v>7</v>
      </c>
      <c r="C20">
        <f>SUM(tblRenda[jul])</f>
        <v>50393.2</v>
      </c>
      <c r="D20">
        <v>0</v>
      </c>
      <c r="E20">
        <f t="shared" si="0"/>
        <v>50393.2</v>
      </c>
      <c r="F20">
        <v>38</v>
      </c>
      <c r="G20">
        <v>32401.149999999983</v>
      </c>
      <c r="H20">
        <v>0</v>
      </c>
      <c r="I20">
        <v>0</v>
      </c>
      <c r="J20">
        <v>0</v>
      </c>
      <c r="K20">
        <f>tblRenda[[#Totals],[jul]]</f>
        <v>50393.2</v>
      </c>
      <c r="L20">
        <v>9</v>
      </c>
      <c r="M20">
        <v>29</v>
      </c>
      <c r="N20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3">
      <c r="A21">
        <v>2021</v>
      </c>
      <c r="B21">
        <v>8</v>
      </c>
      <c r="C21">
        <f>SUM(tblRenda[aug])</f>
        <v>43705.01</v>
      </c>
      <c r="D21">
        <v>0</v>
      </c>
      <c r="E21">
        <f t="shared" si="0"/>
        <v>43705.01</v>
      </c>
      <c r="F21">
        <v>37</v>
      </c>
      <c r="G21">
        <v>25623.129999999994</v>
      </c>
      <c r="H21">
        <v>0</v>
      </c>
      <c r="I21">
        <v>0</v>
      </c>
      <c r="J21">
        <v>0</v>
      </c>
      <c r="K21">
        <v>0</v>
      </c>
      <c r="L21">
        <v>36</v>
      </c>
      <c r="M21">
        <v>1</v>
      </c>
      <c r="N21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3">
      <c r="A22">
        <v>2021</v>
      </c>
      <c r="B22">
        <v>9</v>
      </c>
      <c r="C22">
        <f>SUM(tblRenda[sep])</f>
        <v>127172.42</v>
      </c>
      <c r="D22">
        <v>0</v>
      </c>
      <c r="E22">
        <f t="shared" si="0"/>
        <v>127172.42</v>
      </c>
      <c r="F22">
        <v>32</v>
      </c>
      <c r="G22">
        <v>45721.54000000003</v>
      </c>
      <c r="H22">
        <v>0</v>
      </c>
      <c r="I22">
        <v>0</v>
      </c>
      <c r="J22">
        <v>0</v>
      </c>
      <c r="K22">
        <v>0</v>
      </c>
      <c r="L22">
        <v>23</v>
      </c>
      <c r="M22">
        <v>9</v>
      </c>
      <c r="N2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3">
      <c r="A23">
        <v>2021</v>
      </c>
      <c r="B23">
        <v>10</v>
      </c>
      <c r="C23">
        <f>SUM(tblRenda[oct])</f>
        <v>29993.74</v>
      </c>
      <c r="D23">
        <v>0</v>
      </c>
      <c r="E23">
        <f t="shared" si="0"/>
        <v>29993.74</v>
      </c>
      <c r="F23">
        <v>36</v>
      </c>
      <c r="G23">
        <v>22668.059999999998</v>
      </c>
      <c r="H23">
        <v>0</v>
      </c>
      <c r="I23">
        <v>0</v>
      </c>
      <c r="J23">
        <v>0</v>
      </c>
      <c r="K23">
        <v>0</v>
      </c>
      <c r="L23">
        <v>21</v>
      </c>
      <c r="M23">
        <v>15</v>
      </c>
      <c r="N23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3">
      <c r="A24">
        <v>2021</v>
      </c>
      <c r="B24">
        <v>11</v>
      </c>
      <c r="C24">
        <f>SUM(tblRenda[nov])</f>
        <v>51351</v>
      </c>
      <c r="D24">
        <v>0</v>
      </c>
      <c r="E24">
        <f t="shared" si="0"/>
        <v>51351</v>
      </c>
      <c r="F24">
        <v>45</v>
      </c>
      <c r="G24">
        <v>35745.219999999994</v>
      </c>
      <c r="H24">
        <v>0</v>
      </c>
      <c r="I24">
        <v>0</v>
      </c>
      <c r="J24">
        <v>0</v>
      </c>
      <c r="K24">
        <v>0</v>
      </c>
      <c r="L24">
        <v>36</v>
      </c>
      <c r="M24">
        <v>9</v>
      </c>
      <c r="N24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3">
      <c r="A25">
        <v>2021</v>
      </c>
      <c r="B25">
        <v>12</v>
      </c>
      <c r="C25">
        <f>SUM(tblRenda[dec])</f>
        <v>64814.46</v>
      </c>
      <c r="D25">
        <v>0</v>
      </c>
      <c r="E25">
        <f t="shared" si="0"/>
        <v>64814.46</v>
      </c>
      <c r="F25">
        <v>46</v>
      </c>
      <c r="G25">
        <v>32064.459999999985</v>
      </c>
      <c r="H25">
        <v>0</v>
      </c>
      <c r="I25">
        <v>0</v>
      </c>
      <c r="J25">
        <v>0</v>
      </c>
      <c r="K25">
        <v>0</v>
      </c>
      <c r="L25">
        <v>27</v>
      </c>
      <c r="M25">
        <v>19</v>
      </c>
      <c r="N25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ht="14.25" customHeight="1" x14ac:dyDescent="0.3">
      <c r="A26">
        <v>2022</v>
      </c>
      <c r="B26">
        <v>1</v>
      </c>
      <c r="C26">
        <v>27269.009999999991</v>
      </c>
      <c r="D26">
        <v>782538</v>
      </c>
      <c r="F26" s="2">
        <v>54</v>
      </c>
      <c r="G26">
        <v>27269.009999999991</v>
      </c>
      <c r="H26">
        <v>0</v>
      </c>
      <c r="I26">
        <v>0</v>
      </c>
      <c r="J26">
        <v>0</v>
      </c>
      <c r="K26">
        <v>0</v>
      </c>
      <c r="L26">
        <v>31</v>
      </c>
      <c r="M26">
        <v>23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2</v>
      </c>
    </row>
    <row r="27" spans="1:21" ht="14.25" customHeight="1" x14ac:dyDescent="0.3">
      <c r="A27">
        <v>2022</v>
      </c>
      <c r="B27">
        <v>2</v>
      </c>
      <c r="C27">
        <v>34293.839999999989</v>
      </c>
      <c r="D27">
        <v>782538</v>
      </c>
      <c r="F27" s="2">
        <v>23</v>
      </c>
      <c r="G27">
        <v>34293.839999999989</v>
      </c>
      <c r="H27">
        <v>0</v>
      </c>
      <c r="I27">
        <v>310.52999999999997</v>
      </c>
      <c r="J27">
        <v>0</v>
      </c>
      <c r="K27">
        <v>0</v>
      </c>
      <c r="L27">
        <v>10</v>
      </c>
      <c r="M27">
        <v>13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</row>
    <row r="28" spans="1:21" ht="14.25" customHeight="1" x14ac:dyDescent="0.3">
      <c r="A28">
        <v>2022</v>
      </c>
      <c r="B28">
        <v>3</v>
      </c>
      <c r="C28">
        <v>45803.040000000001</v>
      </c>
      <c r="D28">
        <v>782538</v>
      </c>
      <c r="F28" s="2">
        <v>54</v>
      </c>
      <c r="G28">
        <v>45803.040000000001</v>
      </c>
      <c r="H28">
        <v>4200</v>
      </c>
      <c r="I28">
        <v>0</v>
      </c>
      <c r="J28">
        <v>0</v>
      </c>
      <c r="K28">
        <v>0</v>
      </c>
      <c r="L28">
        <v>33</v>
      </c>
      <c r="M28">
        <v>21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U28">
        <v>3</v>
      </c>
    </row>
    <row r="29" spans="1:21" ht="14.25" customHeight="1" x14ac:dyDescent="0.3">
      <c r="A29">
        <v>2022</v>
      </c>
      <c r="B29">
        <v>4</v>
      </c>
      <c r="C29">
        <v>52566.51</v>
      </c>
      <c r="D29">
        <v>782538</v>
      </c>
      <c r="F29" s="2">
        <v>31</v>
      </c>
      <c r="G29">
        <v>52566.51</v>
      </c>
      <c r="H29">
        <v>8400</v>
      </c>
      <c r="I29">
        <v>0</v>
      </c>
      <c r="J29">
        <v>0</v>
      </c>
      <c r="K29">
        <v>0</v>
      </c>
      <c r="L29">
        <v>20</v>
      </c>
      <c r="M29">
        <v>11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</row>
    <row r="30" spans="1:21" ht="14.25" customHeight="1" x14ac:dyDescent="0.3">
      <c r="A30">
        <v>2022</v>
      </c>
      <c r="B30">
        <v>5</v>
      </c>
      <c r="C30">
        <v>0</v>
      </c>
      <c r="D30">
        <v>782538</v>
      </c>
      <c r="G30">
        <v>0</v>
      </c>
      <c r="H30">
        <v>0</v>
      </c>
      <c r="I30">
        <v>0</v>
      </c>
      <c r="J30">
        <f>67125+53700+67125</f>
        <v>187950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</v>
      </c>
      <c r="T30">
        <v>0</v>
      </c>
      <c r="U30" s="84"/>
    </row>
    <row r="31" spans="1:21" ht="14.25" customHeight="1" x14ac:dyDescent="0.3">
      <c r="A31">
        <v>2022</v>
      </c>
      <c r="B31">
        <v>6</v>
      </c>
      <c r="C31">
        <v>0</v>
      </c>
      <c r="D31">
        <v>782538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</row>
    <row r="32" spans="1:21" ht="14.25" customHeight="1" x14ac:dyDescent="0.3">
      <c r="A32">
        <v>2022</v>
      </c>
      <c r="B32">
        <v>7</v>
      </c>
      <c r="C32">
        <v>0</v>
      </c>
      <c r="D32">
        <v>782538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</row>
    <row r="33" spans="1:20" ht="14.25" customHeight="1" x14ac:dyDescent="0.3">
      <c r="A33">
        <v>2022</v>
      </c>
      <c r="B33">
        <v>8</v>
      </c>
      <c r="C33">
        <v>0</v>
      </c>
      <c r="D33">
        <v>782538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1</v>
      </c>
      <c r="S33">
        <v>1</v>
      </c>
      <c r="T33">
        <v>0</v>
      </c>
    </row>
    <row r="34" spans="1:20" ht="14.25" customHeight="1" x14ac:dyDescent="0.3">
      <c r="A34">
        <v>2022</v>
      </c>
      <c r="B34">
        <v>9</v>
      </c>
      <c r="C34">
        <v>0</v>
      </c>
      <c r="D34">
        <v>782538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1</v>
      </c>
      <c r="S34">
        <v>1</v>
      </c>
      <c r="T34">
        <v>0</v>
      </c>
    </row>
    <row r="35" spans="1:20" ht="14.25" customHeight="1" x14ac:dyDescent="0.3">
      <c r="A35">
        <v>2022</v>
      </c>
      <c r="B35">
        <v>10</v>
      </c>
      <c r="C35">
        <v>0</v>
      </c>
      <c r="D35">
        <v>782538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</row>
    <row r="36" spans="1:20" ht="14.25" customHeight="1" x14ac:dyDescent="0.3">
      <c r="A36">
        <v>2022</v>
      </c>
      <c r="B36">
        <v>11</v>
      </c>
      <c r="C36">
        <v>0</v>
      </c>
      <c r="D36">
        <v>782538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1</v>
      </c>
      <c r="T36">
        <v>0</v>
      </c>
    </row>
    <row r="37" spans="1:20" ht="14.25" customHeight="1" x14ac:dyDescent="0.3">
      <c r="A37">
        <v>2022</v>
      </c>
      <c r="B37">
        <v>12</v>
      </c>
      <c r="C37">
        <v>0</v>
      </c>
      <c r="D37">
        <v>782538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1</v>
      </c>
      <c r="S37">
        <v>0</v>
      </c>
      <c r="T37"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0831-B61E-4448-AFDE-A23E3A35D87D}">
  <dimension ref="A1:H5"/>
  <sheetViews>
    <sheetView zoomScale="205" zoomScaleNormal="205" workbookViewId="0">
      <selection activeCell="D6" sqref="D6"/>
    </sheetView>
  </sheetViews>
  <sheetFormatPr defaultRowHeight="14.25" x14ac:dyDescent="0.3"/>
  <cols>
    <col min="1" max="2" width="9.140625" style="2"/>
    <col min="3" max="3" width="13.28515625" bestFit="1" customWidth="1"/>
    <col min="4" max="4" width="26" bestFit="1" customWidth="1"/>
    <col min="8" max="8" width="25.85546875" bestFit="1" customWidth="1"/>
  </cols>
  <sheetData>
    <row r="1" spans="1:8" x14ac:dyDescent="0.3">
      <c r="A1" s="2" t="s">
        <v>136</v>
      </c>
      <c r="B1" t="s">
        <v>137</v>
      </c>
      <c r="C1" t="s">
        <v>134</v>
      </c>
      <c r="D1" t="s">
        <v>135</v>
      </c>
      <c r="E1" s="2" t="s">
        <v>132</v>
      </c>
      <c r="H1" t="s">
        <v>130</v>
      </c>
    </row>
    <row r="2" spans="1:8" s="2" customFormat="1" x14ac:dyDescent="0.3">
      <c r="A2" s="2" t="s">
        <v>121</v>
      </c>
      <c r="B2" t="s">
        <v>120</v>
      </c>
      <c r="C2" t="s">
        <v>122</v>
      </c>
      <c r="D2" t="s">
        <v>126</v>
      </c>
      <c r="E2" s="83" t="s">
        <v>133</v>
      </c>
      <c r="H2" s="123" t="s">
        <v>131</v>
      </c>
    </row>
    <row r="3" spans="1:8" x14ac:dyDescent="0.3">
      <c r="C3" t="s">
        <v>123</v>
      </c>
      <c r="D3" t="s">
        <v>127</v>
      </c>
    </row>
    <row r="4" spans="1:8" x14ac:dyDescent="0.3">
      <c r="C4" t="s">
        <v>124</v>
      </c>
      <c r="D4" t="s">
        <v>128</v>
      </c>
    </row>
    <row r="5" spans="1:8" x14ac:dyDescent="0.3">
      <c r="C5" t="s">
        <v>125</v>
      </c>
      <c r="D5" t="s">
        <v>129</v>
      </c>
    </row>
  </sheetData>
  <hyperlinks>
    <hyperlink ref="H2" r:id="rId1" xr:uid="{A3B40FB6-27FB-401E-B484-0CE1864FD227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P40"/>
  <sheetViews>
    <sheetView showGridLines="0" workbookViewId="0">
      <selection activeCell="C37" sqref="C37"/>
    </sheetView>
  </sheetViews>
  <sheetFormatPr defaultRowHeight="14.25" x14ac:dyDescent="0.3"/>
  <cols>
    <col min="2" max="2" width="32.28515625" customWidth="1"/>
  </cols>
  <sheetData>
    <row r="1" spans="2:16" x14ac:dyDescent="0.3">
      <c r="B1" t="s">
        <v>16</v>
      </c>
    </row>
    <row r="4" spans="2:16" x14ac:dyDescent="0.3">
      <c r="B4" t="s">
        <v>15</v>
      </c>
      <c r="C4">
        <v>1</v>
      </c>
    </row>
    <row r="5" spans="2:16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x14ac:dyDescent="0.3">
      <c r="C6" t="s">
        <v>1</v>
      </c>
      <c r="D6" t="s">
        <v>6</v>
      </c>
      <c r="E6" t="s">
        <v>2</v>
      </c>
      <c r="F6" t="s">
        <v>7</v>
      </c>
      <c r="G6" t="s">
        <v>8</v>
      </c>
      <c r="H6" t="s">
        <v>3</v>
      </c>
      <c r="I6" t="s">
        <v>4</v>
      </c>
      <c r="J6" t="s">
        <v>9</v>
      </c>
      <c r="K6" t="s">
        <v>10</v>
      </c>
      <c r="L6" t="s">
        <v>11</v>
      </c>
      <c r="M6" t="s">
        <v>5</v>
      </c>
      <c r="N6" t="s">
        <v>12</v>
      </c>
      <c r="O6" t="s">
        <v>13</v>
      </c>
      <c r="P6" t="s">
        <v>14</v>
      </c>
    </row>
    <row r="7" spans="2:16" x14ac:dyDescent="0.3">
      <c r="B7" s="2" t="str">
        <f>LOWER(Dados!B73)</f>
        <v xml:space="preserve"> </v>
      </c>
      <c r="C7" s="1">
        <f>SUM(tblCategoriaDespesa_15[jan])</f>
        <v>0</v>
      </c>
      <c r="D7" s="1">
        <f>SUM(tblCategoriaDespesa_15[feb])</f>
        <v>0</v>
      </c>
      <c r="E7" s="1">
        <f>SUM(tblCategoriaDespesa_15[mar])</f>
        <v>0</v>
      </c>
      <c r="F7" s="1">
        <f>SUM(tblCategoriaDespesa_15[apr])</f>
        <v>0</v>
      </c>
      <c r="G7" s="1">
        <f>SUM(tblCategoriaDespesa_15[may])</f>
        <v>0</v>
      </c>
      <c r="H7" s="1">
        <f>SUM(tblCategoriaDespesa_15[jun])</f>
        <v>0</v>
      </c>
      <c r="I7" s="1">
        <f>SUM(tblCategoriaDespesa_15[jul])</f>
        <v>0</v>
      </c>
      <c r="J7" s="1">
        <f>SUM(tblCategoriaDespesa_15[aug])</f>
        <v>0</v>
      </c>
      <c r="K7" s="1">
        <f>SUM(tblCategoriaDespesa_15[sep])</f>
        <v>0</v>
      </c>
      <c r="L7" s="1">
        <f>SUM(tblCategoriaDespesa_15[oct])</f>
        <v>0</v>
      </c>
      <c r="M7" s="1">
        <f>SUM(tblCategoriaDespesa_15[nov])</f>
        <v>0</v>
      </c>
      <c r="N7" s="1">
        <f>SUM(tblCategoriaDespesa_15[dec])</f>
        <v>0</v>
      </c>
      <c r="O7" s="1">
        <f>SUM(tblCategoriaDespesa_15[year])</f>
        <v>0</v>
      </c>
      <c r="P7" s="1">
        <f>SUM(tblCategoriaDespesa_15[avg])</f>
        <v>0</v>
      </c>
    </row>
    <row r="8" spans="2:16" x14ac:dyDescent="0.3">
      <c r="B8" s="2" t="e">
        <f>LOWER(Dados!#REF!)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</row>
    <row r="9" spans="2:16" x14ac:dyDescent="0.3">
      <c r="B9" s="2"/>
      <c r="C9" s="1" t="e">
        <f>SUM(#REF!)</f>
        <v>#REF!</v>
      </c>
      <c r="D9" s="1" t="e">
        <f>SUM(#REF!)</f>
        <v>#REF!</v>
      </c>
      <c r="E9" s="1" t="e">
        <f>SUM(#REF!)</f>
        <v>#REF!</v>
      </c>
      <c r="F9" s="1" t="e">
        <f>SUM(#REF!)</f>
        <v>#REF!</v>
      </c>
      <c r="G9" s="1" t="e">
        <f>SUM(#REF!)</f>
        <v>#REF!</v>
      </c>
      <c r="H9" s="1" t="e">
        <f>SUM(#REF!)</f>
        <v>#REF!</v>
      </c>
      <c r="I9" s="1" t="e">
        <f>SUM(#REF!)</f>
        <v>#REF!</v>
      </c>
      <c r="J9" s="1" t="e">
        <f>SUM(#REF!)</f>
        <v>#REF!</v>
      </c>
      <c r="K9" s="1" t="e">
        <f>SUM(#REF!)</f>
        <v>#REF!</v>
      </c>
      <c r="L9" s="1" t="e">
        <f>SUM(#REF!)</f>
        <v>#REF!</v>
      </c>
      <c r="M9" s="1" t="e">
        <f>SUM(#REF!)</f>
        <v>#REF!</v>
      </c>
      <c r="N9" s="1" t="e">
        <f>SUM(#REF!)</f>
        <v>#REF!</v>
      </c>
      <c r="O9" s="1" t="e">
        <f>SUM(#REF!)</f>
        <v>#REF!</v>
      </c>
      <c r="P9" s="1" t="e">
        <f>SUM(#REF!)</f>
        <v>#REF!</v>
      </c>
    </row>
    <row r="10" spans="2:16" x14ac:dyDescent="0.3">
      <c r="B10" s="2" t="str">
        <f>LOWER(Dados!B62)</f>
        <v>publicações vale alim.</v>
      </c>
      <c r="C10" s="1">
        <f>SUM(tblCategoriaDespesa_12[jan])</f>
        <v>2</v>
      </c>
      <c r="D10" s="1">
        <f>SUM(tblCategoriaDespesa_12[feb])</f>
        <v>1</v>
      </c>
      <c r="E10" s="1">
        <f>SUM(tblCategoriaDespesa_12[mar])</f>
        <v>3</v>
      </c>
      <c r="F10" s="1">
        <f>SUM(tblCategoriaDespesa_12[apr])</f>
        <v>1</v>
      </c>
      <c r="G10" s="1">
        <f>SUM(tblCategoriaDespesa_12[may])</f>
        <v>3</v>
      </c>
      <c r="H10" s="1">
        <f>SUM(tblCategoriaDespesa_12[jun])</f>
        <v>4</v>
      </c>
      <c r="I10" s="1">
        <f>SUM(tblCategoriaDespesa_12[jul])</f>
        <v>1</v>
      </c>
      <c r="J10" s="1">
        <f>SUM(tblCategoriaDespesa_12[aug])</f>
        <v>4</v>
      </c>
      <c r="K10" s="1">
        <f>SUM(tblCategoriaDespesa_12[sep])</f>
        <v>4</v>
      </c>
      <c r="L10" s="1">
        <f>SUM(tblCategoriaDespesa_12[oct])</f>
        <v>1</v>
      </c>
      <c r="M10" s="1">
        <f>SUM(tblCategoriaDespesa_12[nov])</f>
        <v>3</v>
      </c>
      <c r="N10" s="1">
        <f>SUM(tblCategoriaDespesa_12[dec])</f>
        <v>5</v>
      </c>
      <c r="O10" s="1">
        <f>SUM(tblCategoriaDespesa_12[year])</f>
        <v>32</v>
      </c>
      <c r="P10" s="1">
        <f>SUM(tblCategoriaDespesa_12[avg])</f>
        <v>2.6666666666666665</v>
      </c>
    </row>
    <row r="11" spans="2:16" x14ac:dyDescent="0.3">
      <c r="B11" s="2" t="str">
        <f>LOWER(Dados!B45)</f>
        <v>webinários 2022</v>
      </c>
      <c r="C11" s="1">
        <f>SUM(tblCategoriaDespesa_11[jan])</f>
        <v>361</v>
      </c>
      <c r="D11" s="1">
        <f>SUM(tblCategoriaDespesa_11[feb])</f>
        <v>0</v>
      </c>
      <c r="E11" s="1">
        <f>SUM(tblCategoriaDespesa_11[mar])</f>
        <v>0</v>
      </c>
      <c r="F11" s="1">
        <f>SUM(tblCategoriaDespesa_11[apr])</f>
        <v>0</v>
      </c>
      <c r="G11" s="1">
        <f>SUM(tblCategoriaDespesa_11[may])</f>
        <v>0</v>
      </c>
      <c r="H11" s="1">
        <f>SUM(tblCategoriaDespesa_11[jun])</f>
        <v>0</v>
      </c>
      <c r="I11" s="1">
        <f>SUM(tblCategoriaDespesa_11[jul])</f>
        <v>0</v>
      </c>
      <c r="J11" s="1">
        <f>SUM(tblCategoriaDespesa_11[aug])</f>
        <v>0</v>
      </c>
      <c r="K11" s="1">
        <f>SUM(tblCategoriaDespesa_11[sep])</f>
        <v>0</v>
      </c>
      <c r="L11" s="1">
        <f>SUM(tblCategoriaDespesa_11[oct])</f>
        <v>0</v>
      </c>
      <c r="M11" s="1">
        <f>SUM(tblCategoriaDespesa_11[nov])</f>
        <v>0</v>
      </c>
      <c r="N11" s="1">
        <f>SUM(tblCategoriaDespesa_11[dec])</f>
        <v>0</v>
      </c>
      <c r="O11" s="1">
        <f>SUM(tblCategoriaDespesa_11[year])</f>
        <v>361</v>
      </c>
      <c r="P11" s="1">
        <f>SUM(tblCategoriaDespesa_11[avg])</f>
        <v>30.083333333333336</v>
      </c>
    </row>
    <row r="12" spans="2:16" x14ac:dyDescent="0.3">
      <c r="B12" s="2" t="e">
        <f>LOWER(Dados!#REF!)</f>
        <v>#REF!</v>
      </c>
      <c r="C12" s="1" t="e">
        <f>SUM(#REF!)</f>
        <v>#REF!</v>
      </c>
      <c r="D12" s="1" t="e">
        <f>SUM(#REF!)</f>
        <v>#REF!</v>
      </c>
      <c r="E12" s="1" t="e">
        <f>SUM(#REF!)</f>
        <v>#REF!</v>
      </c>
      <c r="F12" s="1" t="e">
        <f>SUM(#REF!)</f>
        <v>#REF!</v>
      </c>
      <c r="G12" s="1" t="e">
        <f>SUM(#REF!)</f>
        <v>#REF!</v>
      </c>
      <c r="H12" s="1" t="e">
        <f>SUM(#REF!)</f>
        <v>#REF!</v>
      </c>
      <c r="I12" s="1" t="e">
        <f>SUM(#REF!)</f>
        <v>#REF!</v>
      </c>
      <c r="J12" s="1" t="e">
        <f>SUM(#REF!)</f>
        <v>#REF!</v>
      </c>
      <c r="K12" s="1" t="e">
        <f>SUM(#REF!)</f>
        <v>#REF!</v>
      </c>
      <c r="L12" s="1" t="e">
        <f>SUM(#REF!)</f>
        <v>#REF!</v>
      </c>
      <c r="M12" s="1" t="e">
        <f>SUM(#REF!)</f>
        <v>#REF!</v>
      </c>
      <c r="N12" s="1" t="e">
        <f>SUM(#REF!)</f>
        <v>#REF!</v>
      </c>
      <c r="O12" s="1" t="e">
        <f>SUM(#REF!)</f>
        <v>#REF!</v>
      </c>
      <c r="P12" s="1" t="e">
        <f>SUM(#REF!)</f>
        <v>#REF!</v>
      </c>
    </row>
    <row r="13" spans="2:16" x14ac:dyDescent="0.3">
      <c r="B13" s="2" t="e">
        <f>LOWER(Dados!#REF!)</f>
        <v>#REF!</v>
      </c>
      <c r="C13" s="1" t="e">
        <f>SUM(#REF!)</f>
        <v>#REF!</v>
      </c>
      <c r="D13" s="1" t="e">
        <f>SUM(#REF!)</f>
        <v>#REF!</v>
      </c>
      <c r="E13" s="1" t="e">
        <f>SUM(#REF!)</f>
        <v>#REF!</v>
      </c>
      <c r="F13" s="1" t="e">
        <f>SUM(#REF!)</f>
        <v>#REF!</v>
      </c>
      <c r="G13" s="1" t="e">
        <f>SUM(#REF!)</f>
        <v>#REF!</v>
      </c>
      <c r="H13" s="1" t="e">
        <f>SUM(#REF!)</f>
        <v>#REF!</v>
      </c>
      <c r="I13" s="1" t="e">
        <f>SUM(#REF!)</f>
        <v>#REF!</v>
      </c>
      <c r="J13" s="1" t="e">
        <f>SUM(#REF!)</f>
        <v>#REF!</v>
      </c>
      <c r="K13" s="1" t="e">
        <f>SUM(#REF!)</f>
        <v>#REF!</v>
      </c>
      <c r="L13" s="1" t="e">
        <f>SUM(#REF!)</f>
        <v>#REF!</v>
      </c>
      <c r="M13" s="1" t="e">
        <f>SUM(#REF!)</f>
        <v>#REF!</v>
      </c>
      <c r="N13" s="1" t="e">
        <f>SUM(#REF!)</f>
        <v>#REF!</v>
      </c>
      <c r="O13" s="1" t="e">
        <f>SUM(#REF!)</f>
        <v>#REF!</v>
      </c>
      <c r="P13" s="1" t="e">
        <f>SUM(#REF!)</f>
        <v>#REF!</v>
      </c>
    </row>
    <row r="14" spans="2:16" x14ac:dyDescent="0.3">
      <c r="B14" s="2" t="e">
        <f>LOWER(Dados!#REF!)</f>
        <v>#REF!</v>
      </c>
      <c r="C14" s="1" t="e">
        <f>SUM(#REF!)</f>
        <v>#REF!</v>
      </c>
      <c r="D14" s="1" t="e">
        <f>SUM(#REF!)</f>
        <v>#REF!</v>
      </c>
      <c r="E14" s="1" t="e">
        <f>SUM(#REF!)</f>
        <v>#REF!</v>
      </c>
      <c r="F14" s="1" t="e">
        <f>SUM(#REF!)</f>
        <v>#REF!</v>
      </c>
      <c r="G14" s="1" t="e">
        <f>SUM(#REF!)</f>
        <v>#REF!</v>
      </c>
      <c r="H14" s="1" t="e">
        <f>SUM(#REF!)</f>
        <v>#REF!</v>
      </c>
      <c r="I14" s="1" t="e">
        <f>SUM(#REF!)</f>
        <v>#REF!</v>
      </c>
      <c r="J14" s="1" t="e">
        <f>SUM(#REF!)</f>
        <v>#REF!</v>
      </c>
      <c r="K14" s="1" t="e">
        <f>SUM(#REF!)</f>
        <v>#REF!</v>
      </c>
      <c r="L14" s="1" t="e">
        <f>SUM(#REF!)</f>
        <v>#REF!</v>
      </c>
      <c r="M14" s="1" t="e">
        <f>SUM(#REF!)</f>
        <v>#REF!</v>
      </c>
      <c r="N14" s="1" t="e">
        <f>SUM(#REF!)</f>
        <v>#REF!</v>
      </c>
      <c r="O14" s="1" t="e">
        <f>SUM(#REF!)</f>
        <v>#REF!</v>
      </c>
      <c r="P14" s="1" t="e">
        <f>SUM(#REF!)</f>
        <v>#REF!</v>
      </c>
    </row>
    <row r="15" spans="2:16" x14ac:dyDescent="0.3">
      <c r="B15" s="2" t="e">
        <f>LOWER(Dados!#REF!)</f>
        <v>#REF!</v>
      </c>
      <c r="C15" s="1" t="e">
        <f>SUM(#REF!)</f>
        <v>#REF!</v>
      </c>
      <c r="D15" s="1" t="e">
        <f>SUM(#REF!)</f>
        <v>#REF!</v>
      </c>
      <c r="E15" s="1" t="e">
        <f>SUM(#REF!)</f>
        <v>#REF!</v>
      </c>
      <c r="F15" s="1" t="e">
        <f>SUM(#REF!)</f>
        <v>#REF!</v>
      </c>
      <c r="G15" s="1" t="e">
        <f>SUM(#REF!)</f>
        <v>#REF!</v>
      </c>
      <c r="H15" s="1" t="e">
        <f>SUM(#REF!)</f>
        <v>#REF!</v>
      </c>
      <c r="I15" s="1" t="e">
        <f>SUM(#REF!)</f>
        <v>#REF!</v>
      </c>
      <c r="J15" s="1" t="e">
        <f>SUM(#REF!)</f>
        <v>#REF!</v>
      </c>
      <c r="K15" s="1" t="e">
        <f>SUM(#REF!)</f>
        <v>#REF!</v>
      </c>
      <c r="L15" s="1" t="e">
        <f>SUM(#REF!)</f>
        <v>#REF!</v>
      </c>
      <c r="M15" s="1" t="e">
        <f>SUM(#REF!)</f>
        <v>#REF!</v>
      </c>
      <c r="N15" s="1" t="e">
        <f>SUM(#REF!)</f>
        <v>#REF!</v>
      </c>
      <c r="O15" s="1" t="e">
        <f>SUM(#REF!)</f>
        <v>#REF!</v>
      </c>
      <c r="P15" s="1" t="e">
        <f>SUM(#REF!)</f>
        <v>#REF!</v>
      </c>
    </row>
    <row r="16" spans="2:16" x14ac:dyDescent="0.3">
      <c r="B16" s="2" t="e">
        <f>LOWER(Dados!#REF!)</f>
        <v>#REF!</v>
      </c>
      <c r="C16" s="1" t="e">
        <f>SUM(#REF!)</f>
        <v>#REF!</v>
      </c>
      <c r="D16" s="1" t="e">
        <f>SUM(#REF!)</f>
        <v>#REF!</v>
      </c>
      <c r="E16" s="1" t="e">
        <f>SUM(#REF!)</f>
        <v>#REF!</v>
      </c>
      <c r="F16" s="1" t="e">
        <f>SUM(#REF!)</f>
        <v>#REF!</v>
      </c>
      <c r="G16" s="1" t="e">
        <f>SUM(#REF!)</f>
        <v>#REF!</v>
      </c>
      <c r="H16" s="1" t="e">
        <f>SUM(#REF!)</f>
        <v>#REF!</v>
      </c>
      <c r="I16" s="1" t="e">
        <f>SUM(#REF!)</f>
        <v>#REF!</v>
      </c>
      <c r="J16" s="1" t="e">
        <f>SUM(#REF!)</f>
        <v>#REF!</v>
      </c>
      <c r="K16" s="1" t="e">
        <f>SUM(#REF!)</f>
        <v>#REF!</v>
      </c>
      <c r="L16" s="1" t="e">
        <f>SUM(#REF!)</f>
        <v>#REF!</v>
      </c>
      <c r="M16" s="1" t="e">
        <f>SUM(#REF!)</f>
        <v>#REF!</v>
      </c>
      <c r="N16" s="1" t="e">
        <f>SUM(#REF!)</f>
        <v>#REF!</v>
      </c>
      <c r="O16" s="1" t="e">
        <f>SUM(#REF!)</f>
        <v>#REF!</v>
      </c>
      <c r="P16" s="1" t="e">
        <f>SUM(#REF!)</f>
        <v>#REF!</v>
      </c>
    </row>
    <row r="17" spans="2:16" x14ac:dyDescent="0.3">
      <c r="B17" s="2" t="e">
        <f>LOWER(Dados!#REF!)</f>
        <v>#REF!</v>
      </c>
      <c r="C17" s="1" t="e">
        <f>SUM(#REF!)</f>
        <v>#REF!</v>
      </c>
      <c r="D17" s="1" t="e">
        <f>SUM(#REF!)</f>
        <v>#REF!</v>
      </c>
      <c r="E17" s="1" t="e">
        <f>SUM(#REF!)</f>
        <v>#REF!</v>
      </c>
      <c r="F17" s="1" t="e">
        <f>SUM(#REF!)</f>
        <v>#REF!</v>
      </c>
      <c r="G17" s="1" t="e">
        <f>SUM(#REF!)</f>
        <v>#REF!</v>
      </c>
      <c r="H17" s="1" t="e">
        <f>SUM(#REF!)</f>
        <v>#REF!</v>
      </c>
      <c r="I17" s="1" t="e">
        <f>SUM(#REF!)</f>
        <v>#REF!</v>
      </c>
      <c r="J17" s="1" t="e">
        <f>SUM(#REF!)</f>
        <v>#REF!</v>
      </c>
      <c r="K17" s="1" t="e">
        <f>SUM(#REF!)</f>
        <v>#REF!</v>
      </c>
      <c r="L17" s="1" t="e">
        <f>SUM(#REF!)</f>
        <v>#REF!</v>
      </c>
      <c r="M17" s="1" t="e">
        <f>SUM(#REF!)</f>
        <v>#REF!</v>
      </c>
      <c r="N17" s="1" t="e">
        <f>SUM(#REF!)</f>
        <v>#REF!</v>
      </c>
      <c r="O17" s="1" t="e">
        <f>SUM(#REF!)</f>
        <v>#REF!</v>
      </c>
      <c r="P17" s="1" t="e">
        <f>SUM(#REF!)</f>
        <v>#REF!</v>
      </c>
    </row>
    <row r="18" spans="2:16" x14ac:dyDescent="0.3">
      <c r="B18" s="2" t="str">
        <f>LOWER(Dados!B40)</f>
        <v/>
      </c>
      <c r="C18" s="1">
        <f>SUM(tblCategoriaDespesa_04[jan])</f>
        <v>0</v>
      </c>
      <c r="D18" s="1">
        <f>SUM(tblCategoriaDespesa_04[feb])</f>
        <v>0</v>
      </c>
      <c r="E18" s="1">
        <f>SUM(tblCategoriaDespesa_04[mar])</f>
        <v>0</v>
      </c>
      <c r="F18" s="1">
        <f>SUM(tblCategoriaDespesa_04[apr])</f>
        <v>0</v>
      </c>
      <c r="G18" s="1">
        <f>SUM(tblCategoriaDespesa_04[may])</f>
        <v>0</v>
      </c>
      <c r="H18" s="1">
        <f>SUM(tblCategoriaDespesa_04[jun])</f>
        <v>0</v>
      </c>
      <c r="I18" s="1">
        <f>SUM(tblCategoriaDespesa_04[jul])</f>
        <v>0</v>
      </c>
      <c r="J18" s="1">
        <f>SUM(tblCategoriaDespesa_04[aug])</f>
        <v>0</v>
      </c>
      <c r="K18" s="1">
        <f>SUM(tblCategoriaDespesa_04[sep])</f>
        <v>0</v>
      </c>
      <c r="L18" s="1">
        <f>SUM(tblCategoriaDespesa_04[oct])</f>
        <v>0</v>
      </c>
      <c r="M18" s="1">
        <f>SUM(tblCategoriaDespesa_04[nov])</f>
        <v>0</v>
      </c>
      <c r="N18" s="1">
        <f>SUM(tblCategoriaDespesa_04[dec])</f>
        <v>0</v>
      </c>
      <c r="O18" s="1">
        <f>SUM(tblCategoriaDespesa_04[year])</f>
        <v>0</v>
      </c>
      <c r="P18" s="1">
        <f>SUM(tblCategoriaDespesa_04[avg])</f>
        <v>0</v>
      </c>
    </row>
    <row r="19" spans="2:16" x14ac:dyDescent="0.3">
      <c r="B19" s="2" t="str">
        <f>LOWER(Dados!B35)</f>
        <v>eduardo ribas</v>
      </c>
      <c r="C19" s="1">
        <f>SUM(tblCategoriaDespesa_03[jan])</f>
        <v>6</v>
      </c>
      <c r="D19" s="1">
        <f>SUM(tblCategoriaDespesa_03[feb])</f>
        <v>0</v>
      </c>
      <c r="E19" s="1">
        <f>SUM(tblCategoriaDespesa_03[mar])</f>
        <v>9</v>
      </c>
      <c r="F19" s="1">
        <f>SUM(tblCategoriaDespesa_03[apr])</f>
        <v>11</v>
      </c>
      <c r="G19" s="1">
        <f>SUM(tblCategoriaDespesa_03[may])</f>
        <v>8</v>
      </c>
      <c r="H19" s="1">
        <f>SUM(tblCategoriaDespesa_03[jun])</f>
        <v>0</v>
      </c>
      <c r="I19" s="1">
        <f>SUM(tblCategoriaDespesa_03[jul])</f>
        <v>0</v>
      </c>
      <c r="J19" s="1">
        <f>SUM(tblCategoriaDespesa_03[aug])</f>
        <v>0</v>
      </c>
      <c r="K19" s="1">
        <f>SUM(tblCategoriaDespesa_03[sep])</f>
        <v>0</v>
      </c>
      <c r="L19" s="1">
        <f>SUM(tblCategoriaDespesa_03[oct])</f>
        <v>1</v>
      </c>
      <c r="M19" s="1">
        <f>SUM(tblCategoriaDespesa_03[nov])</f>
        <v>0</v>
      </c>
      <c r="N19" s="1">
        <f>SUM(tblCategoriaDespesa_03[dec])</f>
        <v>0</v>
      </c>
      <c r="O19" s="1">
        <f>SUM(tblCategoriaDespesa_03[year])</f>
        <v>35</v>
      </c>
      <c r="P19" s="1">
        <f>SUM(tblCategoriaDespesa_03[avg])</f>
        <v>2.9166666666666665</v>
      </c>
    </row>
    <row r="20" spans="2:16" x14ac:dyDescent="0.3">
      <c r="B20" t="str">
        <f>LOWER(Dados!B30)</f>
        <v>carlos luciano</v>
      </c>
      <c r="C20" s="1">
        <f>SUM(tblCategoriaDespesa_02[jan])</f>
        <v>71</v>
      </c>
      <c r="D20" s="1">
        <f>SUM(tblCategoriaDespesa_02[feb])</f>
        <v>45</v>
      </c>
      <c r="E20" s="1">
        <f>SUM(tblCategoriaDespesa_02[mar])</f>
        <v>24</v>
      </c>
      <c r="F20" s="1">
        <f>SUM(tblCategoriaDespesa_02[apr])</f>
        <v>16</v>
      </c>
      <c r="G20" s="1">
        <f>SUM(tblCategoriaDespesa_02[may])</f>
        <v>32</v>
      </c>
      <c r="H20" s="1">
        <f>SUM(tblCategoriaDespesa_02[jun])</f>
        <v>37</v>
      </c>
      <c r="I20" s="1">
        <f>SUM(tblCategoriaDespesa_02[jul])</f>
        <v>45</v>
      </c>
      <c r="J20" s="1">
        <f>SUM(tblCategoriaDespesa_02[aug])</f>
        <v>25</v>
      </c>
      <c r="K20" s="1">
        <f>SUM(tblCategoriaDespesa_02[sep])</f>
        <v>19</v>
      </c>
      <c r="L20" s="1">
        <f>SUM(tblCategoriaDespesa_02[oct])</f>
        <v>15</v>
      </c>
      <c r="M20" s="1">
        <f>SUM(tblCategoriaDespesa_02[nov])</f>
        <v>28</v>
      </c>
      <c r="N20" s="1">
        <f>SUM(tblCategoriaDespesa_02[dec])</f>
        <v>34</v>
      </c>
      <c r="O20" s="1">
        <f>SUM(tblCategoriaDespesa_02[year])</f>
        <v>391</v>
      </c>
      <c r="P20" s="1">
        <f>SUM(tblCategoriaDespesa_02[avg])</f>
        <v>32.583333333333329</v>
      </c>
    </row>
    <row r="21" spans="2:16" x14ac:dyDescent="0.3">
      <c r="B21" t="str">
        <f>LOWER(Dados!B25)</f>
        <v>kelly</v>
      </c>
      <c r="C21" s="1">
        <f>SUM(tblCategoriaDespesa_01[jan])</f>
        <v>21</v>
      </c>
      <c r="D21" s="1">
        <f>SUM(tblCategoriaDespesa_01[feb])</f>
        <v>43</v>
      </c>
      <c r="E21" s="1">
        <f>SUM(tblCategoriaDespesa_01[mar])</f>
        <v>50</v>
      </c>
      <c r="F21" s="1">
        <f>SUM(tblCategoriaDespesa_01[apr])</f>
        <v>57</v>
      </c>
      <c r="G21" s="1">
        <f>SUM(tblCategoriaDespesa_01[may])</f>
        <v>38</v>
      </c>
      <c r="H21" s="1">
        <f>SUM(tblCategoriaDespesa_01[jun])</f>
        <v>47</v>
      </c>
      <c r="I21" s="1">
        <f>SUM(tblCategoriaDespesa_01[jul])</f>
        <v>24</v>
      </c>
      <c r="J21" s="1">
        <f>SUM(tblCategoriaDespesa_01[aug])</f>
        <v>46</v>
      </c>
      <c r="K21" s="1">
        <f>SUM(tblCategoriaDespesa_01[sep])</f>
        <v>40</v>
      </c>
      <c r="L21" s="1">
        <f>SUM(tblCategoriaDespesa_01[oct])</f>
        <v>43</v>
      </c>
      <c r="M21" s="1">
        <f>SUM(tblCategoriaDespesa_01[nov])</f>
        <v>68</v>
      </c>
      <c r="N21" s="1">
        <f>SUM(tblCategoriaDespesa_01[dec])</f>
        <v>42</v>
      </c>
      <c r="O21" s="1">
        <f>SUM(tblCategoriaDespesa_01[year])</f>
        <v>519</v>
      </c>
      <c r="P21" s="1">
        <f>SUM(tblCategoriaDespesa_01[avg])</f>
        <v>43.25</v>
      </c>
    </row>
    <row r="22" spans="2:16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3">
      <c r="B26" t="s">
        <v>17</v>
      </c>
      <c r="C26" s="1">
        <f>SUM(Dados!$C$7:C$7)</f>
        <v>27269.009999999991</v>
      </c>
      <c r="D26" s="1">
        <f>SUM(Dados!$C$7:D$7)</f>
        <v>61562.849999999977</v>
      </c>
      <c r="E26" s="1">
        <f>SUM(Dados!$C$7:E$7)</f>
        <v>107365.88999999998</v>
      </c>
      <c r="F26" s="1">
        <f>SUM(Dados!$C$7:F$7)</f>
        <v>159932.4</v>
      </c>
      <c r="G26" s="1">
        <f>SUM(Dados!$C$7:G$7)</f>
        <v>159932.4</v>
      </c>
      <c r="H26" s="1">
        <f>SUM(Dados!$C$7:H$7)</f>
        <v>159932.4</v>
      </c>
      <c r="I26" s="1">
        <f>SUM(Dados!$C$7:I$7)</f>
        <v>159932.4</v>
      </c>
      <c r="J26" s="1">
        <f>SUM(Dados!$C$7:J$7)</f>
        <v>159932.4</v>
      </c>
      <c r="K26" s="1">
        <f>SUM(Dados!$C$7:K$7)</f>
        <v>159932.4</v>
      </c>
      <c r="L26" s="1">
        <f>SUM(Dados!$C$7:L$7)</f>
        <v>159932.4</v>
      </c>
      <c r="M26" s="1">
        <f>SUM(Dados!$C$7:M$7)</f>
        <v>159932.4</v>
      </c>
      <c r="N26" s="1">
        <f>SUM(Dados!$C$7:N$7)</f>
        <v>159932.4</v>
      </c>
      <c r="O26" s="1">
        <f>SUM(Dados!$C$7:O$7)</f>
        <v>159932.4</v>
      </c>
      <c r="P26" s="1"/>
    </row>
    <row r="27" spans="2:16" x14ac:dyDescent="0.3">
      <c r="P27" s="1"/>
    </row>
    <row r="28" spans="2:16" x14ac:dyDescent="0.3">
      <c r="B28" t="s">
        <v>18</v>
      </c>
      <c r="C28" s="1">
        <f>IF(Dados!C$7&lt;0,NA(),IF(período+2&lt;&gt;COLUMN(Dados!C$7),NA(),Dados!C$7))</f>
        <v>27269.009999999991</v>
      </c>
      <c r="D28" s="3" t="e">
        <f>IF(Dados!D$7&lt;0,NA(),IF(período+2&lt;&gt;COLUMN(Dados!D$7),NA(),Dados!D$7))</f>
        <v>#N/A</v>
      </c>
      <c r="E28" s="3" t="e">
        <f>IF(Dados!E$7&lt;0,NA(),IF(período+2&lt;&gt;COLUMN(Dados!E$7),NA(),Dados!E$7))</f>
        <v>#N/A</v>
      </c>
      <c r="F28" s="3" t="e">
        <f>IF(Dados!F$7&lt;0,NA(),IF(período+2&lt;&gt;COLUMN(Dados!F$7),NA(),Dados!F$7))</f>
        <v>#N/A</v>
      </c>
      <c r="G28" s="3" t="e">
        <f>IF(Dados!G$7&lt;0,NA(),IF(período+2&lt;&gt;COLUMN(Dados!G$7),NA(),Dados!G$7))</f>
        <v>#N/A</v>
      </c>
      <c r="H28" s="3" t="e">
        <f>IF(Dados!H$7&lt;0,NA(),IF(período+2&lt;&gt;COLUMN(Dados!H$7),NA(),Dados!H$7))</f>
        <v>#N/A</v>
      </c>
      <c r="I28" s="3" t="e">
        <f>IF(Dados!I$7&lt;0,NA(),IF(período+2&lt;&gt;COLUMN(Dados!I$7),NA(),Dados!I$7))</f>
        <v>#N/A</v>
      </c>
      <c r="J28" s="3" t="e">
        <f>IF(Dados!J$7&lt;0,NA(),IF(período+2&lt;&gt;COLUMN(Dados!J$7),NA(),Dados!J$7))</f>
        <v>#N/A</v>
      </c>
      <c r="K28" s="3" t="e">
        <f>IF(Dados!K$7&lt;0,NA(),IF(período+2&lt;&gt;COLUMN(Dados!K$7),NA(),Dados!K$7))</f>
        <v>#N/A</v>
      </c>
      <c r="L28" s="3" t="e">
        <f>IF(Dados!L$7&lt;0,NA(),IF(período+2&lt;&gt;COLUMN(Dados!L$7),NA(),Dados!L$7))</f>
        <v>#N/A</v>
      </c>
      <c r="M28" s="3" t="e">
        <f>IF(Dados!M$7&lt;0,NA(),IF(período+2&lt;&gt;COLUMN(Dados!M$7),NA(),Dados!M$7))</f>
        <v>#N/A</v>
      </c>
      <c r="N28" s="3" t="e">
        <f>IF(Dados!N$7&lt;0,NA(),IF(período+2&lt;&gt;COLUMN(Dados!N$7),NA(),Dados!N$7))</f>
        <v>#N/A</v>
      </c>
      <c r="O28" s="3" t="e">
        <f>IF(Dados!O$7&lt;0,NA(),IF(período+2&lt;&gt;COLUMN(Dados!O$7),NA(),Dados!O$7))</f>
        <v>#N/A</v>
      </c>
    </row>
    <row r="29" spans="2:16" x14ac:dyDescent="0.3">
      <c r="B29" t="s">
        <v>19</v>
      </c>
      <c r="C29" s="1" t="e">
        <f>IF(Dados!C$7&gt;=0,NA(),IF(período+2&lt;&gt;COLUMN(Dados!C$7),NA(),Dados!C$7))</f>
        <v>#N/A</v>
      </c>
      <c r="D29" s="3" t="e">
        <f>IF(Dados!D$7&gt;=0,NA(),IF(período+2&lt;&gt;COLUMN(Dados!D$7),NA(),Dados!D$7))</f>
        <v>#N/A</v>
      </c>
      <c r="E29" s="3" t="e">
        <f>IF(Dados!E$7&gt;=0,NA(),IF(período+2&lt;&gt;COLUMN(Dados!E$7),NA(),Dados!E$7))</f>
        <v>#N/A</v>
      </c>
      <c r="F29" s="3" t="e">
        <f>IF(Dados!F$7&gt;=0,NA(),IF(período+2&lt;&gt;COLUMN(Dados!F$7),NA(),Dados!F$7))</f>
        <v>#N/A</v>
      </c>
      <c r="G29" s="3" t="e">
        <f>IF(Dados!G$7&gt;=0,NA(),IF(período+2&lt;&gt;COLUMN(Dados!G$7),NA(),Dados!G$7))</f>
        <v>#N/A</v>
      </c>
      <c r="H29" s="3" t="e">
        <f>IF(Dados!H$7&gt;=0,NA(),IF(período+2&lt;&gt;COLUMN(Dados!H$7),NA(),Dados!H$7))</f>
        <v>#N/A</v>
      </c>
      <c r="I29" s="3" t="e">
        <f>IF(Dados!I$7&gt;=0,NA(),IF(período+2&lt;&gt;COLUMN(Dados!I$7),NA(),Dados!I$7))</f>
        <v>#N/A</v>
      </c>
      <c r="J29" s="3" t="e">
        <f>IF(Dados!J$7&gt;=0,NA(),IF(período+2&lt;&gt;COLUMN(Dados!J$7),NA(),Dados!J$7))</f>
        <v>#N/A</v>
      </c>
      <c r="K29" s="3" t="e">
        <f>IF(Dados!K$7&gt;=0,NA(),IF(período+2&lt;&gt;COLUMN(Dados!K$7),NA(),Dados!K$7))</f>
        <v>#N/A</v>
      </c>
      <c r="L29" s="3" t="e">
        <f>IF(Dados!L$7&gt;=0,NA(),IF(período+2&lt;&gt;COLUMN(Dados!L$7),NA(),Dados!L$7))</f>
        <v>#N/A</v>
      </c>
      <c r="M29" s="3" t="e">
        <f>IF(Dados!M$7&gt;=0,NA(),IF(período+2&lt;&gt;COLUMN(Dados!M$7),NA(),Dados!M$7))</f>
        <v>#N/A</v>
      </c>
      <c r="N29" s="3" t="e">
        <f>IF(Dados!N$7&gt;=0,NA(),IF(período+2&lt;&gt;COLUMN(Dados!N$7),NA(),Dados!N$7))</f>
        <v>#N/A</v>
      </c>
      <c r="O29" s="3" t="e">
        <f>IF(Dados!O$7&gt;=0,NA(),IF(período+2&lt;&gt;COLUMN(Dados!O$7),NA(),Dados!O$7))</f>
        <v>#N/A</v>
      </c>
    </row>
    <row r="35" spans="2:4" x14ac:dyDescent="0.3">
      <c r="B35" s="2"/>
    </row>
    <row r="37" spans="2:4" x14ac:dyDescent="0.3">
      <c r="B37" t="str">
        <f>LOWER(exibir_período_long)</f>
        <v>janeiro</v>
      </c>
    </row>
    <row r="38" spans="2:4" x14ac:dyDescent="0.3">
      <c r="B38" t="str">
        <f>exibir_período_long &amp; " renda"</f>
        <v>janeiro renda</v>
      </c>
      <c r="C38" s="23">
        <f>INDEX(Dados!$C$5:$P$5,,período)</f>
        <v>27269.009999999991</v>
      </c>
    </row>
    <row r="39" spans="2:4" x14ac:dyDescent="0.3">
      <c r="B39" t="str">
        <f>exibir_período_long &amp; " despesas: " &amp; TEXT(INDEX(Dados!$C$6:$P$6,,período),"R$ #.##0")</f>
        <v>janeiro despesas: R$ 0</v>
      </c>
      <c r="C39" s="23">
        <f>INDEX(Dados!$C$6:$P$6,,período)</f>
        <v>0</v>
      </c>
    </row>
    <row r="40" spans="2:4" x14ac:dyDescent="0.3">
      <c r="B40" t="str">
        <f>exibir_período_long &amp; " fluxo de caixa"</f>
        <v>janeiro fluxo de caixa</v>
      </c>
      <c r="C40" s="23">
        <f>ABS(INDEX(Dados!$C$7:$P$7,,período))</f>
        <v>27269.009999999991</v>
      </c>
      <c r="D40" t="str">
        <f>REPT("-",INDEX(Dados!$C$7:$P$7,,período)&lt;0)</f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5"/>
  <sheetViews>
    <sheetView topLeftCell="A34" zoomScale="62" zoomScaleNormal="62" workbookViewId="0">
      <selection activeCell="D4" sqref="D4:F6"/>
    </sheetView>
  </sheetViews>
  <sheetFormatPr defaultRowHeight="14.25" x14ac:dyDescent="0.3"/>
  <cols>
    <col min="1" max="1" width="9.140625" style="5"/>
    <col min="2" max="2" width="13.7109375" style="5" customWidth="1"/>
    <col min="3" max="3" width="13" style="5" customWidth="1"/>
    <col min="4" max="4" width="15.140625" style="5" customWidth="1"/>
    <col min="5" max="5" width="11" style="5" bestFit="1" customWidth="1"/>
    <col min="6" max="6" width="9.140625" style="5"/>
    <col min="7" max="7" width="11.28515625" style="5" bestFit="1" customWidth="1"/>
    <col min="8" max="8" width="11.5703125" style="5" customWidth="1"/>
    <col min="9" max="9" width="9.140625" style="5"/>
    <col min="10" max="10" width="9.7109375" style="5" customWidth="1"/>
    <col min="11" max="13" width="9.140625" style="5"/>
    <col min="14" max="14" width="10.42578125" style="5" bestFit="1" customWidth="1"/>
    <col min="15" max="16" width="9.140625" style="5"/>
    <col min="17" max="17" width="0.85546875" style="5" customWidth="1"/>
    <col min="18" max="18" width="11" style="5" bestFit="1" customWidth="1"/>
    <col min="19" max="19" width="9.5703125" style="5" bestFit="1" customWidth="1"/>
    <col min="20" max="16384" width="9.140625" style="5"/>
  </cols>
  <sheetData>
    <row r="1" spans="1:19" ht="33.75" customHeight="1" x14ac:dyDescent="0.3">
      <c r="A1" s="25"/>
      <c r="B1" s="25"/>
      <c r="C1" s="25"/>
      <c r="D1" s="119" t="s">
        <v>51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</row>
    <row r="2" spans="1:19" x14ac:dyDescent="0.3">
      <c r="Q2" s="38" t="s">
        <v>50</v>
      </c>
      <c r="R2" s="39">
        <f>D4</f>
        <v>557538.55000000005</v>
      </c>
      <c r="S2" s="39">
        <f>R2/$R$2</f>
        <v>1</v>
      </c>
    </row>
    <row r="3" spans="1:19" ht="24.75" customHeight="1" x14ac:dyDescent="0.3">
      <c r="D3" s="120" t="s">
        <v>34</v>
      </c>
      <c r="E3" s="120"/>
      <c r="F3" s="121"/>
      <c r="G3" s="90" t="s">
        <v>32</v>
      </c>
      <c r="H3" s="90"/>
      <c r="I3" s="90"/>
      <c r="J3" s="91"/>
      <c r="K3" s="122" t="s">
        <v>31</v>
      </c>
      <c r="L3" s="120"/>
      <c r="M3" s="121"/>
      <c r="N3" s="99" t="s">
        <v>33</v>
      </c>
      <c r="O3" s="100"/>
      <c r="P3" s="101"/>
      <c r="Q3" s="38" t="s">
        <v>32</v>
      </c>
      <c r="R3" s="39">
        <f>G4</f>
        <v>159932.4</v>
      </c>
      <c r="S3" s="40">
        <f>R3/$R$2</f>
        <v>0.28685442468507333</v>
      </c>
    </row>
    <row r="4" spans="1:19" ht="14.25" customHeight="1" x14ac:dyDescent="0.3">
      <c r="D4" s="114">
        <v>557538.55000000005</v>
      </c>
      <c r="E4" s="114"/>
      <c r="F4" s="115"/>
      <c r="G4" s="116">
        <f>Dados!O5</f>
        <v>159932.4</v>
      </c>
      <c r="H4" s="116"/>
      <c r="I4" s="116"/>
      <c r="J4" s="117"/>
      <c r="K4" s="118">
        <f>Dados!P5</f>
        <v>39983.1</v>
      </c>
      <c r="L4" s="114"/>
      <c r="M4" s="115"/>
      <c r="N4" s="118">
        <v>580915.14</v>
      </c>
      <c r="O4" s="114"/>
      <c r="P4" s="115"/>
      <c r="Q4" s="38" t="s">
        <v>52</v>
      </c>
      <c r="R4" s="39">
        <v>287159.35000000003</v>
      </c>
      <c r="S4" s="40">
        <f>R4/$R$2</f>
        <v>0.51504842131544093</v>
      </c>
    </row>
    <row r="5" spans="1:19" ht="14.25" customHeight="1" x14ac:dyDescent="0.3">
      <c r="D5" s="114"/>
      <c r="E5" s="114"/>
      <c r="F5" s="115"/>
      <c r="G5" s="116"/>
      <c r="H5" s="116"/>
      <c r="I5" s="116"/>
      <c r="J5" s="117"/>
      <c r="K5" s="118"/>
      <c r="L5" s="114"/>
      <c r="M5" s="115"/>
      <c r="N5" s="118"/>
      <c r="O5" s="114"/>
      <c r="P5" s="115"/>
      <c r="Q5" s="41"/>
      <c r="R5" s="41"/>
      <c r="S5" s="41"/>
    </row>
    <row r="6" spans="1:19" x14ac:dyDescent="0.3">
      <c r="D6" s="114"/>
      <c r="E6" s="114"/>
      <c r="F6" s="115"/>
      <c r="G6" s="116"/>
      <c r="H6" s="116"/>
      <c r="I6" s="116"/>
      <c r="J6" s="117"/>
      <c r="K6" s="118"/>
      <c r="L6" s="114"/>
      <c r="M6" s="115"/>
      <c r="N6" s="118"/>
      <c r="O6" s="114"/>
      <c r="P6" s="115"/>
      <c r="Q6" s="41"/>
      <c r="R6" s="41"/>
      <c r="S6" s="41"/>
    </row>
    <row r="7" spans="1:19" x14ac:dyDescent="0.3">
      <c r="P7" s="41"/>
      <c r="Q7" s="41"/>
      <c r="R7" s="41"/>
      <c r="S7" s="41"/>
    </row>
    <row r="16" spans="1:19" x14ac:dyDescent="0.3">
      <c r="O16" s="35" t="s">
        <v>41</v>
      </c>
      <c r="P16" s="36">
        <f>Dados!P17</f>
        <v>48409.595000000001</v>
      </c>
    </row>
    <row r="17" spans="12:16" x14ac:dyDescent="0.3">
      <c r="O17" s="35" t="s">
        <v>42</v>
      </c>
      <c r="P17" s="36">
        <f>Dados!P16</f>
        <v>29233.786666666663</v>
      </c>
    </row>
    <row r="32" spans="12:16" x14ac:dyDescent="0.3">
      <c r="L32" s="31"/>
    </row>
    <row r="34" spans="2:10" ht="25.5" x14ac:dyDescent="0.3">
      <c r="B34" s="113" t="s">
        <v>64</v>
      </c>
      <c r="C34" s="53" t="s">
        <v>74</v>
      </c>
      <c r="D34" s="53" t="s">
        <v>65</v>
      </c>
      <c r="E34" s="53" t="s">
        <v>66</v>
      </c>
      <c r="F34" s="53" t="s">
        <v>67</v>
      </c>
      <c r="G34" s="53" t="s">
        <v>75</v>
      </c>
      <c r="H34" s="54" t="s">
        <v>73</v>
      </c>
    </row>
    <row r="35" spans="2:10" x14ac:dyDescent="0.3">
      <c r="B35" s="113"/>
      <c r="C35" s="53"/>
      <c r="D35" s="53"/>
      <c r="E35" s="53"/>
      <c r="F35" s="53"/>
      <c r="G35" s="53"/>
      <c r="H35" s="54"/>
    </row>
    <row r="36" spans="2:10" x14ac:dyDescent="0.3">
      <c r="B36" s="108" t="s">
        <v>48</v>
      </c>
      <c r="C36" s="112">
        <f>Dados!C63</f>
        <v>1</v>
      </c>
      <c r="D36" s="112"/>
      <c r="E36" s="111"/>
      <c r="F36" s="111"/>
      <c r="G36" s="112" t="e">
        <f>Dados!#REF!</f>
        <v>#REF!</v>
      </c>
      <c r="H36" s="107" t="e">
        <f>SUM(C36:G37)</f>
        <v>#REF!</v>
      </c>
    </row>
    <row r="37" spans="2:10" x14ac:dyDescent="0.3">
      <c r="B37" s="111"/>
      <c r="C37" s="112"/>
      <c r="D37" s="112"/>
      <c r="E37" s="111"/>
      <c r="F37" s="111"/>
      <c r="G37" s="111"/>
      <c r="H37" s="107"/>
    </row>
    <row r="38" spans="2:10" x14ac:dyDescent="0.3">
      <c r="B38" s="111" t="s">
        <v>49</v>
      </c>
      <c r="C38" s="112">
        <f>Dados!C64</f>
        <v>0</v>
      </c>
      <c r="D38" s="112"/>
      <c r="E38" s="111"/>
      <c r="F38" s="112" t="e">
        <f>Dados!#REF!</f>
        <v>#REF!</v>
      </c>
      <c r="G38" s="111"/>
      <c r="H38" s="107" t="e">
        <f>SUM(C38:G39)</f>
        <v>#REF!</v>
      </c>
    </row>
    <row r="39" spans="2:10" x14ac:dyDescent="0.3">
      <c r="B39" s="111"/>
      <c r="C39" s="112"/>
      <c r="D39" s="111"/>
      <c r="E39" s="111"/>
      <c r="F39" s="111"/>
      <c r="G39" s="111"/>
      <c r="H39" s="107"/>
    </row>
    <row r="40" spans="2:10" x14ac:dyDescent="0.3">
      <c r="B40" s="111" t="s">
        <v>68</v>
      </c>
      <c r="C40" s="112">
        <f>Dados!C65</f>
        <v>0</v>
      </c>
      <c r="D40" s="112" t="e">
        <f>Dados!#REF!</f>
        <v>#REF!</v>
      </c>
      <c r="E40" s="111"/>
      <c r="F40" s="112" t="e">
        <f>Dados!#REF!</f>
        <v>#REF!</v>
      </c>
      <c r="G40" s="112" t="e">
        <f>Dados!#REF!</f>
        <v>#REF!</v>
      </c>
      <c r="H40" s="107" t="e">
        <f>SUM(C40:G41)</f>
        <v>#REF!</v>
      </c>
    </row>
    <row r="41" spans="2:10" x14ac:dyDescent="0.3">
      <c r="B41" s="111"/>
      <c r="C41" s="112"/>
      <c r="D41" s="111"/>
      <c r="E41" s="111"/>
      <c r="F41" s="111"/>
      <c r="G41" s="111"/>
      <c r="H41" s="107"/>
    </row>
    <row r="42" spans="2:10" x14ac:dyDescent="0.3">
      <c r="B42" s="111" t="s">
        <v>69</v>
      </c>
      <c r="C42" s="112">
        <f>Dados!C67</f>
        <v>0</v>
      </c>
      <c r="D42" s="111"/>
      <c r="E42" s="112" t="e">
        <f>Dados!#REF!</f>
        <v>#REF!</v>
      </c>
      <c r="F42" s="111"/>
      <c r="G42" s="112" t="e">
        <f>Dados!#REF!</f>
        <v>#REF!</v>
      </c>
      <c r="H42" s="107" t="e">
        <f>SUM(C42:G43)</f>
        <v>#REF!</v>
      </c>
    </row>
    <row r="43" spans="2:10" x14ac:dyDescent="0.3">
      <c r="B43" s="111"/>
      <c r="C43" s="112"/>
      <c r="D43" s="111"/>
      <c r="E43" s="111"/>
      <c r="F43" s="111"/>
      <c r="G43" s="111"/>
      <c r="H43" s="107"/>
    </row>
    <row r="44" spans="2:10" x14ac:dyDescent="0.3">
      <c r="B44" s="111" t="s">
        <v>70</v>
      </c>
      <c r="C44" s="112">
        <f>Dados!C66</f>
        <v>1</v>
      </c>
      <c r="D44" s="111"/>
      <c r="E44" s="111"/>
      <c r="F44" s="111"/>
      <c r="G44" s="111"/>
      <c r="H44" s="107">
        <f>SUM(C44:G45)</f>
        <v>1</v>
      </c>
    </row>
    <row r="45" spans="2:10" x14ac:dyDescent="0.3">
      <c r="B45" s="111"/>
      <c r="C45" s="112"/>
      <c r="D45" s="111"/>
      <c r="E45" s="111"/>
      <c r="F45" s="111"/>
      <c r="G45" s="111"/>
      <c r="H45" s="107"/>
    </row>
    <row r="46" spans="2:10" x14ac:dyDescent="0.3">
      <c r="B46" s="108" t="s">
        <v>71</v>
      </c>
      <c r="C46" s="110">
        <f>Dados!C68</f>
        <v>0</v>
      </c>
      <c r="D46" s="108"/>
      <c r="E46" s="108"/>
      <c r="F46" s="108"/>
      <c r="G46" s="108"/>
      <c r="H46" s="107">
        <f>SUM(C46:G47)</f>
        <v>0</v>
      </c>
    </row>
    <row r="47" spans="2:10" x14ac:dyDescent="0.3">
      <c r="B47" s="108"/>
      <c r="C47" s="110"/>
      <c r="D47" s="108"/>
      <c r="E47" s="108"/>
      <c r="F47" s="108"/>
      <c r="G47" s="108"/>
      <c r="H47" s="107"/>
    </row>
    <row r="48" spans="2:10" x14ac:dyDescent="0.3">
      <c r="B48" s="109" t="s">
        <v>72</v>
      </c>
      <c r="C48" s="49">
        <f>SUM(C36:C47)</f>
        <v>2</v>
      </c>
      <c r="D48" s="49" t="e">
        <f>SUM(D36:D47)</f>
        <v>#REF!</v>
      </c>
      <c r="E48" s="49" t="e">
        <f>SUM(E36:E47)</f>
        <v>#REF!</v>
      </c>
      <c r="F48" s="49" t="e">
        <f>SUM(F36:F47)</f>
        <v>#REF!</v>
      </c>
      <c r="G48" s="49" t="e">
        <f>SUM(G36:G47)</f>
        <v>#REF!</v>
      </c>
      <c r="H48" s="50" t="e">
        <f>SUM(C48:G49)</f>
        <v>#REF!</v>
      </c>
      <c r="J48" s="37"/>
    </row>
    <row r="49" spans="1:19" x14ac:dyDescent="0.3">
      <c r="B49" s="109"/>
      <c r="C49" s="49"/>
      <c r="D49" s="49"/>
      <c r="E49" s="49"/>
      <c r="F49" s="49"/>
      <c r="G49" s="49"/>
      <c r="H49" s="50"/>
      <c r="J49" s="37"/>
    </row>
    <row r="50" spans="1:19" ht="36.75" customHeight="1" x14ac:dyDescent="0.3">
      <c r="A50" s="43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9" x14ac:dyDescent="0.3">
      <c r="A51" s="43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S51" s="44"/>
    </row>
    <row r="52" spans="1:19" x14ac:dyDescent="0.3">
      <c r="A52" s="43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</row>
    <row r="53" spans="1:19" x14ac:dyDescent="0.3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</row>
    <row r="54" spans="1:19" ht="36" customHeight="1" x14ac:dyDescent="0.3">
      <c r="A54" s="43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</row>
    <row r="55" spans="1:19" x14ac:dyDescent="0.3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</row>
    <row r="56" spans="1:19" x14ac:dyDescent="0.3">
      <c r="A56" s="43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</row>
    <row r="57" spans="1:19" ht="16.5" customHeight="1" x14ac:dyDescent="0.3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</row>
    <row r="58" spans="1:19" x14ac:dyDescent="0.3">
      <c r="A58" s="43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</row>
    <row r="59" spans="1:19" x14ac:dyDescent="0.3">
      <c r="A59" s="43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</row>
    <row r="60" spans="1:19" x14ac:dyDescent="0.3">
      <c r="A60" s="43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9" x14ac:dyDescent="0.3">
      <c r="A61" s="43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</row>
    <row r="62" spans="1:19" x14ac:dyDescent="0.3">
      <c r="A62" s="43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S62" s="5" t="s">
        <v>46</v>
      </c>
    </row>
    <row r="63" spans="1:19" x14ac:dyDescent="0.3">
      <c r="A63" s="43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S63" s="5" t="s">
        <v>47</v>
      </c>
    </row>
    <row r="64" spans="1:19" x14ac:dyDescent="0.3">
      <c r="A64" s="43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</row>
    <row r="65" spans="2:15" x14ac:dyDescent="0.3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</row>
  </sheetData>
  <mergeCells count="53">
    <mergeCell ref="N4:P6"/>
    <mergeCell ref="D1:P1"/>
    <mergeCell ref="D3:F3"/>
    <mergeCell ref="G3:J3"/>
    <mergeCell ref="K3:M3"/>
    <mergeCell ref="N3:P3"/>
    <mergeCell ref="G36:G37"/>
    <mergeCell ref="B34:B35"/>
    <mergeCell ref="D4:F6"/>
    <mergeCell ref="G4:J6"/>
    <mergeCell ref="K4:M6"/>
    <mergeCell ref="B36:B37"/>
    <mergeCell ref="C36:C37"/>
    <mergeCell ref="D36:D37"/>
    <mergeCell ref="E36:E37"/>
    <mergeCell ref="F36:F37"/>
    <mergeCell ref="H36:H37"/>
    <mergeCell ref="F38:F39"/>
    <mergeCell ref="G38:G39"/>
    <mergeCell ref="B40:B41"/>
    <mergeCell ref="C40:C41"/>
    <mergeCell ref="D40:D41"/>
    <mergeCell ref="E40:E41"/>
    <mergeCell ref="F40:F41"/>
    <mergeCell ref="G40:G41"/>
    <mergeCell ref="E38:E39"/>
    <mergeCell ref="D38:D39"/>
    <mergeCell ref="C38:C39"/>
    <mergeCell ref="B38:B39"/>
    <mergeCell ref="F42:F43"/>
    <mergeCell ref="G42:G43"/>
    <mergeCell ref="B44:B45"/>
    <mergeCell ref="C44:C45"/>
    <mergeCell ref="D44:D45"/>
    <mergeCell ref="E44:E45"/>
    <mergeCell ref="F44:F45"/>
    <mergeCell ref="G44:G45"/>
    <mergeCell ref="C42:C43"/>
    <mergeCell ref="D42:D43"/>
    <mergeCell ref="E42:E43"/>
    <mergeCell ref="B42:B43"/>
    <mergeCell ref="F46:F47"/>
    <mergeCell ref="G46:G47"/>
    <mergeCell ref="B48:B49"/>
    <mergeCell ref="C46:C47"/>
    <mergeCell ref="D46:D47"/>
    <mergeCell ref="E46:E47"/>
    <mergeCell ref="B46:B47"/>
    <mergeCell ref="H46:H47"/>
    <mergeCell ref="H44:H45"/>
    <mergeCell ref="H42:H43"/>
    <mergeCell ref="H40:H41"/>
    <mergeCell ref="H38:H39"/>
  </mergeCells>
  <pageMargins left="0.3" right="0.511811024" top="0.27" bottom="0.17" header="0.31496062000000002" footer="0.22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PublishedLinkedAssetsLookup xmlns="e5d022ff-4ce9-4922-b5a4-f245e35e2aac" xsi:nil="true"/>
    <ApprovalStatus xmlns="e5d022ff-4ce9-4922-b5a4-f245e35e2aac">InProgress</ApprovalStatus>
    <MarketSpecific xmlns="e5d022ff-4ce9-4922-b5a4-f245e35e2aac">false</MarketSpecific>
    <LocComments xmlns="e5d022ff-4ce9-4922-b5a4-f245e35e2aac" xsi:nil="true"/>
    <LocLastLocAttemptVersionTypeLookup xmlns="e5d022ff-4ce9-4922-b5a4-f245e35e2aac" xsi:nil="true"/>
    <DirectSourceMarket xmlns="e5d022ff-4ce9-4922-b5a4-f245e35e2aac">english</DirectSourceMarket>
    <ThumbnailAssetId xmlns="e5d022ff-4ce9-4922-b5a4-f245e35e2aac" xsi:nil="true"/>
    <PrimaryImageGen xmlns="e5d022ff-4ce9-4922-b5a4-f245e35e2aac">true</PrimaryImageGen>
    <LocNewPublishedVersionLookup xmlns="e5d022ff-4ce9-4922-b5a4-f245e35e2aac" xsi:nil="true"/>
    <LegacyData xmlns="e5d022ff-4ce9-4922-b5a4-f245e35e2aac" xsi:nil="true"/>
    <LocRecommendedHandoff xmlns="e5d022ff-4ce9-4922-b5a4-f245e35e2aac" xsi:nil="true"/>
    <BusinessGroup xmlns="e5d022ff-4ce9-4922-b5a4-f245e35e2aac" xsi:nil="true"/>
    <BlockPublish xmlns="e5d022ff-4ce9-4922-b5a4-f245e35e2aac">false</BlockPublish>
    <TPFriendlyName xmlns="e5d022ff-4ce9-4922-b5a4-f245e35e2aac" xsi:nil="true"/>
    <LocOverallPublishStatusLookup xmlns="e5d022ff-4ce9-4922-b5a4-f245e35e2aac" xsi:nil="true"/>
    <NumericId xmlns="e5d022ff-4ce9-4922-b5a4-f245e35e2aac" xsi:nil="true"/>
    <APEditor xmlns="e5d022ff-4ce9-4922-b5a4-f245e35e2aac">
      <UserInfo>
        <DisplayName/>
        <AccountId xsi:nil="true"/>
        <AccountType/>
      </UserInfo>
    </APEditor>
    <SourceTitle xmlns="e5d022ff-4ce9-4922-b5a4-f245e35e2aac" xsi:nil="true"/>
    <OpenTemplate xmlns="e5d022ff-4ce9-4922-b5a4-f245e35e2aac">true</OpenTemplate>
    <LocOverallLocStatusLookup xmlns="e5d022ff-4ce9-4922-b5a4-f245e35e2aac" xsi:nil="true"/>
    <UALocComments xmlns="e5d022ff-4ce9-4922-b5a4-f245e35e2aac" xsi:nil="true"/>
    <ParentAssetId xmlns="e5d022ff-4ce9-4922-b5a4-f245e35e2aac" xsi:nil="true"/>
    <IntlLangReviewDate xmlns="e5d022ff-4ce9-4922-b5a4-f245e35e2aac" xsi:nil="true"/>
    <FeatureTagsTaxHTField0 xmlns="e5d022ff-4ce9-4922-b5a4-f245e35e2aac">
      <Terms xmlns="http://schemas.microsoft.com/office/infopath/2007/PartnerControls"/>
    </FeatureTagsTaxHTField0>
    <PublishStatusLookup xmlns="e5d022ff-4ce9-4922-b5a4-f245e35e2aac">
      <Value>434883</Value>
    </PublishStatusLookup>
    <Providers xmlns="e5d022ff-4ce9-4922-b5a4-f245e35e2aac" xsi:nil="true"/>
    <MachineTranslated xmlns="e5d022ff-4ce9-4922-b5a4-f245e35e2aac">false</MachineTranslated>
    <OriginalSourceMarket xmlns="e5d022ff-4ce9-4922-b5a4-f245e35e2aac">english</OriginalSourceMarket>
    <APDescription xmlns="e5d022ff-4ce9-4922-b5a4-f245e35e2aac">Use this generic family budget to track income and expense over the course of a year to make sure you are on track. The slider functionality on the dashboard is a cool way to visually scroll through each month.</APDescription>
    <ClipArtFilename xmlns="e5d022ff-4ce9-4922-b5a4-f245e35e2aac" xsi:nil="true"/>
    <ContentItem xmlns="e5d022ff-4ce9-4922-b5a4-f245e35e2aac" xsi:nil="true"/>
    <TPInstallLocation xmlns="e5d022ff-4ce9-4922-b5a4-f245e35e2aac" xsi:nil="true"/>
    <PublishTargets xmlns="e5d022ff-4ce9-4922-b5a4-f245e35e2aac">OfficeOnlineVNext</PublishTargets>
    <TimesCloned xmlns="e5d022ff-4ce9-4922-b5a4-f245e35e2aac" xsi:nil="true"/>
    <AssetStart xmlns="e5d022ff-4ce9-4922-b5a4-f245e35e2aac">2011-11-15T22:46:00+00:00</AssetStart>
    <Provider xmlns="e5d022ff-4ce9-4922-b5a4-f245e35e2aac" xsi:nil="true"/>
    <AcquiredFrom xmlns="e5d022ff-4ce9-4922-b5a4-f245e35e2aac">Internal MS</AcquiredFrom>
    <FriendlyTitle xmlns="e5d022ff-4ce9-4922-b5a4-f245e35e2aac" xsi:nil="true"/>
    <LastHandOff xmlns="e5d022ff-4ce9-4922-b5a4-f245e35e2aac" xsi:nil="true"/>
    <TPClientViewer xmlns="e5d022ff-4ce9-4922-b5a4-f245e35e2aac" xsi:nil="true"/>
    <TemplateStatus xmlns="e5d022ff-4ce9-4922-b5a4-f245e35e2aac">Complete</TemplateStatus>
    <Downloads xmlns="e5d022ff-4ce9-4922-b5a4-f245e35e2aac">0</Downloads>
    <OOCacheId xmlns="e5d022ff-4ce9-4922-b5a4-f245e35e2aac" xsi:nil="true"/>
    <IsDeleted xmlns="e5d022ff-4ce9-4922-b5a4-f245e35e2aac">false</IsDeleted>
    <AssetExpire xmlns="e5d022ff-4ce9-4922-b5a4-f245e35e2aac">2029-05-12T07:00:00+00:00</AssetExpire>
    <DSATActionTaken xmlns="e5d022ff-4ce9-4922-b5a4-f245e35e2aac" xsi:nil="true"/>
    <LocPublishedDependentAssetsLookup xmlns="e5d022ff-4ce9-4922-b5a4-f245e35e2aac" xsi:nil="true"/>
    <CSXSubmissionMarket xmlns="e5d022ff-4ce9-4922-b5a4-f245e35e2aac" xsi:nil="true"/>
    <TPExecutable xmlns="e5d022ff-4ce9-4922-b5a4-f245e35e2aac" xsi:nil="true"/>
    <EditorialTags xmlns="e5d022ff-4ce9-4922-b5a4-f245e35e2aac" xsi:nil="true"/>
    <SubmitterId xmlns="e5d022ff-4ce9-4922-b5a4-f245e35e2aac" xsi:nil="true"/>
    <ApprovalLog xmlns="e5d022ff-4ce9-4922-b5a4-f245e35e2aac" xsi:nil="true"/>
    <AssetType xmlns="e5d022ff-4ce9-4922-b5a4-f245e35e2aac">TP</AssetType>
    <BugNumber xmlns="e5d022ff-4ce9-4922-b5a4-f245e35e2aac" xsi:nil="true"/>
    <CSXSubmissionDate xmlns="e5d022ff-4ce9-4922-b5a4-f245e35e2aac" xsi:nil="true"/>
    <CSXUpdate xmlns="e5d022ff-4ce9-4922-b5a4-f245e35e2aac">false</CSXUpdate>
    <Milestone xmlns="e5d022ff-4ce9-4922-b5a4-f245e35e2aac" xsi:nil="true"/>
    <RecommendationsModifier xmlns="e5d022ff-4ce9-4922-b5a4-f245e35e2aac" xsi:nil="true"/>
    <OriginAsset xmlns="e5d022ff-4ce9-4922-b5a4-f245e35e2aac" xsi:nil="true"/>
    <TPComponent xmlns="e5d022ff-4ce9-4922-b5a4-f245e35e2aac" xsi:nil="true"/>
    <AssetId xmlns="e5d022ff-4ce9-4922-b5a4-f245e35e2aac">TP102780231</AssetId>
    <IntlLocPriority xmlns="e5d022ff-4ce9-4922-b5a4-f245e35e2aac" xsi:nil="true"/>
    <PolicheckWords xmlns="e5d022ff-4ce9-4922-b5a4-f245e35e2aac" xsi:nil="true"/>
    <TPLaunchHelpLink xmlns="e5d022ff-4ce9-4922-b5a4-f245e35e2aac" xsi:nil="true"/>
    <TPApplication xmlns="e5d022ff-4ce9-4922-b5a4-f245e35e2aac" xsi:nil="true"/>
    <CrawlForDependencies xmlns="e5d022ff-4ce9-4922-b5a4-f245e35e2aac">false</CrawlForDependencies>
    <HandoffToMSDN xmlns="e5d022ff-4ce9-4922-b5a4-f245e35e2aac" xsi:nil="true"/>
    <PlannedPubDate xmlns="e5d022ff-4ce9-4922-b5a4-f245e35e2aac" xsi:nil="true"/>
    <IntlLangReviewer xmlns="e5d022ff-4ce9-4922-b5a4-f245e35e2aac" xsi:nil="true"/>
    <TrustLevel xmlns="e5d022ff-4ce9-4922-b5a4-f245e35e2aac">1 Microsoft Managed Content</TrustLevel>
    <LocLastLocAttemptVersionLookup xmlns="e5d022ff-4ce9-4922-b5a4-f245e35e2aac">689202</LocLastLocAttemptVersionLookup>
    <LocProcessedForHandoffsLookup xmlns="e5d022ff-4ce9-4922-b5a4-f245e35e2aac" xsi:nil="true"/>
    <IsSearchable xmlns="e5d022ff-4ce9-4922-b5a4-f245e35e2aac">true</IsSearchable>
    <TemplateTemplateType xmlns="e5d022ff-4ce9-4922-b5a4-f245e35e2aac">Excel Chart Template</TemplateTemplateType>
    <CampaignTagsTaxHTField0 xmlns="e5d022ff-4ce9-4922-b5a4-f245e35e2aac">
      <Terms xmlns="http://schemas.microsoft.com/office/infopath/2007/PartnerControls"/>
    </CampaignTagsTaxHTField0>
    <TPNamespace xmlns="e5d022ff-4ce9-4922-b5a4-f245e35e2aac" xsi:nil="true"/>
    <LocOverallPreviewStatusLookup xmlns="e5d022ff-4ce9-4922-b5a4-f245e35e2aac" xsi:nil="true"/>
    <TaxCatchAll xmlns="e5d022ff-4ce9-4922-b5a4-f245e35e2aac"/>
    <Markets xmlns="e5d022ff-4ce9-4922-b5a4-f245e35e2aac"/>
    <UAProjectedTotalWords xmlns="e5d022ff-4ce9-4922-b5a4-f245e35e2aac" xsi:nil="true"/>
    <IntlLangReview xmlns="e5d022ff-4ce9-4922-b5a4-f245e35e2aac" xsi:nil="true"/>
    <OutputCachingOn xmlns="e5d022ff-4ce9-4922-b5a4-f245e35e2aac">false</OutputCachingOn>
    <APAuthor xmlns="e5d022ff-4ce9-4922-b5a4-f245e35e2aac">
      <UserInfo>
        <DisplayName>REDMOND\matthos</DisplayName>
        <AccountId>59</AccountId>
        <AccountType/>
      </UserInfo>
    </APAuthor>
    <LocManualTestRequired xmlns="e5d022ff-4ce9-4922-b5a4-f245e35e2aac">false</LocManualTestRequired>
    <TPCommandLine xmlns="e5d022ff-4ce9-4922-b5a4-f245e35e2aac" xsi:nil="true"/>
    <TPAppVersion xmlns="e5d022ff-4ce9-4922-b5a4-f245e35e2aac" xsi:nil="true"/>
    <EditorialStatus xmlns="e5d022ff-4ce9-4922-b5a4-f245e35e2aac">Complete</EditorialStatus>
    <LastModifiedDateTime xmlns="e5d022ff-4ce9-4922-b5a4-f245e35e2aac" xsi:nil="true"/>
    <ScenarioTagsTaxHTField0 xmlns="e5d022ff-4ce9-4922-b5a4-f245e35e2aac">
      <Terms xmlns="http://schemas.microsoft.com/office/infopath/2007/PartnerControls"/>
    </ScenarioTagsTaxHTField0>
    <LocProcessedForMarketsLookup xmlns="e5d022ff-4ce9-4922-b5a4-f245e35e2aac" xsi:nil="true"/>
    <TPLaunchHelpLinkType xmlns="e5d022ff-4ce9-4922-b5a4-f245e35e2aac">Template</TPLaunchHelpLinkType>
    <OriginalRelease xmlns="e5d022ff-4ce9-4922-b5a4-f245e35e2aac">15</OriginalRelease>
    <LocalizationTagsTaxHTField0 xmlns="e5d022ff-4ce9-4922-b5a4-f245e35e2aac">
      <Terms xmlns="http://schemas.microsoft.com/office/infopath/2007/PartnerControls"/>
    </LocalizationTagsTaxHTField0>
    <UACurrentWords xmlns="e5d022ff-4ce9-4922-b5a4-f245e35e2aac" xsi:nil="true"/>
    <ArtSampleDocs xmlns="e5d022ff-4ce9-4922-b5a4-f245e35e2aac" xsi:nil="true"/>
    <UALocRecommendation xmlns="e5d022ff-4ce9-4922-b5a4-f245e35e2aac">Localize</UALocRecommendation>
    <Manager xmlns="e5d022ff-4ce9-4922-b5a4-f245e35e2aac" xsi:nil="true"/>
    <LocOverallHandbackStatusLookup xmlns="e5d022ff-4ce9-4922-b5a4-f245e35e2aac" xsi:nil="true"/>
    <ShowIn xmlns="e5d022ff-4ce9-4922-b5a4-f245e35e2aac">Show everywhere</ShowIn>
    <UANotes xmlns="e5d022ff-4ce9-4922-b5a4-f245e35e2aac" xsi:nil="true"/>
    <InternalTagsTaxHTField0 xmlns="e5d022ff-4ce9-4922-b5a4-f245e35e2aac">
      <Terms xmlns="http://schemas.microsoft.com/office/infopath/2007/PartnerControls"/>
    </InternalTagsTaxHTField0>
    <CSXHash xmlns="e5d022ff-4ce9-4922-b5a4-f245e35e2aac" xsi:nil="true"/>
    <VoteCount xmlns="e5d022ff-4ce9-4922-b5a4-f245e35e2aac" xsi:nil="true"/>
    <LocMarketGroupTiers2 xmlns="e5d022ff-4ce9-4922-b5a4-f245e35e2a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934C8B6-07F4-4F9A-A165-B3701F8A24C9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e5d022ff-4ce9-4922-b5a4-f245e35e2aa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73B804-5831-4154-A2CE-C044CF805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5E4A1-AE48-4D6A-9A6A-B8EF5FA77F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TM02780232</Template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PUB_EXT</vt:lpstr>
      <vt:lpstr>Dados</vt:lpstr>
      <vt:lpstr>proposta_dados</vt:lpstr>
      <vt:lpstr>proposta_dados_vídeos</vt:lpstr>
      <vt:lpstr>Dados do Gráfico</vt:lpstr>
      <vt:lpstr>PUB_INT</vt:lpstr>
      <vt:lpstr>PUB_EXT!Area_de_impressao</vt:lpstr>
      <vt:lpstr>PUB_INT!Area_de_impressao</vt:lpstr>
      <vt:lpstr>CélulaInicial</vt:lpstr>
      <vt:lpstr>Dados!Imprimir_Títulos</vt:lpstr>
      <vt:lpstr>período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Generic family budget</dc:title>
  <dc:creator>Dany Xavier</dc:creator>
  <cp:lastModifiedBy>Michel Rodrigo</cp:lastModifiedBy>
  <cp:lastPrinted>2022-05-24T22:18:15Z</cp:lastPrinted>
  <dcterms:created xsi:type="dcterms:W3CDTF">2012-04-20T18:50:51Z</dcterms:created>
  <dcterms:modified xsi:type="dcterms:W3CDTF">2022-07-30T11:05:37Z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ternalTags">
    <vt:lpwstr/>
  </property>
  <property fmtid="{D5CDD505-2E9C-101B-9397-08002B2CF9AE}" pid="3" name="ContentTypeId">
    <vt:lpwstr>0x01010062057737089D604C8995D725789FFFFD0400C05BDBFCDB0BE84BA6AEC1D1A4F5E4CE</vt:lpwstr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CampaignTags">
    <vt:lpwstr/>
  </property>
  <property fmtid="{D5CDD505-2E9C-101B-9397-08002B2CF9AE}" pid="7" name="ScenarioTags">
    <vt:lpwstr/>
  </property>
</Properties>
</file>