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Facultad ITBA\Año 5\Cuatrimestre 1\E4\TPs-G1_E4\TP2\"/>
    </mc:Choice>
  </mc:AlternateContent>
  <xr:revisionPtr revIDLastSave="0" documentId="13_ncr:1_{A358171F-57C2-4596-BA7C-51C5B4F403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at" sheetId="3" r:id="rId1"/>
    <sheet name="General" sheetId="1" r:id="rId2"/>
    <sheet name="Transferenci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3" l="1"/>
  <c r="F8" i="3"/>
  <c r="F17" i="3" s="1"/>
  <c r="I6" i="3"/>
  <c r="F20" i="3"/>
  <c r="F28" i="3" s="1"/>
  <c r="B17" i="3"/>
  <c r="F9" i="3"/>
  <c r="B21" i="3"/>
  <c r="I3" i="3" s="1"/>
  <c r="F13" i="3"/>
  <c r="F15" i="3" s="1"/>
  <c r="C6" i="1"/>
  <c r="B15" i="3"/>
  <c r="F10" i="3" l="1"/>
  <c r="F21" i="3"/>
  <c r="F22" i="3" s="1"/>
  <c r="F27" i="3"/>
  <c r="F24" i="3"/>
  <c r="E16" i="1"/>
  <c r="F16" i="1" s="1"/>
  <c r="B28" i="3"/>
  <c r="B13" i="3"/>
  <c r="B9" i="3"/>
  <c r="J14" i="3" s="1"/>
  <c r="B27" i="2"/>
  <c r="G25" i="2"/>
  <c r="F25" i="2"/>
  <c r="D25" i="2"/>
  <c r="A25" i="2"/>
  <c r="B11" i="2"/>
  <c r="E19" i="2" s="1"/>
  <c r="G9" i="2"/>
  <c r="F9" i="2"/>
  <c r="D9" i="2"/>
  <c r="A9" i="2"/>
  <c r="I4" i="2"/>
  <c r="G27" i="2" s="1"/>
  <c r="H4" i="2"/>
  <c r="G11" i="2" s="1"/>
  <c r="E4" i="2"/>
  <c r="C4" i="2"/>
  <c r="F27" i="2" s="1"/>
  <c r="B4" i="2"/>
  <c r="A11" i="2" s="1"/>
  <c r="E2" i="2"/>
  <c r="G33" i="2" s="1"/>
  <c r="B9" i="1"/>
  <c r="A9" i="1" s="1"/>
  <c r="E6" i="1"/>
  <c r="F6" i="1"/>
  <c r="B6" i="1"/>
  <c r="A12" i="1" s="1"/>
  <c r="I5" i="3" l="1"/>
  <c r="I8" i="3"/>
  <c r="F16" i="3"/>
  <c r="F18" i="3" s="1"/>
  <c r="F23" i="3"/>
  <c r="F25" i="3" s="1"/>
  <c r="B24" i="3"/>
  <c r="B10" i="3"/>
  <c r="I7" i="3" s="1"/>
  <c r="B27" i="3"/>
  <c r="D17" i="2"/>
  <c r="E15" i="2"/>
  <c r="D15" i="2"/>
  <c r="E17" i="2"/>
  <c r="G15" i="2"/>
  <c r="G31" i="2"/>
  <c r="A27" i="2"/>
  <c r="E35" i="2" s="1"/>
  <c r="F11" i="2"/>
  <c r="G17" i="2"/>
  <c r="B16" i="3" l="1"/>
  <c r="B18" i="3" s="1"/>
  <c r="I4" i="3"/>
  <c r="B22" i="3"/>
  <c r="B23" i="3" s="1"/>
  <c r="B25" i="3" s="1"/>
  <c r="E31" i="2"/>
  <c r="D31" i="2"/>
  <c r="E33" i="2"/>
  <c r="D33" i="2"/>
  <c r="B35" i="2" s="1"/>
  <c r="B19" i="2"/>
</calcChain>
</file>

<file path=xl/sharedStrings.xml><?xml version="1.0" encoding="utf-8"?>
<sst xmlns="http://schemas.openxmlformats.org/spreadsheetml/2006/main" count="176" uniqueCount="101">
  <si>
    <t>Parametros</t>
  </si>
  <si>
    <t>Vin=240</t>
  </si>
  <si>
    <t>Vin=220</t>
  </si>
  <si>
    <t>Vin=190</t>
  </si>
  <si>
    <t>Estimativo</t>
  </si>
  <si>
    <t>Vd</t>
  </si>
  <si>
    <t>Vo1</t>
  </si>
  <si>
    <t>Vo2</t>
  </si>
  <si>
    <t>Dmin</t>
  </si>
  <si>
    <t>Dprom</t>
  </si>
  <si>
    <t>Dmax</t>
  </si>
  <si>
    <t>Fr_max</t>
  </si>
  <si>
    <t>Io2_max</t>
  </si>
  <si>
    <t>Io3_max</t>
  </si>
  <si>
    <t>Vdmin</t>
  </si>
  <si>
    <t>Vdmax</t>
  </si>
  <si>
    <t>Np</t>
  </si>
  <si>
    <t>Ns1</t>
  </si>
  <si>
    <t>Ns2</t>
  </si>
  <si>
    <t>N1/Np</t>
  </si>
  <si>
    <t>N2/Np</t>
  </si>
  <si>
    <t>VER 7A de corriente segun diodo miguel</t>
  </si>
  <si>
    <t>Ixp</t>
  </si>
  <si>
    <t>Ix1</t>
  </si>
  <si>
    <t>Ix2</t>
  </si>
  <si>
    <t>Lp</t>
  </si>
  <si>
    <t>L1</t>
  </si>
  <si>
    <t>L2</t>
  </si>
  <si>
    <t>Alimentacion integrado...</t>
  </si>
  <si>
    <r>
      <rPr>
        <b/>
        <i/>
        <sz val="10"/>
        <color theme="1"/>
        <rFont val="Arial"/>
      </rPr>
      <t xml:space="preserve"> </t>
    </r>
    <r>
      <rPr>
        <b/>
        <sz val="10"/>
        <color theme="1"/>
        <rFont val="Arial"/>
      </rPr>
      <t>Ipico_p</t>
    </r>
  </si>
  <si>
    <t>Ip_1 (&lt;7A)</t>
  </si>
  <si>
    <t>Ip_2</t>
  </si>
  <si>
    <t>N1</t>
  </si>
  <si>
    <t>N2</t>
  </si>
  <si>
    <t>D</t>
  </si>
  <si>
    <t>rlp</t>
  </si>
  <si>
    <t>rc</t>
  </si>
  <si>
    <t>RL1</t>
  </si>
  <si>
    <t>RL2</t>
  </si>
  <si>
    <t>Np/N1</t>
  </si>
  <si>
    <t>Np/N2</t>
  </si>
  <si>
    <t>C</t>
  </si>
  <si>
    <t>RL/(RL+rc)</t>
  </si>
  <si>
    <t>Para N1</t>
  </si>
  <si>
    <t>Aon = Aoff</t>
  </si>
  <si>
    <t>Bon</t>
  </si>
  <si>
    <t>A11</t>
  </si>
  <si>
    <t>A12</t>
  </si>
  <si>
    <t>B11</t>
  </si>
  <si>
    <t>Con</t>
  </si>
  <si>
    <t>C11</t>
  </si>
  <si>
    <t>C12</t>
  </si>
  <si>
    <t>A21</t>
  </si>
  <si>
    <t>A22</t>
  </si>
  <si>
    <t>B21</t>
  </si>
  <si>
    <t>Coff</t>
  </si>
  <si>
    <t>Amed^(-1)</t>
  </si>
  <si>
    <t>Cmed</t>
  </si>
  <si>
    <t>Amed = Aon = Aoff</t>
  </si>
  <si>
    <t>Bmed = Bon</t>
  </si>
  <si>
    <t>Cmed = D *Con+(1-D) *Coff</t>
  </si>
  <si>
    <t>H(s=0)</t>
  </si>
  <si>
    <t>1/mod</t>
  </si>
  <si>
    <t>Para N2</t>
  </si>
  <si>
    <t>Param</t>
  </si>
  <si>
    <t>Calculos del nucleo</t>
  </si>
  <si>
    <t>Notas</t>
  </si>
  <si>
    <t>Vo</t>
  </si>
  <si>
    <t>lgap</t>
  </si>
  <si>
    <t>Io</t>
  </si>
  <si>
    <t>N2/N1</t>
  </si>
  <si>
    <t>N3/N1</t>
  </si>
  <si>
    <t>lef</t>
  </si>
  <si>
    <t>Aef</t>
  </si>
  <si>
    <t>µo</t>
  </si>
  <si>
    <t>µe</t>
  </si>
  <si>
    <t>R(eluc)</t>
  </si>
  <si>
    <t>N1I1/RA</t>
  </si>
  <si>
    <t>INTV/N1A</t>
  </si>
  <si>
    <t>Bmax</t>
  </si>
  <si>
    <t>Bsat</t>
  </si>
  <si>
    <t>fsw</t>
  </si>
  <si>
    <t>Lm1</t>
  </si>
  <si>
    <t>L3</t>
  </si>
  <si>
    <t>ΔIL1</t>
  </si>
  <si>
    <t>IL1max</t>
  </si>
  <si>
    <t>IL1med</t>
  </si>
  <si>
    <t>IL1min</t>
  </si>
  <si>
    <t>Al</t>
  </si>
  <si>
    <t>1/R (Al)</t>
  </si>
  <si>
    <t>SD</t>
  </si>
  <si>
    <t>Skin depth en mm</t>
  </si>
  <si>
    <t>N3</t>
  </si>
  <si>
    <t>Max. del nucleo 0.2</t>
  </si>
  <si>
    <t>Tol. de +-6%</t>
  </si>
  <si>
    <t>Resultado</t>
  </si>
  <si>
    <t>Lm2</t>
  </si>
  <si>
    <t>Lm3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</si>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</sst>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#,##0.000000"/>
    <numFmt numFmtId="166" formatCode="0.000000000"/>
    <numFmt numFmtId="167" formatCode="0.0000000"/>
    <numFmt numFmtId="168" formatCode="0.000"/>
    <numFmt numFmtId="169" formatCode="0.00000"/>
    <numFmt numFmtId="170" formatCode="0.000E+00"/>
    <numFmt numFmtId="172" formatCode="#,##0.00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5"/>
      <color theme="1"/>
      <name val="Arial"/>
      <scheme val="minor"/>
    </font>
    <font>
      <sz val="13"/>
      <color theme="1"/>
      <name val="Arial"/>
      <scheme val="minor"/>
    </font>
    <font>
      <b/>
      <sz val="13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theme="2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0" xfId="0" applyFont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1" fontId="6" fillId="0" borderId="6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0" fontId="6" fillId="0" borderId="6" xfId="0" applyFont="1" applyBorder="1"/>
    <xf numFmtId="2" fontId="6" fillId="0" borderId="6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8" fillId="0" borderId="0" xfId="0" applyFont="1"/>
    <xf numFmtId="11" fontId="8" fillId="0" borderId="6" xfId="0" applyNumberFormat="1" applyFont="1" applyBorder="1" applyAlignment="1">
      <alignment horizontal="center"/>
    </xf>
    <xf numFmtId="168" fontId="9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11" fontId="10" fillId="0" borderId="0" xfId="0" applyNumberFormat="1" applyFont="1"/>
    <xf numFmtId="11" fontId="1" fillId="0" borderId="0" xfId="0" applyNumberFormat="1" applyFont="1"/>
    <xf numFmtId="0" fontId="8" fillId="0" borderId="6" xfId="0" applyFont="1" applyBorder="1" applyAlignment="1">
      <alignment horizontal="center"/>
    </xf>
    <xf numFmtId="169" fontId="8" fillId="0" borderId="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1" fontId="8" fillId="6" borderId="6" xfId="0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70" fontId="6" fillId="0" borderId="10" xfId="0" applyNumberFormat="1" applyFont="1" applyBorder="1" applyAlignment="1">
      <alignment horizontal="center" vertical="center"/>
    </xf>
    <xf numFmtId="170" fontId="6" fillId="0" borderId="11" xfId="0" applyNumberFormat="1" applyFont="1" applyBorder="1" applyAlignment="1">
      <alignment horizontal="center" vertical="center"/>
    </xf>
    <xf numFmtId="170" fontId="6" fillId="0" borderId="12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right"/>
    </xf>
    <xf numFmtId="4" fontId="9" fillId="0" borderId="6" xfId="0" applyNumberFormat="1" applyFont="1" applyBorder="1" applyAlignment="1">
      <alignment horizontal="center"/>
    </xf>
    <xf numFmtId="172" fontId="9" fillId="0" borderId="6" xfId="0" applyNumberFormat="1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11</xdr:row>
      <xdr:rowOff>9525</xdr:rowOff>
    </xdr:from>
    <xdr:ext cx="1619250" cy="390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16</xdr:row>
      <xdr:rowOff>9525</xdr:rowOff>
    </xdr:from>
    <xdr:ext cx="1219200" cy="3333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FA82-B5FE-4171-A06E-73AD90B8356A}">
  <dimension ref="A1:K30"/>
  <sheetViews>
    <sheetView tabSelected="1" zoomScale="85" zoomScaleNormal="85" workbookViewId="0">
      <selection activeCell="J4" sqref="J4"/>
    </sheetView>
  </sheetViews>
  <sheetFormatPr baseColWidth="10" defaultColWidth="8.88671875" defaultRowHeight="13.2" x14ac:dyDescent="0.25"/>
  <cols>
    <col min="1" max="1" width="12.109375" bestFit="1" customWidth="1"/>
    <col min="2" max="2" width="26.21875" bestFit="1" customWidth="1"/>
    <col min="3" max="3" width="22.33203125" customWidth="1"/>
    <col min="4" max="4" width="3.44140625" customWidth="1"/>
    <col min="5" max="5" width="12.109375" bestFit="1" customWidth="1"/>
    <col min="6" max="6" width="26.21875" bestFit="1" customWidth="1"/>
    <col min="7" max="7" width="3.5546875" customWidth="1"/>
    <col min="8" max="8" width="8.33203125" bestFit="1" customWidth="1"/>
    <col min="9" max="9" width="18.44140625" customWidth="1"/>
  </cols>
  <sheetData>
    <row r="1" spans="1:11" ht="19.2" thickBot="1" x14ac:dyDescent="0.35">
      <c r="B1" s="19"/>
      <c r="C1" s="19"/>
    </row>
    <row r="2" spans="1:11" ht="19.2" thickBot="1" x14ac:dyDescent="0.35">
      <c r="A2" s="20" t="s">
        <v>64</v>
      </c>
      <c r="B2" s="21" t="s">
        <v>65</v>
      </c>
      <c r="C2" s="21" t="s">
        <v>66</v>
      </c>
      <c r="D2" s="22"/>
      <c r="E2" s="20" t="s">
        <v>64</v>
      </c>
      <c r="F2" s="21" t="s">
        <v>65</v>
      </c>
      <c r="H2" s="49" t="s">
        <v>64</v>
      </c>
      <c r="I2" s="50" t="s">
        <v>95</v>
      </c>
    </row>
    <row r="3" spans="1:11" ht="16.8" x14ac:dyDescent="0.3">
      <c r="A3" s="23" t="s">
        <v>5</v>
      </c>
      <c r="B3" s="24">
        <v>310</v>
      </c>
      <c r="C3" s="25"/>
      <c r="D3" s="22"/>
      <c r="E3" s="23" t="s">
        <v>5</v>
      </c>
      <c r="F3" s="24">
        <v>310</v>
      </c>
      <c r="H3" s="46" t="s">
        <v>82</v>
      </c>
      <c r="I3" s="51">
        <f>B21</f>
        <v>2.5329748128030518E-3</v>
      </c>
      <c r="J3" s="65">
        <v>2.3E-3</v>
      </c>
    </row>
    <row r="4" spans="1:11" ht="16.8" x14ac:dyDescent="0.3">
      <c r="A4" s="23" t="s">
        <v>67</v>
      </c>
      <c r="B4" s="25">
        <v>6</v>
      </c>
      <c r="C4" s="25"/>
      <c r="D4" s="22"/>
      <c r="E4" s="23" t="s">
        <v>67</v>
      </c>
      <c r="F4" s="25">
        <v>16</v>
      </c>
      <c r="H4" s="47" t="s">
        <v>96</v>
      </c>
      <c r="I4" s="52">
        <f>(B10^2)/B15</f>
        <v>1.5182034257799769E-5</v>
      </c>
      <c r="J4" s="65">
        <v>2.5000000000000001E-5</v>
      </c>
    </row>
    <row r="5" spans="1:11" ht="17.399999999999999" thickBot="1" x14ac:dyDescent="0.35">
      <c r="A5" s="23" t="s">
        <v>68</v>
      </c>
      <c r="B5" s="26">
        <v>2.0000000000000001E-4</v>
      </c>
      <c r="C5" s="25"/>
      <c r="D5" s="22"/>
      <c r="E5" s="23" t="s">
        <v>68</v>
      </c>
      <c r="F5" s="26">
        <v>2.0000000000000001E-4</v>
      </c>
      <c r="H5" s="48" t="s">
        <v>97</v>
      </c>
      <c r="I5" s="53">
        <f>F10^2/B15</f>
        <v>1.0796113249990949E-4</v>
      </c>
      <c r="J5" s="65">
        <v>1.8799999999999999E-4</v>
      </c>
    </row>
    <row r="6" spans="1:11" ht="16.8" x14ac:dyDescent="0.3">
      <c r="A6" s="23" t="s">
        <v>69</v>
      </c>
      <c r="B6" s="27">
        <v>3</v>
      </c>
      <c r="C6" s="28"/>
      <c r="D6" s="22"/>
      <c r="E6" s="23" t="s">
        <v>69</v>
      </c>
      <c r="F6" s="27">
        <v>0.5</v>
      </c>
      <c r="G6" s="22"/>
      <c r="H6" s="46" t="s">
        <v>32</v>
      </c>
      <c r="I6" s="54">
        <f>B8</f>
        <v>124</v>
      </c>
    </row>
    <row r="7" spans="1:11" ht="16.8" x14ac:dyDescent="0.3">
      <c r="A7" s="23" t="s">
        <v>34</v>
      </c>
      <c r="B7" s="29">
        <v>0.2</v>
      </c>
      <c r="C7" s="25"/>
      <c r="D7" s="22"/>
      <c r="E7" s="23" t="s">
        <v>34</v>
      </c>
      <c r="F7" s="29">
        <v>0.2</v>
      </c>
      <c r="G7" s="22"/>
      <c r="H7" s="47" t="s">
        <v>33</v>
      </c>
      <c r="I7" s="55">
        <f>B10</f>
        <v>9.6</v>
      </c>
    </row>
    <row r="8" spans="1:11" ht="17.399999999999999" thickBot="1" x14ac:dyDescent="0.35">
      <c r="A8" s="23" t="s">
        <v>32</v>
      </c>
      <c r="B8" s="30">
        <v>124</v>
      </c>
      <c r="C8" s="25"/>
      <c r="D8" s="22"/>
      <c r="E8" s="23" t="s">
        <v>32</v>
      </c>
      <c r="F8" s="30">
        <f>B8</f>
        <v>124</v>
      </c>
      <c r="G8" s="22"/>
      <c r="H8" s="48" t="s">
        <v>92</v>
      </c>
      <c r="I8" s="56">
        <f>F10</f>
        <v>25.6</v>
      </c>
    </row>
    <row r="9" spans="1:11" ht="16.8" x14ac:dyDescent="0.3">
      <c r="A9" s="23" t="s">
        <v>70</v>
      </c>
      <c r="B9" s="41">
        <f>B4/B3*(1/B7-1)</f>
        <v>7.7419354838709681E-2</v>
      </c>
      <c r="C9" s="25"/>
      <c r="D9" s="22"/>
      <c r="E9" s="23" t="s">
        <v>71</v>
      </c>
      <c r="F9" s="41">
        <f>F4/F3*(1/F7-1)</f>
        <v>0.20645161290322581</v>
      </c>
      <c r="G9" s="22"/>
      <c r="H9" s="22"/>
      <c r="I9" s="22"/>
    </row>
    <row r="10" spans="1:11" ht="16.8" x14ac:dyDescent="0.3">
      <c r="A10" s="23" t="s">
        <v>33</v>
      </c>
      <c r="B10" s="64">
        <f>B9*B8</f>
        <v>9.6</v>
      </c>
      <c r="C10" s="25"/>
      <c r="D10" s="31"/>
      <c r="E10" s="23" t="s">
        <v>92</v>
      </c>
      <c r="F10" s="63">
        <f>F9*F8</f>
        <v>25.6</v>
      </c>
      <c r="G10" s="22"/>
      <c r="H10" s="22"/>
      <c r="I10" s="22"/>
    </row>
    <row r="11" spans="1:11" ht="16.8" x14ac:dyDescent="0.3">
      <c r="A11" s="23" t="s">
        <v>72</v>
      </c>
      <c r="B11" s="32">
        <v>6.7000000000000004E-2</v>
      </c>
      <c r="C11" s="25"/>
      <c r="D11" s="22"/>
      <c r="E11" s="23" t="s">
        <v>72</v>
      </c>
      <c r="F11" s="32">
        <v>6.7000000000000004E-2</v>
      </c>
      <c r="G11" s="22"/>
      <c r="H11" s="22"/>
      <c r="I11" s="22"/>
    </row>
    <row r="12" spans="1:11" ht="16.8" x14ac:dyDescent="0.3">
      <c r="A12" s="23" t="s">
        <v>73</v>
      </c>
      <c r="B12" s="32">
        <v>6.0000000000000002E-5</v>
      </c>
      <c r="C12" s="25"/>
      <c r="D12" s="22"/>
      <c r="E12" s="23" t="s">
        <v>73</v>
      </c>
      <c r="F12" s="32">
        <v>6.0000000000000002E-5</v>
      </c>
      <c r="G12" s="22"/>
      <c r="H12" s="22"/>
      <c r="I12" s="22"/>
    </row>
    <row r="13" spans="1:11" ht="16.8" x14ac:dyDescent="0.3">
      <c r="A13" s="23" t="s">
        <v>74</v>
      </c>
      <c r="B13" s="32">
        <f>PI()*4*0.0000001</f>
        <v>1.2566370614359173E-6</v>
      </c>
      <c r="C13" s="25"/>
      <c r="D13" s="22"/>
      <c r="E13" s="23" t="s">
        <v>74</v>
      </c>
      <c r="F13" s="32">
        <f>PI()*4*0.0000001</f>
        <v>1.2566370614359173E-6</v>
      </c>
      <c r="G13" s="22"/>
      <c r="H13" s="22"/>
      <c r="I13" s="62" t="s">
        <v>98</v>
      </c>
      <c r="J13" s="61">
        <v>2.4900000000000002</v>
      </c>
    </row>
    <row r="14" spans="1:11" ht="16.8" x14ac:dyDescent="0.3">
      <c r="A14" s="23" t="s">
        <v>75</v>
      </c>
      <c r="B14" s="40">
        <v>260</v>
      </c>
      <c r="C14" s="25"/>
      <c r="D14" s="22"/>
      <c r="E14" s="23" t="s">
        <v>75</v>
      </c>
      <c r="F14" s="40">
        <v>260</v>
      </c>
      <c r="G14" s="22"/>
      <c r="H14" s="22"/>
      <c r="I14" s="62" t="s">
        <v>99</v>
      </c>
      <c r="J14" s="61">
        <f>J13*B9</f>
        <v>0.19277419354838712</v>
      </c>
      <c r="K14">
        <v>0.20899999999999999</v>
      </c>
    </row>
    <row r="15" spans="1:11" ht="16.8" x14ac:dyDescent="0.3">
      <c r="A15" s="23" t="s">
        <v>76</v>
      </c>
      <c r="B15" s="32">
        <f>(1/(B13*B12))*(B11/B14+B5)</f>
        <v>6070332.7653639568</v>
      </c>
      <c r="C15" s="25"/>
      <c r="D15" s="22"/>
      <c r="E15" s="23" t="s">
        <v>76</v>
      </c>
      <c r="F15" s="32">
        <f>(1/(F13*F12))*(F11/F14+F5)</f>
        <v>6070332.7653639568</v>
      </c>
      <c r="G15" s="22"/>
      <c r="H15" s="22"/>
      <c r="I15" s="62" t="s">
        <v>100</v>
      </c>
      <c r="J15" s="61">
        <f>J13*F9</f>
        <v>0.51406451612903226</v>
      </c>
      <c r="K15">
        <v>0.52300000000000002</v>
      </c>
    </row>
    <row r="16" spans="1:11" ht="16.8" x14ac:dyDescent="0.3">
      <c r="A16" s="23" t="s">
        <v>77</v>
      </c>
      <c r="B16" s="32">
        <f>B10*B6/(B15*B12*(1-B7))</f>
        <v>9.8841368865883905E-2</v>
      </c>
      <c r="C16" s="25"/>
      <c r="D16" s="22"/>
      <c r="E16" s="23" t="s">
        <v>77</v>
      </c>
      <c r="F16" s="32">
        <f>F10*F6/(F15*F12*(1-F7))</f>
        <v>4.3929497273726192E-2</v>
      </c>
      <c r="G16" s="22"/>
      <c r="H16" s="22"/>
      <c r="I16" s="22"/>
    </row>
    <row r="17" spans="1:9" ht="16.8" x14ac:dyDescent="0.3">
      <c r="A17" s="23" t="s">
        <v>78</v>
      </c>
      <c r="B17" s="32">
        <f>0.5*B7/B20*B3/(B8*B12)</f>
        <v>4.1666666666666664E-2</v>
      </c>
      <c r="C17" s="25"/>
      <c r="D17" s="22"/>
      <c r="E17" s="23" t="s">
        <v>78</v>
      </c>
      <c r="F17" s="32">
        <f>0.5*F7/F20*F3/(F8*F12)</f>
        <v>4.1666666666666664E-2</v>
      </c>
      <c r="G17" s="22"/>
      <c r="H17" s="22"/>
      <c r="I17" s="22"/>
    </row>
    <row r="18" spans="1:9" ht="16.8" x14ac:dyDescent="0.3">
      <c r="A18" s="23" t="s">
        <v>79</v>
      </c>
      <c r="B18" s="42">
        <f>B16+B17</f>
        <v>0.14050803553255056</v>
      </c>
      <c r="C18" s="25" t="s">
        <v>93</v>
      </c>
      <c r="D18" s="22"/>
      <c r="E18" s="23" t="s">
        <v>79</v>
      </c>
      <c r="F18" s="42">
        <f>F16+F17</f>
        <v>8.559616394039285E-2</v>
      </c>
      <c r="G18" s="22"/>
      <c r="H18" s="22"/>
      <c r="I18" s="22"/>
    </row>
    <row r="19" spans="1:9" ht="16.8" x14ac:dyDescent="0.3">
      <c r="A19" s="23" t="s">
        <v>80</v>
      </c>
      <c r="B19" s="40">
        <v>0.2</v>
      </c>
      <c r="C19" s="25"/>
      <c r="D19" s="22"/>
      <c r="E19" s="23" t="s">
        <v>80</v>
      </c>
      <c r="F19" s="40">
        <v>0.2</v>
      </c>
      <c r="G19" s="22"/>
      <c r="H19" s="22"/>
      <c r="I19" s="22"/>
    </row>
    <row r="20" spans="1:9" ht="16.8" x14ac:dyDescent="0.3">
      <c r="A20" s="23" t="s">
        <v>81</v>
      </c>
      <c r="B20" s="32">
        <v>100000</v>
      </c>
      <c r="C20" s="25" t="s">
        <v>94</v>
      </c>
      <c r="D20" s="22"/>
      <c r="E20" s="23" t="s">
        <v>81</v>
      </c>
      <c r="F20" s="32">
        <f>B20</f>
        <v>100000</v>
      </c>
      <c r="G20" s="22"/>
      <c r="H20" s="22"/>
      <c r="I20" s="22"/>
    </row>
    <row r="21" spans="1:9" ht="16.8" x14ac:dyDescent="0.3">
      <c r="A21" s="43" t="s">
        <v>82</v>
      </c>
      <c r="B21" s="44">
        <f>B8^2/B15</f>
        <v>2.5329748128030518E-3</v>
      </c>
      <c r="C21" s="45"/>
      <c r="D21" s="22"/>
      <c r="E21" s="23" t="s">
        <v>82</v>
      </c>
      <c r="F21" s="32">
        <f>F8^2/F15</f>
        <v>2.5329748128030518E-3</v>
      </c>
      <c r="G21" s="22"/>
      <c r="H21" s="22"/>
      <c r="I21" s="22"/>
    </row>
    <row r="22" spans="1:9" ht="16.8" x14ac:dyDescent="0.3">
      <c r="A22" s="23" t="s">
        <v>84</v>
      </c>
      <c r="B22" s="32">
        <f>B3*B7/B20/B21</f>
        <v>0.2447714824743531</v>
      </c>
      <c r="C22" s="25"/>
      <c r="D22" s="22"/>
      <c r="E22" s="23" t="s">
        <v>84</v>
      </c>
      <c r="F22" s="32">
        <f>F3*F7/F20/F21</f>
        <v>0.2447714824743531</v>
      </c>
      <c r="G22" s="22"/>
      <c r="H22" s="22"/>
      <c r="I22" s="22"/>
    </row>
    <row r="23" spans="1:9" ht="16.8" x14ac:dyDescent="0.3">
      <c r="A23" s="23" t="s">
        <v>85</v>
      </c>
      <c r="B23" s="33">
        <f>B24+B22/2</f>
        <v>0.41270832188233786</v>
      </c>
      <c r="C23" s="25"/>
      <c r="D23" s="22"/>
      <c r="E23" s="23" t="s">
        <v>85</v>
      </c>
      <c r="F23" s="33">
        <f>F24+F22/2</f>
        <v>0.25141799930169267</v>
      </c>
      <c r="G23" s="22"/>
      <c r="H23" s="22"/>
      <c r="I23" s="22"/>
    </row>
    <row r="24" spans="1:9" ht="16.8" x14ac:dyDescent="0.3">
      <c r="A24" s="23" t="s">
        <v>86</v>
      </c>
      <c r="B24" s="33">
        <f>B6*B9/(1-B7)</f>
        <v>0.29032258064516131</v>
      </c>
      <c r="C24" s="25"/>
      <c r="D24" s="22"/>
      <c r="E24" s="23" t="s">
        <v>86</v>
      </c>
      <c r="F24" s="33">
        <f>F6*F9/(1-F7)</f>
        <v>0.12903225806451613</v>
      </c>
      <c r="G24" s="22"/>
      <c r="H24" s="22"/>
      <c r="I24" s="22"/>
    </row>
    <row r="25" spans="1:9" ht="16.8" x14ac:dyDescent="0.3">
      <c r="A25" s="23" t="s">
        <v>87</v>
      </c>
      <c r="B25" s="33">
        <f>B24-B23/2</f>
        <v>8.3968419703992381E-2</v>
      </c>
      <c r="C25" s="32"/>
      <c r="D25" s="31"/>
      <c r="E25" s="23" t="s">
        <v>87</v>
      </c>
      <c r="F25" s="33">
        <f>F24-F23/2</f>
        <v>3.3232584136697885E-3</v>
      </c>
      <c r="G25" s="22"/>
      <c r="H25" s="22"/>
      <c r="I25" s="22"/>
    </row>
    <row r="26" spans="1:9" ht="16.8" x14ac:dyDescent="0.3">
      <c r="A26" s="23" t="s">
        <v>88</v>
      </c>
      <c r="B26" s="32">
        <v>1.9000000000000001E-7</v>
      </c>
      <c r="C26" s="25"/>
      <c r="D26" s="22"/>
      <c r="E26" s="23" t="s">
        <v>88</v>
      </c>
      <c r="F26" s="32">
        <v>1.9000000000000001E-7</v>
      </c>
      <c r="G26" s="22"/>
      <c r="H26" s="22"/>
      <c r="I26" s="22"/>
    </row>
    <row r="27" spans="1:9" ht="16.8" x14ac:dyDescent="0.3">
      <c r="A27" s="23" t="s">
        <v>89</v>
      </c>
      <c r="B27" s="32">
        <f>1/B15</f>
        <v>1.647356147764732E-7</v>
      </c>
      <c r="C27" s="28"/>
      <c r="D27" s="22"/>
      <c r="E27" s="23" t="s">
        <v>89</v>
      </c>
      <c r="F27" s="32">
        <f>1/F15</f>
        <v>1.647356147764732E-7</v>
      </c>
      <c r="G27" s="22"/>
      <c r="H27" s="22"/>
      <c r="I27" s="22"/>
    </row>
    <row r="28" spans="1:9" ht="17.399999999999999" thickBot="1" x14ac:dyDescent="0.35">
      <c r="A28" s="34" t="s">
        <v>90</v>
      </c>
      <c r="B28" s="35">
        <f>66/SQRT(B20)</f>
        <v>0.20871032557111302</v>
      </c>
      <c r="C28" s="36" t="s">
        <v>91</v>
      </c>
      <c r="E28" s="34" t="s">
        <v>90</v>
      </c>
      <c r="F28" s="35">
        <f>66/SQRT(F20)</f>
        <v>0.20871032557111302</v>
      </c>
    </row>
    <row r="29" spans="1:9" ht="18.600000000000001" x14ac:dyDescent="0.3">
      <c r="A29" s="37"/>
      <c r="B29" s="38"/>
    </row>
    <row r="30" spans="1:9" ht="18.600000000000001" x14ac:dyDescent="0.3">
      <c r="A30" s="37"/>
      <c r="B30" s="39"/>
    </row>
  </sheetData>
  <conditionalFormatting sqref="B18">
    <cfRule type="cellIs" dxfId="7" priority="5" operator="greaterThan">
      <formula>0.2</formula>
    </cfRule>
    <cfRule type="cellIs" dxfId="6" priority="6" operator="lessThan">
      <formula>0.2</formula>
    </cfRule>
  </conditionalFormatting>
  <conditionalFormatting sqref="B25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F18">
    <cfRule type="cellIs" dxfId="3" priority="1" operator="greaterThan">
      <formula>0.2</formula>
    </cfRule>
    <cfRule type="cellIs" dxfId="2" priority="2" operator="lessThan">
      <formula>0.2</formula>
    </cfRule>
  </conditionalFormatting>
  <conditionalFormatting sqref="F2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"/>
  <sheetViews>
    <sheetView workbookViewId="0">
      <selection activeCell="C6" sqref="C6"/>
    </sheetView>
  </sheetViews>
  <sheetFormatPr baseColWidth="10" defaultColWidth="12.6640625" defaultRowHeight="15.75" customHeight="1" x14ac:dyDescent="0.25"/>
  <sheetData>
    <row r="1" spans="1:11" x14ac:dyDescent="0.25">
      <c r="A1" s="1" t="s">
        <v>0</v>
      </c>
      <c r="B1" s="2"/>
      <c r="C1" s="2"/>
      <c r="D1" s="2" t="s">
        <v>1</v>
      </c>
      <c r="E1" s="2" t="s">
        <v>2</v>
      </c>
      <c r="F1" s="2" t="s">
        <v>3</v>
      </c>
      <c r="G1" s="2"/>
      <c r="H1" s="2"/>
      <c r="I1" s="2"/>
      <c r="J1" s="57" t="s">
        <v>4</v>
      </c>
      <c r="K1" s="58"/>
    </row>
    <row r="2" spans="1:1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 s="2">
        <v>311</v>
      </c>
      <c r="B3" s="2">
        <v>6</v>
      </c>
      <c r="C3" s="2">
        <v>16</v>
      </c>
      <c r="D3" s="2">
        <v>0</v>
      </c>
      <c r="E3" s="2">
        <v>0.2</v>
      </c>
      <c r="F3" s="2">
        <v>0.45</v>
      </c>
      <c r="G3" s="3">
        <v>100000</v>
      </c>
      <c r="H3" s="2">
        <v>3</v>
      </c>
      <c r="I3" s="2">
        <v>0.5</v>
      </c>
      <c r="J3" s="2">
        <v>190</v>
      </c>
      <c r="K3" s="2">
        <v>240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" t="s">
        <v>16</v>
      </c>
      <c r="B5" s="4" t="s">
        <v>17</v>
      </c>
      <c r="C5" s="4" t="s">
        <v>18</v>
      </c>
      <c r="D5" s="2"/>
      <c r="E5" s="2" t="s">
        <v>19</v>
      </c>
      <c r="F5" s="2" t="s">
        <v>20</v>
      </c>
      <c r="G5" s="2"/>
      <c r="H5" s="2" t="s">
        <v>21</v>
      </c>
      <c r="I5" s="2"/>
      <c r="J5" s="2"/>
      <c r="K5" s="2"/>
    </row>
    <row r="6" spans="1:11" x14ac:dyDescent="0.25">
      <c r="A6" s="2">
        <v>124</v>
      </c>
      <c r="B6" s="5">
        <f>A6*(B3/A3)*((1-E3)/E3)</f>
        <v>9.569131832797428</v>
      </c>
      <c r="C6" s="5">
        <f>A6*(C3/A3)*((1-E3)/E3)</f>
        <v>25.517684887459808</v>
      </c>
      <c r="D6" s="2"/>
      <c r="E6" s="6">
        <f>B3/A3*((1-E3)/E3)</f>
        <v>7.7170418006430874E-2</v>
      </c>
      <c r="F6" s="2">
        <f>C6/A6</f>
        <v>0.20578778135048231</v>
      </c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4" t="s">
        <v>22</v>
      </c>
      <c r="B8" s="4" t="s">
        <v>23</v>
      </c>
      <c r="C8" s="4" t="s">
        <v>24</v>
      </c>
      <c r="D8" s="2"/>
      <c r="E8" s="2"/>
      <c r="F8" s="2" t="s">
        <v>25</v>
      </c>
      <c r="G8" s="2" t="s">
        <v>26</v>
      </c>
      <c r="H8" s="2" t="s">
        <v>27</v>
      </c>
      <c r="I8" s="2"/>
      <c r="J8" s="2"/>
      <c r="K8" s="2"/>
    </row>
    <row r="9" spans="1:11" x14ac:dyDescent="0.25">
      <c r="A9" s="6">
        <f>B9*(B3/A3)*(1/E3-1)</f>
        <v>0.28938906752411575</v>
      </c>
      <c r="B9" s="5">
        <f>H3/(1-E3)</f>
        <v>3.75</v>
      </c>
      <c r="C9" s="59" t="s">
        <v>28</v>
      </c>
      <c r="D9" s="58"/>
      <c r="E9" s="2"/>
      <c r="F9" s="2"/>
      <c r="G9" s="3">
        <v>6.0000000000000002E-6</v>
      </c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4" t="s">
        <v>29</v>
      </c>
      <c r="B11" s="4" t="s">
        <v>30</v>
      </c>
      <c r="C11" s="4" t="s">
        <v>31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6">
        <f>(B6/A6)*B12</f>
        <v>0.54019292604501612</v>
      </c>
      <c r="B12" s="5">
        <v>7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 t="s">
        <v>83</v>
      </c>
      <c r="F15" s="2" t="s">
        <v>26</v>
      </c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3">
        <f>(C3*(1-E3)^2*(1/G3))/(2*I3)</f>
        <v>1.0240000000000002E-4</v>
      </c>
      <c r="F16" s="3">
        <f>E16*(A3/C3)^2</f>
        <v>3.8688400000000012E-2</v>
      </c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2">
    <mergeCell ref="J1:K1"/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25"/>
  <sheetData>
    <row r="1" spans="1:26" x14ac:dyDescent="0.25">
      <c r="A1" s="8" t="s">
        <v>16</v>
      </c>
      <c r="B1" s="8" t="s">
        <v>32</v>
      </c>
      <c r="C1" s="8" t="s">
        <v>33</v>
      </c>
      <c r="D1" s="9"/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>
        <v>124</v>
      </c>
      <c r="B2" s="7">
        <v>8</v>
      </c>
      <c r="C2" s="7">
        <v>26</v>
      </c>
      <c r="D2" s="7"/>
      <c r="E2" s="7">
        <f>General!E3</f>
        <v>0.2</v>
      </c>
      <c r="F2" s="7">
        <v>22</v>
      </c>
      <c r="G2" s="7">
        <v>0.01</v>
      </c>
      <c r="H2" s="7">
        <v>1.8</v>
      </c>
      <c r="I2" s="7">
        <v>1600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0"/>
      <c r="B3" s="10" t="s">
        <v>39</v>
      </c>
      <c r="C3" s="10" t="s">
        <v>40</v>
      </c>
      <c r="E3" s="10" t="s">
        <v>5</v>
      </c>
      <c r="F3" s="10" t="s">
        <v>25</v>
      </c>
      <c r="G3" s="10" t="s">
        <v>41</v>
      </c>
      <c r="H3" s="10" t="s">
        <v>42</v>
      </c>
      <c r="I3" s="10" t="s">
        <v>42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7">
        <f>A2/B2</f>
        <v>15.5</v>
      </c>
      <c r="C4" s="7">
        <f>A2/C2</f>
        <v>4.7692307692307692</v>
      </c>
      <c r="E4" s="7">
        <f>General!A3</f>
        <v>311</v>
      </c>
      <c r="F4" s="11">
        <v>4.2680000000000001E-3</v>
      </c>
      <c r="G4" s="11">
        <v>4.8000000000000001E-5</v>
      </c>
      <c r="H4" s="7">
        <f>H2/(H2+G2)</f>
        <v>0.99447513812154698</v>
      </c>
      <c r="I4" s="7">
        <f>I2/(I2+G2)</f>
        <v>0.99999375003906221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/>
      <c r="B5" s="7"/>
      <c r="C5" s="7"/>
      <c r="D5" s="7"/>
      <c r="E5" s="7"/>
      <c r="F5" s="7"/>
      <c r="G5" s="7"/>
      <c r="H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60" t="s">
        <v>43</v>
      </c>
      <c r="B6" s="58"/>
      <c r="C6" s="58"/>
      <c r="D6" s="58"/>
      <c r="E6" s="58"/>
      <c r="F6" s="58"/>
      <c r="G6" s="58"/>
      <c r="H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9" t="s">
        <v>44</v>
      </c>
      <c r="B7" s="9"/>
      <c r="D7" s="9" t="s">
        <v>45</v>
      </c>
      <c r="E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2" t="s">
        <v>46</v>
      </c>
      <c r="B8" s="12" t="s">
        <v>47</v>
      </c>
      <c r="D8" s="12" t="s">
        <v>48</v>
      </c>
      <c r="E8" s="9" t="s">
        <v>49</v>
      </c>
      <c r="F8" s="12" t="s">
        <v>50</v>
      </c>
      <c r="G8" s="12" t="s">
        <v>51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3">
        <f>-F2/F4</f>
        <v>-5154.6391752577319</v>
      </c>
      <c r="B9" s="13">
        <v>0</v>
      </c>
      <c r="D9" s="13">
        <f>1/F4</f>
        <v>234.30178069353326</v>
      </c>
      <c r="E9" s="9"/>
      <c r="F9" s="13">
        <f>H4*H2*B4</f>
        <v>27.745856353591162</v>
      </c>
      <c r="G9" s="13">
        <f>-H4</f>
        <v>-0.99447513812154698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2" t="s">
        <v>52</v>
      </c>
      <c r="B10" s="12" t="s">
        <v>53</v>
      </c>
      <c r="D10" s="12" t="s">
        <v>54</v>
      </c>
      <c r="E10" s="9" t="s">
        <v>55</v>
      </c>
      <c r="F10" s="12" t="s">
        <v>50</v>
      </c>
      <c r="G10" s="12" t="s">
        <v>51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3">
        <f>H4*B4/G4</f>
        <v>321132.59668508288</v>
      </c>
      <c r="B11" s="13">
        <f>-1/(G4*(G2+H2))</f>
        <v>-11510.12891344383</v>
      </c>
      <c r="D11" s="13">
        <v>0</v>
      </c>
      <c r="E11" s="7"/>
      <c r="F11" s="13">
        <f>H4*G2*B4</f>
        <v>0.15414364640883979</v>
      </c>
      <c r="G11" s="13">
        <f>H4</f>
        <v>0.99447513812154698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4"/>
      <c r="B13" s="9"/>
      <c r="D13" s="9" t="s">
        <v>56</v>
      </c>
      <c r="E13" s="15"/>
      <c r="F13" s="9"/>
      <c r="G13" s="9" t="s">
        <v>57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14" t="s">
        <v>58</v>
      </c>
      <c r="B14" s="9"/>
      <c r="C14" s="7"/>
      <c r="D14" s="12" t="s">
        <v>46</v>
      </c>
      <c r="E14" s="12" t="s">
        <v>47</v>
      </c>
      <c r="F14" s="7"/>
      <c r="G14" s="12" t="s">
        <v>50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16" t="s">
        <v>59</v>
      </c>
      <c r="B15" s="9"/>
      <c r="C15" s="7"/>
      <c r="D15" s="13">
        <f>E19*B11</f>
        <v>-1.94E-4</v>
      </c>
      <c r="E15" s="13">
        <f>-B9*E19</f>
        <v>0</v>
      </c>
      <c r="F15" s="7"/>
      <c r="G15" s="13">
        <f>E2*F9+(1-E2)*F11</f>
        <v>5.6724861878453048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14" t="s">
        <v>60</v>
      </c>
      <c r="B16" s="9"/>
      <c r="C16" s="7"/>
      <c r="D16" s="12" t="s">
        <v>52</v>
      </c>
      <c r="E16" s="12" t="s">
        <v>53</v>
      </c>
      <c r="F16" s="7"/>
      <c r="G16" s="12" t="s">
        <v>51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7"/>
      <c r="B17" s="7"/>
      <c r="C17" s="7"/>
      <c r="D17" s="13">
        <f>-A11*E19</f>
        <v>-5.4126000000000009E-3</v>
      </c>
      <c r="E17" s="13">
        <f>E19*A9</f>
        <v>-8.6880000000000008E-5</v>
      </c>
      <c r="F17" s="7"/>
      <c r="G17" s="13">
        <f>E2*G9+(1-E2)*G11</f>
        <v>0.59668508287292821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B18" s="7"/>
      <c r="C18" s="7"/>
      <c r="D18" s="7"/>
      <c r="E18" s="7"/>
      <c r="F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9" t="s">
        <v>61</v>
      </c>
      <c r="B19" s="13">
        <f>-D9*(G15*D15+G17*D17)-D11*(G15*E15+G17*E17)</f>
        <v>1.0145454545454546</v>
      </c>
      <c r="C19" s="7"/>
      <c r="D19" s="7" t="s">
        <v>62</v>
      </c>
      <c r="E19" s="17">
        <f>1/(A9*B11-B9*A11)</f>
        <v>1.6854720000000001E-8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60" t="s">
        <v>63</v>
      </c>
      <c r="B22" s="58"/>
      <c r="C22" s="58"/>
      <c r="D22" s="58"/>
      <c r="E22" s="58"/>
      <c r="F22" s="58"/>
      <c r="G22" s="5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9" t="s">
        <v>44</v>
      </c>
      <c r="B23" s="9"/>
      <c r="D23" s="9" t="s">
        <v>45</v>
      </c>
      <c r="E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2" t="s">
        <v>46</v>
      </c>
      <c r="B24" s="12" t="s">
        <v>47</v>
      </c>
      <c r="D24" s="12" t="s">
        <v>48</v>
      </c>
      <c r="E24" s="9" t="s">
        <v>49</v>
      </c>
      <c r="F24" s="12" t="s">
        <v>50</v>
      </c>
      <c r="G24" s="12" t="s">
        <v>51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3">
        <f>-F2/F4</f>
        <v>-5154.6391752577319</v>
      </c>
      <c r="B25" s="13">
        <v>0</v>
      </c>
      <c r="D25" s="13">
        <f>1/F4</f>
        <v>234.30178069353326</v>
      </c>
      <c r="E25" s="9"/>
      <c r="F25" s="13">
        <f>I4*I2*C4</f>
        <v>7630.7215387596134</v>
      </c>
      <c r="G25" s="13">
        <f>-I4</f>
        <v>-0.99999375003906221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2" t="s">
        <v>52</v>
      </c>
      <c r="B26" s="12" t="s">
        <v>53</v>
      </c>
      <c r="D26" s="12" t="s">
        <v>54</v>
      </c>
      <c r="E26" s="9" t="s">
        <v>55</v>
      </c>
      <c r="F26" s="12" t="s">
        <v>50</v>
      </c>
      <c r="G26" s="12" t="s">
        <v>51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3">
        <f>I4*C4/G4</f>
        <v>99358.353369265795</v>
      </c>
      <c r="B27" s="13">
        <f>-1/(G4*(G2+I2))</f>
        <v>-13.020751953633622</v>
      </c>
      <c r="D27" s="13">
        <v>0</v>
      </c>
      <c r="E27" s="7"/>
      <c r="F27" s="13">
        <f>I4*G2*C4</f>
        <v>4.769200961724758E-2</v>
      </c>
      <c r="G27" s="13">
        <f>I4</f>
        <v>0.99999375003906221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14"/>
      <c r="B29" s="9"/>
      <c r="D29" s="9" t="s">
        <v>56</v>
      </c>
      <c r="E29" s="15"/>
      <c r="F29" s="9"/>
      <c r="G29" s="9" t="s">
        <v>57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4" t="s">
        <v>58</v>
      </c>
      <c r="B30" s="9"/>
      <c r="C30" s="7"/>
      <c r="D30" s="12" t="s">
        <v>46</v>
      </c>
      <c r="E30" s="12" t="s">
        <v>47</v>
      </c>
      <c r="F30" s="7"/>
      <c r="G30" s="12" t="s">
        <v>50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16" t="s">
        <v>59</v>
      </c>
      <c r="B31" s="9"/>
      <c r="C31" s="7"/>
      <c r="D31" s="13">
        <f>E35*B27</f>
        <v>-1.9400000000000003E-4</v>
      </c>
      <c r="E31" s="13">
        <f>-B25*E35</f>
        <v>0</v>
      </c>
      <c r="F31" s="7"/>
      <c r="G31" s="13">
        <f>E2*F25+(1-E2)*F27</f>
        <v>1526.1824613596166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4" t="s">
        <v>60</v>
      </c>
      <c r="B32" s="9"/>
      <c r="C32" s="7"/>
      <c r="D32" s="12" t="s">
        <v>52</v>
      </c>
      <c r="E32" s="12" t="s">
        <v>53</v>
      </c>
      <c r="F32" s="7"/>
      <c r="G32" s="12" t="s">
        <v>51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7"/>
      <c r="D33" s="13">
        <f>-A27*E35</f>
        <v>-1.4803692307692309</v>
      </c>
      <c r="E33" s="13">
        <f>E35*A25</f>
        <v>-7.6800480000000004E-2</v>
      </c>
      <c r="F33" s="7"/>
      <c r="G33" s="13">
        <f>E2*G25+(1-E2)*G27</f>
        <v>0.59999625002343737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9" t="s">
        <v>61</v>
      </c>
      <c r="B35" s="13">
        <f>-D25*(G31*D31+G33*D33)-D27*(G31*E31+G33*E33)</f>
        <v>277.48251748251749</v>
      </c>
      <c r="C35" s="7"/>
      <c r="D35" s="7" t="s">
        <v>62</v>
      </c>
      <c r="E35" s="18">
        <f>1/(A25*B27-B25*A27)</f>
        <v>1.4899293120000002E-5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A6:G6"/>
    <mergeCell ref="A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Bsat</vt:lpstr>
      <vt:lpstr>General</vt:lpstr>
      <vt:lpstr>Transferencia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VALENTINO VENIER ANACHE</cp:lastModifiedBy>
  <dcterms:modified xsi:type="dcterms:W3CDTF">2024-05-06T23:48:42Z</dcterms:modified>
</cp:coreProperties>
</file>